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queryTables/queryTable1.xml" ContentType="application/vnd.openxmlformats-officedocument.spreadsheetml.queryTable+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tables/table1.xml" ContentType="application/vnd.openxmlformats-officedocument.spreadsheetml.table+xml"/>
  <Override PartName="/xl/comments7.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725" codeName="{DD97A8EA-9A9A-E61F-A557-7D5A7D7259CE}"/>
  <workbookPr updateLinks="never" codeName="ThisWorkbook" defaultThemeVersion="124226"/>
  <mc:AlternateContent xmlns:mc="http://schemas.openxmlformats.org/markup-compatibility/2006">
    <mc:Choice Requires="x15">
      <x15ac:absPath xmlns:x15ac="http://schemas.microsoft.com/office/spreadsheetml/2010/11/ac" url="C:\Users\Kevin She\OneDrive\Desktop\"/>
    </mc:Choice>
  </mc:AlternateContent>
  <xr:revisionPtr revIDLastSave="0" documentId="13_ncr:1_{C9F42190-D57E-495F-9D99-C6DAD325E697}" xr6:coauthVersionLast="47" xr6:coauthVersionMax="47" xr10:uidLastSave="{00000000-0000-0000-0000-000000000000}"/>
  <bookViews>
    <workbookView xWindow="-120" yWindow="-120" windowWidth="29040" windowHeight="15720" firstSheet="4" activeTab="8" xr2:uid="{00000000-000D-0000-FFFF-FFFF00000000}"/>
  </bookViews>
  <sheets>
    <sheet name=" price 恒鑫荣" sheetId="34" state="hidden" r:id="rId1"/>
    <sheet name="SaleOrder Management" sheetId="37" state="hidden" r:id="rId2"/>
    <sheet name="Price PDF" sheetId="35" r:id="rId3"/>
    <sheet name="设计清单" sheetId="36" state="hidden" r:id="rId4"/>
    <sheet name="报价辅助计算" sheetId="18" r:id="rId5"/>
    <sheet name="报价辅助计算模板" sheetId="21" r:id="rId6"/>
    <sheet name="常规材料表" sheetId="8" r:id="rId7"/>
    <sheet name="Sheet1" sheetId="26" state="hidden" r:id="rId8"/>
    <sheet name="下拉菜单" sheetId="11" r:id="rId9"/>
    <sheet name="材料信息更新" sheetId="30" r:id="rId10"/>
    <sheet name="部件清单" sheetId="29" r:id="rId11"/>
    <sheet name="历史价格" sheetId="38" r:id="rId12"/>
    <sheet name="客户清单" sheetId="12" r:id="rId13"/>
    <sheet name="柱片老表" sheetId="6" state="hidden" r:id="rId14"/>
    <sheet name="横斜撑" sheetId="7" state="hidden" r:id="rId15"/>
    <sheet name="标准件价格" sheetId="10" r:id="rId16"/>
    <sheet name="穿梭板部件价格" sheetId="33" r:id="rId17"/>
    <sheet name="美式P梁价格" sheetId="32" r:id="rId18"/>
    <sheet name="标准件 每周更新" sheetId="31" r:id="rId19"/>
  </sheets>
  <functionGroups builtInGroupCount="19"/>
  <externalReferences>
    <externalReference r:id="rId20"/>
    <externalReference r:id="rId21"/>
    <externalReference r:id="rId22"/>
  </externalReferences>
  <definedNames>
    <definedName name="_xlnm._FilterDatabase" localSheetId="5" hidden="1">报价辅助计算模板!$A$18:$CV$860</definedName>
    <definedName name="_xlnm._FilterDatabase" localSheetId="15" hidden="1">标准件价格!$A$3:$E$226</definedName>
    <definedName name="_xlnm._FilterDatabase" localSheetId="10" hidden="1">部件清单!$A$2:$Y$27</definedName>
    <definedName name="_xlnm._FilterDatabase" localSheetId="6" hidden="1">常规材料表!$A$2:$V$348</definedName>
    <definedName name="_xlnm._FilterDatabase" localSheetId="12" hidden="1">客户清单!$B$1:$Q$204</definedName>
    <definedName name="_xlnm._FilterDatabase" localSheetId="11" hidden="1">历史价格!$A$1:$H$4</definedName>
    <definedName name="_xlnm._FilterDatabase" localSheetId="8" hidden="1">下拉菜单!$G$1:$G$10</definedName>
    <definedName name="Arm_100_50_area_factor">#REF!</definedName>
    <definedName name="Arm_140_90_area_factor">#REF!</definedName>
    <definedName name="Bracket_area">#REF!</definedName>
    <definedName name="_xlnm.Criteria" localSheetId="5">报价辅助计算模板!$B$12:$I$13</definedName>
    <definedName name="D_Brace_Qty">#REF!</definedName>
    <definedName name="D_brace安装高度">#REF!</definedName>
    <definedName name="DropDown_Anchor_Bolt">#REF!</definedName>
    <definedName name="DropDown_Beam_Length">#REF!</definedName>
    <definedName name="DropDown_Beam_Type">#REF!</definedName>
    <definedName name="DropDown_Brace_Bolt">#REF!</definedName>
    <definedName name="DropDown_Bracket_Design">#REF!</definedName>
    <definedName name="DropDown_Bracket_Position">#REF!</definedName>
    <definedName name="DropDown_Bracket_Type">#REF!</definedName>
    <definedName name="DropDown_Cantilever_Arm">#REF!</definedName>
    <definedName name="DropDown_Cantilever_Base">#REF!</definedName>
    <definedName name="DropDown_Cantilever_Base_Bracket_n_Bolt_Set">#REF!</definedName>
    <definedName name="DropDown_Cantilever_Base_Packing_Plate">#REF!</definedName>
    <definedName name="DropDown_Cantilever_Brace_Bolt_Set">#REF!</definedName>
    <definedName name="DropDown_Cantilever_Column">#REF!</definedName>
    <definedName name="DropDown_Cantilever_Column_Bolt_Set">#REF!</definedName>
    <definedName name="DropDown_Cantilever_H_Brace">#REF!</definedName>
    <definedName name="DropDown_Cantilever_X_Brace">#REF!</definedName>
    <definedName name="DropDown_Coating_Type">#REF!</definedName>
    <definedName name="DropDown_Drive_in_Back_Beam">#REF!</definedName>
    <definedName name="DropDown_Drive_in_Forklift_Guide">#REF!</definedName>
    <definedName name="DropDown_Drive_in_Pallet_Rail">#REF!</definedName>
    <definedName name="DropDown_Drive_in_Support_Arm">#REF!</definedName>
    <definedName name="DropDown_Drive_in_X_Brace">#REF!</definedName>
    <definedName name="DropDown_ERP">#REF!</definedName>
    <definedName name="DropDown_Footplate">#REF!</definedName>
    <definedName name="DropDown_Post_Protector">#REF!</definedName>
    <definedName name="DropDown_Safety_Pin">#REF!</definedName>
    <definedName name="DropDown_Shim_Plate">#REF!</definedName>
    <definedName name="DropDown_Upright_Accessories">#REF!</definedName>
    <definedName name="DropDown_Upright_Pitch">#REF!</definedName>
    <definedName name="DropDown_Upright_Profile">#REF!</definedName>
    <definedName name="DrowDown_Brace_Pattern">#REF!</definedName>
    <definedName name="DrowDown_Brace_Size">#REF!</definedName>
    <definedName name="DrowDown_Colour">#REF!</definedName>
    <definedName name="DrowDown_Frame_Depth">#REF!</definedName>
    <definedName name="DrowDown_Upright_Pitch">#REF!</definedName>
    <definedName name="DrowDown_Upright_Thickness">#REF!</definedName>
    <definedName name="ExternalData_1" localSheetId="7" hidden="1">Sheet1!#REF!</definedName>
    <definedName name="ExternalData_1" localSheetId="11" hidden="1">历史价格!#REF!</definedName>
    <definedName name="ExternalData_1" localSheetId="3" hidden="1">设计清单!#REF!</definedName>
    <definedName name="ExternalData_1" localSheetId="8">下拉菜单!#REF!</definedName>
    <definedName name="First_Beam_Height">#REF!</definedName>
    <definedName name="First_H_brace高度">#REF!</definedName>
    <definedName name="FOB_NJ_40FCL">#REF!</definedName>
    <definedName name="FOB_Sha_40FCL">#REF!</definedName>
    <definedName name="Nose_area">#REF!</definedName>
    <definedName name="Pc_m2">#REF!</definedName>
    <definedName name="PcUV_m2">#REF!</definedName>
    <definedName name="Pitch_Qty">#REF!</definedName>
    <definedName name="Pitch步距">#REF!</definedName>
    <definedName name="_xlnm.Print_Area" localSheetId="0">' price 恒鑫荣'!$B$1:$K$35</definedName>
    <definedName name="_xlnm.Print_Area" localSheetId="2">'Price PDF'!$B$1:$J$43</definedName>
    <definedName name="_xlnm.Print_Area" localSheetId="10">部件清单!$B$1:$L$19</definedName>
    <definedName name="_xlnm.Print_Area" localSheetId="11">历史价格!$B$1:$H$9</definedName>
    <definedName name="_xlnm.Print_Area" localSheetId="3">设计清单!$B$1:$I$54</definedName>
    <definedName name="_xlnm.Print_Titles" localSheetId="0">' price 恒鑫荣'!$1:$12</definedName>
    <definedName name="_xlnm.Print_Titles" localSheetId="2">'Price PDF'!$1:$13</definedName>
    <definedName name="_xlnm.Print_Titles" localSheetId="11">历史价格!$1:$1</definedName>
    <definedName name="_xlnm.Print_Titles" localSheetId="3">设计清单!$1:$13</definedName>
    <definedName name="RMB_to_USD">#REF!</definedName>
    <definedName name="Tax_Rebate">#REF!</definedName>
    <definedName name="Tax_Rebate_Factor">#REF!</definedName>
    <definedName name="Upright_Height">#REF!</definedName>
    <definedName name="VAT_Rate">#REF!</definedName>
    <definedName name="光亮带">#REF!</definedName>
    <definedName name="连接1" localSheetId="8">下拉菜单!$BR$1:$BY$56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9" i="30" l="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BR787" i="21" l="1"/>
  <c r="BA787" i="21"/>
  <c r="AZ787" i="21"/>
  <c r="BB787" i="21" s="1"/>
  <c r="AY787" i="21"/>
  <c r="AX787" i="21"/>
  <c r="H787" i="21"/>
  <c r="A787" i="21"/>
  <c r="B787" i="21" s="1"/>
  <c r="E783" i="21"/>
  <c r="D783" i="21"/>
  <c r="H782" i="21" s="1"/>
  <c r="BR782" i="21"/>
  <c r="AZ782" i="21"/>
  <c r="AY782" i="21"/>
  <c r="AX782" i="21"/>
  <c r="G782" i="21"/>
  <c r="BA782" i="21" s="1"/>
  <c r="A782" i="21"/>
  <c r="B782" i="21" s="1"/>
  <c r="BB782" i="21" l="1"/>
  <c r="E226" i="10" l="1"/>
  <c r="E225" i="10"/>
  <c r="E224" i="10"/>
  <c r="E223" i="10"/>
  <c r="E220" i="10"/>
  <c r="E219" i="10"/>
  <c r="E218" i="10"/>
  <c r="E217" i="10"/>
  <c r="E216" i="10"/>
  <c r="E214" i="10"/>
  <c r="D213" i="10"/>
  <c r="D208" i="10"/>
  <c r="E207" i="10"/>
  <c r="N206" i="10"/>
  <c r="E206" i="10"/>
  <c r="E205" i="10"/>
  <c r="N204" i="10"/>
  <c r="E204" i="10"/>
  <c r="E203" i="10"/>
  <c r="E202" i="10"/>
  <c r="E201" i="10"/>
  <c r="D200" i="10"/>
  <c r="D199" i="10"/>
  <c r="D198"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21" i="10"/>
  <c r="D20" i="10"/>
  <c r="D19" i="10"/>
  <c r="D18" i="10"/>
  <c r="D17" i="10"/>
  <c r="D16" i="10"/>
  <c r="D15" i="10"/>
  <c r="D14" i="10"/>
  <c r="D13" i="10"/>
  <c r="D12" i="10"/>
  <c r="D11" i="10"/>
  <c r="D10" i="10"/>
  <c r="D9" i="10"/>
  <c r="D8" i="10"/>
  <c r="D7" i="10"/>
  <c r="D6" i="10"/>
  <c r="D5" i="10"/>
  <c r="D4" i="10"/>
  <c r="K16" i="7"/>
  <c r="D13" i="7"/>
  <c r="C13" i="7"/>
  <c r="L12" i="7"/>
  <c r="K12" i="7"/>
  <c r="H12" i="7"/>
  <c r="G12" i="7"/>
  <c r="F12" i="7"/>
  <c r="E12" i="7"/>
  <c r="D12" i="7"/>
  <c r="C12" i="7"/>
  <c r="K11" i="7"/>
  <c r="D6" i="7"/>
  <c r="C6" i="7"/>
  <c r="H5" i="7"/>
  <c r="G5" i="7"/>
  <c r="F5" i="7"/>
  <c r="E5" i="7"/>
  <c r="D5" i="7"/>
  <c r="C5" i="7"/>
  <c r="G5" i="6"/>
  <c r="Q4" i="6"/>
  <c r="O4" i="6"/>
  <c r="M4" i="6"/>
  <c r="K4" i="6"/>
  <c r="I4" i="6"/>
  <c r="G4" i="6"/>
  <c r="E4" i="6"/>
  <c r="E48" i="12"/>
  <c r="D48" i="12"/>
  <c r="C48" i="12"/>
  <c r="B48" i="12"/>
  <c r="A48" i="12"/>
  <c r="E47" i="12"/>
  <c r="D47" i="12"/>
  <c r="C47" i="12"/>
  <c r="B47" i="12"/>
  <c r="A47" i="12"/>
  <c r="E46" i="12"/>
  <c r="D46" i="12"/>
  <c r="C46" i="12"/>
  <c r="B46" i="12"/>
  <c r="A46" i="12"/>
  <c r="E45" i="12"/>
  <c r="D45" i="12"/>
  <c r="C45" i="12"/>
  <c r="B45" i="12"/>
  <c r="A45" i="12"/>
  <c r="E44" i="12"/>
  <c r="D44" i="12"/>
  <c r="C44" i="12"/>
  <c r="B44" i="12"/>
  <c r="A44" i="12"/>
  <c r="E43" i="12"/>
  <c r="D43" i="12"/>
  <c r="C43" i="12"/>
  <c r="B43" i="12"/>
  <c r="A43" i="12"/>
  <c r="E42" i="12"/>
  <c r="D42" i="12"/>
  <c r="C42" i="12"/>
  <c r="B42" i="12"/>
  <c r="A42" i="12"/>
  <c r="E41" i="12"/>
  <c r="D41" i="12"/>
  <c r="C41" i="12"/>
  <c r="B41" i="12"/>
  <c r="A41" i="12"/>
  <c r="E40" i="12"/>
  <c r="D40" i="12"/>
  <c r="C40" i="12"/>
  <c r="B40" i="12"/>
  <c r="A40" i="12"/>
  <c r="E39" i="12"/>
  <c r="D39" i="12"/>
  <c r="C39" i="12"/>
  <c r="B39" i="12"/>
  <c r="A39" i="12"/>
  <c r="E38" i="12"/>
  <c r="D38" i="12"/>
  <c r="C38" i="12"/>
  <c r="B38" i="12"/>
  <c r="A38" i="12"/>
  <c r="E37" i="12"/>
  <c r="D37" i="12"/>
  <c r="C37" i="12"/>
  <c r="B37" i="12"/>
  <c r="A37" i="12"/>
  <c r="E36" i="12"/>
  <c r="D36" i="12"/>
  <c r="C36" i="12"/>
  <c r="B36" i="12"/>
  <c r="A36" i="12"/>
  <c r="E35" i="12"/>
  <c r="D35" i="12"/>
  <c r="C35" i="12"/>
  <c r="B35" i="12"/>
  <c r="A35" i="12"/>
  <c r="E34" i="12"/>
  <c r="D34" i="12"/>
  <c r="C34" i="12"/>
  <c r="B34" i="12"/>
  <c r="A34" i="12"/>
  <c r="E33" i="12"/>
  <c r="D33" i="12"/>
  <c r="C33" i="12"/>
  <c r="B33" i="12"/>
  <c r="A33" i="12"/>
  <c r="E32" i="12"/>
  <c r="D32" i="12"/>
  <c r="C32" i="12"/>
  <c r="B32" i="12"/>
  <c r="A32" i="12"/>
  <c r="E31" i="12"/>
  <c r="D31" i="12"/>
  <c r="C31" i="12"/>
  <c r="B31" i="12"/>
  <c r="A31" i="12"/>
  <c r="E30" i="12"/>
  <c r="D30" i="12"/>
  <c r="C30" i="12"/>
  <c r="B30" i="12"/>
  <c r="A30" i="12"/>
  <c r="E29" i="12"/>
  <c r="D29" i="12"/>
  <c r="C29" i="12"/>
  <c r="B29" i="12"/>
  <c r="A29" i="12"/>
  <c r="E28" i="12"/>
  <c r="D28" i="12"/>
  <c r="C28" i="12"/>
  <c r="B28" i="12"/>
  <c r="A28" i="12"/>
  <c r="E27" i="12"/>
  <c r="A27" i="12"/>
  <c r="E26" i="12"/>
  <c r="A26" i="12"/>
  <c r="E25" i="12"/>
  <c r="A25" i="12"/>
  <c r="E24" i="12"/>
  <c r="D24" i="12"/>
  <c r="C24" i="12"/>
  <c r="B24" i="12"/>
  <c r="A24" i="12"/>
  <c r="E23" i="12"/>
  <c r="D23" i="12"/>
  <c r="C23" i="12"/>
  <c r="B23" i="12"/>
  <c r="A23" i="12"/>
  <c r="E22" i="12"/>
  <c r="D22" i="12"/>
  <c r="C22" i="12"/>
  <c r="B22" i="12"/>
  <c r="A22" i="12"/>
  <c r="E21" i="12"/>
  <c r="D21" i="12"/>
  <c r="C21" i="12"/>
  <c r="B21" i="12"/>
  <c r="A21" i="12"/>
  <c r="E20" i="12"/>
  <c r="D20" i="12"/>
  <c r="C20" i="12"/>
  <c r="B20" i="12"/>
  <c r="A20" i="12"/>
  <c r="E19" i="12"/>
  <c r="D19" i="12"/>
  <c r="C19" i="12"/>
  <c r="B19" i="12"/>
  <c r="A19" i="12"/>
  <c r="E18" i="12"/>
  <c r="D18" i="12"/>
  <c r="C18" i="12"/>
  <c r="B18" i="12"/>
  <c r="A18" i="12"/>
  <c r="E17" i="12"/>
  <c r="D17" i="12"/>
  <c r="C17" i="12"/>
  <c r="B17" i="12"/>
  <c r="A17" i="12"/>
  <c r="E16" i="12"/>
  <c r="D16" i="12"/>
  <c r="C16" i="12"/>
  <c r="B16" i="12"/>
  <c r="A16" i="12"/>
  <c r="E15" i="12"/>
  <c r="D15" i="12"/>
  <c r="C15" i="12"/>
  <c r="B15" i="12"/>
  <c r="A15" i="12"/>
  <c r="E14" i="12"/>
  <c r="D14" i="12"/>
  <c r="C14" i="12"/>
  <c r="B14" i="12"/>
  <c r="A14" i="12"/>
  <c r="E13" i="12"/>
  <c r="D13" i="12"/>
  <c r="C13" i="12"/>
  <c r="B13" i="12"/>
  <c r="A13" i="12"/>
  <c r="E12" i="12"/>
  <c r="D12" i="12"/>
  <c r="C12" i="12"/>
  <c r="B12" i="12"/>
  <c r="A12" i="12"/>
  <c r="E11" i="12"/>
  <c r="D11" i="12"/>
  <c r="C11" i="12"/>
  <c r="B11" i="12"/>
  <c r="A11" i="12"/>
  <c r="E10" i="12"/>
  <c r="D10" i="12"/>
  <c r="C10" i="12"/>
  <c r="B10" i="12"/>
  <c r="A10" i="12"/>
  <c r="E9" i="12"/>
  <c r="C9" i="12"/>
  <c r="B9" i="12"/>
  <c r="A9" i="12"/>
  <c r="E8" i="12"/>
  <c r="D8" i="12"/>
  <c r="C8" i="12"/>
  <c r="B8" i="12"/>
  <c r="A8" i="12"/>
  <c r="E7" i="12"/>
  <c r="D7" i="12"/>
  <c r="C7" i="12"/>
  <c r="B7" i="12"/>
  <c r="A7" i="12"/>
  <c r="E6" i="12"/>
  <c r="D6" i="12"/>
  <c r="C6" i="12"/>
  <c r="B6" i="12"/>
  <c r="A6" i="12"/>
  <c r="E5" i="12"/>
  <c r="D5" i="12"/>
  <c r="C5" i="12"/>
  <c r="B5" i="12"/>
  <c r="A5" i="12"/>
  <c r="E4" i="12"/>
  <c r="C4" i="12"/>
  <c r="B4" i="12"/>
  <c r="A4" i="12"/>
  <c r="E3" i="12"/>
  <c r="D3" i="12"/>
  <c r="C3" i="12"/>
  <c r="B3" i="12"/>
  <c r="A3" i="12"/>
  <c r="D2" i="12"/>
  <c r="C2" i="12"/>
  <c r="B2" i="12"/>
  <c r="A2" i="12"/>
  <c r="Q1" i="12"/>
  <c r="P1" i="12"/>
  <c r="O1" i="12"/>
  <c r="N1" i="12"/>
  <c r="M1" i="12"/>
  <c r="L1" i="12"/>
  <c r="E1" i="12"/>
  <c r="D1" i="12"/>
  <c r="C1" i="12"/>
  <c r="B1" i="12"/>
  <c r="A1" i="12"/>
  <c r="J33" i="29"/>
  <c r="I33" i="29"/>
  <c r="H33" i="29"/>
  <c r="F33" i="29"/>
  <c r="J32" i="29"/>
  <c r="I32" i="29"/>
  <c r="H32" i="29"/>
  <c r="G32" i="29"/>
  <c r="F32" i="29"/>
  <c r="J31" i="29"/>
  <c r="I31" i="29"/>
  <c r="H31" i="29"/>
  <c r="G31" i="29"/>
  <c r="F31" i="29"/>
  <c r="BI25" i="11"/>
  <c r="BI24" i="11"/>
  <c r="BI23" i="11"/>
  <c r="I23" i="11"/>
  <c r="BI22" i="11"/>
  <c r="I22" i="11"/>
  <c r="BI21" i="11"/>
  <c r="I21" i="11"/>
  <c r="BI20" i="11"/>
  <c r="I20" i="11"/>
  <c r="G20" i="11"/>
  <c r="BI19" i="11"/>
  <c r="I19" i="11"/>
  <c r="G19" i="11"/>
  <c r="BI18" i="11"/>
  <c r="Z18" i="11"/>
  <c r="Y18" i="11"/>
  <c r="N18" i="11"/>
  <c r="M18" i="11"/>
  <c r="I18" i="11"/>
  <c r="H18" i="11"/>
  <c r="G18" i="11"/>
  <c r="BI17" i="11"/>
  <c r="AB17" i="11"/>
  <c r="Z17" i="11"/>
  <c r="Y17" i="11"/>
  <c r="N17" i="11"/>
  <c r="M17" i="11"/>
  <c r="I17" i="11"/>
  <c r="H17" i="11"/>
  <c r="G17" i="11"/>
  <c r="BI16" i="11"/>
  <c r="AL16" i="11"/>
  <c r="AB16" i="11"/>
  <c r="Z16" i="11"/>
  <c r="Y16" i="11"/>
  <c r="N16" i="11"/>
  <c r="M16" i="11"/>
  <c r="I16" i="11"/>
  <c r="H16" i="11"/>
  <c r="G16" i="11"/>
  <c r="BI15" i="11"/>
  <c r="AL15" i="11"/>
  <c r="AB15" i="11"/>
  <c r="Z15" i="11"/>
  <c r="Y15" i="11"/>
  <c r="O15" i="11"/>
  <c r="N15" i="11"/>
  <c r="M15" i="11"/>
  <c r="I15" i="11"/>
  <c r="H15" i="11"/>
  <c r="G15" i="11"/>
  <c r="BI14" i="11"/>
  <c r="AL14" i="11"/>
  <c r="AB14" i="11"/>
  <c r="Z14" i="11"/>
  <c r="Y14" i="11"/>
  <c r="O14" i="11"/>
  <c r="N14" i="11"/>
  <c r="M14" i="11"/>
  <c r="I14" i="11"/>
  <c r="H14" i="11"/>
  <c r="G14" i="11"/>
  <c r="F14" i="11"/>
  <c r="BI13" i="11"/>
  <c r="AL13" i="11"/>
  <c r="AC13" i="11"/>
  <c r="AB13" i="11"/>
  <c r="Z13" i="11"/>
  <c r="Y13" i="11"/>
  <c r="U13" i="11"/>
  <c r="N13" i="11"/>
  <c r="M13" i="11"/>
  <c r="I13" i="11"/>
  <c r="H13" i="11"/>
  <c r="G13" i="11"/>
  <c r="F13" i="11"/>
  <c r="BI12" i="11"/>
  <c r="AL12" i="11"/>
  <c r="AC12" i="11"/>
  <c r="AB12" i="11"/>
  <c r="Z12" i="11"/>
  <c r="Y12" i="11"/>
  <c r="X12" i="11"/>
  <c r="U12" i="11"/>
  <c r="S12" i="11"/>
  <c r="N12" i="11"/>
  <c r="M12" i="11"/>
  <c r="I12" i="11"/>
  <c r="H12" i="11"/>
  <c r="G12" i="11"/>
  <c r="BI11" i="11"/>
  <c r="AL11" i="11"/>
  <c r="AC11" i="11"/>
  <c r="AB11" i="11"/>
  <c r="Z11" i="11"/>
  <c r="Y11" i="11"/>
  <c r="X11" i="11"/>
  <c r="U11" i="11"/>
  <c r="S11" i="11"/>
  <c r="N11" i="11"/>
  <c r="M11" i="11"/>
  <c r="I11" i="11"/>
  <c r="H11" i="11"/>
  <c r="G11" i="11"/>
  <c r="BI10" i="11"/>
  <c r="AL10" i="11"/>
  <c r="AC10" i="11"/>
  <c r="AB10" i="11"/>
  <c r="Z10" i="11"/>
  <c r="Y10" i="11"/>
  <c r="X10" i="11"/>
  <c r="U10" i="11"/>
  <c r="S10" i="11"/>
  <c r="N10" i="11"/>
  <c r="M10" i="11"/>
  <c r="I10" i="11"/>
  <c r="H10" i="11"/>
  <c r="G10" i="11"/>
  <c r="F10" i="11"/>
  <c r="BI9" i="11"/>
  <c r="AL9" i="11"/>
  <c r="AI9" i="11"/>
  <c r="AC9" i="11"/>
  <c r="AB9" i="11"/>
  <c r="Z9" i="11"/>
  <c r="Y9" i="11"/>
  <c r="X9" i="11"/>
  <c r="U9" i="11"/>
  <c r="S9" i="11"/>
  <c r="O9" i="11"/>
  <c r="N9" i="11"/>
  <c r="M9" i="11"/>
  <c r="I9" i="11"/>
  <c r="H9" i="11"/>
  <c r="G9" i="11"/>
  <c r="F9" i="11"/>
  <c r="BI8" i="11"/>
  <c r="AL8" i="11"/>
  <c r="AI8" i="11"/>
  <c r="AC8" i="11"/>
  <c r="AB8" i="11"/>
  <c r="Z8" i="11"/>
  <c r="Y8" i="11"/>
  <c r="X8" i="11"/>
  <c r="U8" i="11"/>
  <c r="S8" i="11"/>
  <c r="O8" i="11"/>
  <c r="N8" i="11"/>
  <c r="M8" i="11"/>
  <c r="I8" i="11"/>
  <c r="H8" i="11"/>
  <c r="G8" i="11"/>
  <c r="F8" i="11"/>
  <c r="BI7" i="11"/>
  <c r="AL7" i="11"/>
  <c r="AI7" i="11"/>
  <c r="AD7" i="11"/>
  <c r="AC7" i="11"/>
  <c r="AB7" i="11"/>
  <c r="AA7" i="11"/>
  <c r="Z7" i="11"/>
  <c r="Y7" i="11"/>
  <c r="X7" i="11"/>
  <c r="U7" i="11"/>
  <c r="S7" i="11"/>
  <c r="O7" i="11"/>
  <c r="N7" i="11"/>
  <c r="M7" i="11"/>
  <c r="I7" i="11"/>
  <c r="H7" i="11"/>
  <c r="G7" i="11"/>
  <c r="F7" i="11"/>
  <c r="BI6" i="11"/>
  <c r="AI6" i="11"/>
  <c r="AD6" i="11"/>
  <c r="AC6" i="11"/>
  <c r="AB6" i="11"/>
  <c r="AA6" i="11"/>
  <c r="Z6" i="11"/>
  <c r="Y6" i="11"/>
  <c r="X6" i="11"/>
  <c r="V6" i="11"/>
  <c r="U6" i="11"/>
  <c r="S6" i="11"/>
  <c r="O6" i="11"/>
  <c r="N6" i="11"/>
  <c r="M6" i="11"/>
  <c r="I6" i="11"/>
  <c r="H6" i="11"/>
  <c r="G6" i="11"/>
  <c r="F6" i="11"/>
  <c r="BI5" i="11"/>
  <c r="AI5" i="11"/>
  <c r="AF5" i="11"/>
  <c r="AD5" i="11"/>
  <c r="AC5" i="11"/>
  <c r="AB5" i="11"/>
  <c r="AA5" i="11"/>
  <c r="Z5" i="11"/>
  <c r="Y5" i="11"/>
  <c r="X5" i="11"/>
  <c r="W5" i="11"/>
  <c r="V5" i="11"/>
  <c r="U5" i="11"/>
  <c r="S5" i="11"/>
  <c r="O5" i="11"/>
  <c r="N5" i="11"/>
  <c r="M5" i="11"/>
  <c r="I5" i="11"/>
  <c r="H5" i="11"/>
  <c r="G5" i="11"/>
  <c r="F5" i="11"/>
  <c r="BI4" i="11"/>
  <c r="AI4" i="11"/>
  <c r="AF4" i="11"/>
  <c r="AD4" i="11"/>
  <c r="AC4" i="11"/>
  <c r="AB4" i="11"/>
  <c r="AA4" i="11"/>
  <c r="Z4" i="11"/>
  <c r="Y4" i="11"/>
  <c r="X4" i="11"/>
  <c r="W4" i="11"/>
  <c r="V4" i="11"/>
  <c r="U4" i="11"/>
  <c r="T4" i="11"/>
  <c r="S4" i="11"/>
  <c r="O4" i="11"/>
  <c r="N4" i="11"/>
  <c r="M4" i="11"/>
  <c r="I4" i="11"/>
  <c r="H4" i="11"/>
  <c r="G4" i="11"/>
  <c r="F4" i="11"/>
  <c r="BI3" i="11"/>
  <c r="AI3" i="11"/>
  <c r="AG3" i="11"/>
  <c r="AF3" i="11"/>
  <c r="AD3" i="11"/>
  <c r="AC3" i="11"/>
  <c r="AB3" i="11"/>
  <c r="AA3" i="11"/>
  <c r="Z3" i="11"/>
  <c r="Y3" i="11"/>
  <c r="X3" i="11"/>
  <c r="W3" i="11"/>
  <c r="V3" i="11"/>
  <c r="U3" i="11"/>
  <c r="T3" i="11"/>
  <c r="S3" i="11"/>
  <c r="O3" i="11"/>
  <c r="N3" i="11"/>
  <c r="M3" i="11"/>
  <c r="I3" i="11"/>
  <c r="H3" i="11"/>
  <c r="G3" i="11"/>
  <c r="F3" i="11"/>
  <c r="BI2" i="11"/>
  <c r="AI2" i="11"/>
  <c r="AG2" i="11"/>
  <c r="AF2" i="11"/>
  <c r="AE2" i="11" a="1"/>
  <c r="AE2" i="11"/>
  <c r="AD2" i="11"/>
  <c r="AC2" i="11"/>
  <c r="AB2" i="11"/>
  <c r="AA2" i="11"/>
  <c r="Z2" i="11"/>
  <c r="Y2" i="11"/>
  <c r="X2" i="11"/>
  <c r="W2" i="11"/>
  <c r="V2" i="11"/>
  <c r="U2" i="11"/>
  <c r="T2" i="11"/>
  <c r="S2" i="11"/>
  <c r="O2" i="11"/>
  <c r="M2" i="11"/>
  <c r="K2" i="11" a="1"/>
  <c r="K2" i="11" s="1"/>
  <c r="J2" i="11" a="1"/>
  <c r="J2" i="11" s="1"/>
  <c r="I2" i="11"/>
  <c r="H2" i="11"/>
  <c r="G2" i="11"/>
  <c r="F2" i="11"/>
  <c r="G615" i="8"/>
  <c r="D615" i="8"/>
  <c r="C615" i="8"/>
  <c r="G614" i="8"/>
  <c r="D614" i="8"/>
  <c r="C614" i="8"/>
  <c r="G613" i="8"/>
  <c r="D613" i="8"/>
  <c r="C613" i="8"/>
  <c r="G612" i="8"/>
  <c r="D612" i="8"/>
  <c r="C612" i="8"/>
  <c r="G611" i="8"/>
  <c r="D611" i="8"/>
  <c r="C611" i="8"/>
  <c r="G610" i="8"/>
  <c r="D610" i="8"/>
  <c r="C610" i="8"/>
  <c r="G609" i="8"/>
  <c r="D609" i="8"/>
  <c r="C609" i="8"/>
  <c r="G608" i="8"/>
  <c r="D608" i="8"/>
  <c r="C608" i="8"/>
  <c r="G607" i="8"/>
  <c r="D607" i="8"/>
  <c r="C607" i="8"/>
  <c r="G606" i="8"/>
  <c r="D606" i="8"/>
  <c r="C606" i="8"/>
  <c r="G605" i="8"/>
  <c r="D605" i="8"/>
  <c r="C605" i="8"/>
  <c r="G604" i="8"/>
  <c r="D604" i="8"/>
  <c r="C604" i="8"/>
  <c r="G603" i="8"/>
  <c r="D603" i="8"/>
  <c r="C603" i="8"/>
  <c r="G602" i="8"/>
  <c r="D602" i="8"/>
  <c r="C602" i="8"/>
  <c r="G601" i="8"/>
  <c r="D601" i="8"/>
  <c r="C601" i="8"/>
  <c r="G600" i="8"/>
  <c r="D600" i="8"/>
  <c r="C600" i="8"/>
  <c r="G599" i="8"/>
  <c r="D599" i="8"/>
  <c r="C599" i="8"/>
  <c r="G598" i="8"/>
  <c r="D598" i="8"/>
  <c r="G597" i="8"/>
  <c r="D597" i="8"/>
  <c r="A593" i="8"/>
  <c r="A592" i="8"/>
  <c r="A591" i="8"/>
  <c r="A590" i="8"/>
  <c r="A589" i="8"/>
  <c r="A588" i="8"/>
  <c r="A587" i="8"/>
  <c r="A586" i="8"/>
  <c r="A585" i="8"/>
  <c r="A584" i="8"/>
  <c r="A583" i="8"/>
  <c r="A582" i="8"/>
  <c r="A581" i="8"/>
  <c r="A580" i="8"/>
  <c r="A579" i="8"/>
  <c r="A578" i="8"/>
  <c r="A577" i="8"/>
  <c r="A576" i="8"/>
  <c r="A575" i="8"/>
  <c r="C557" i="8"/>
  <c r="J556" i="8"/>
  <c r="J555" i="8"/>
  <c r="C554" i="8"/>
  <c r="C553" i="8"/>
  <c r="J552" i="8"/>
  <c r="C552" i="8"/>
  <c r="J551" i="8"/>
  <c r="C551" i="8"/>
  <c r="J550" i="8"/>
  <c r="C550" i="8"/>
  <c r="K545" i="8"/>
  <c r="D545" i="8"/>
  <c r="K544" i="8"/>
  <c r="J544" i="8"/>
  <c r="E544" i="8"/>
  <c r="C544" i="8"/>
  <c r="J543" i="8"/>
  <c r="C543" i="8"/>
  <c r="K536" i="8"/>
  <c r="J536" i="8"/>
  <c r="E536" i="8"/>
  <c r="D536" i="8"/>
  <c r="K535" i="8"/>
  <c r="J535" i="8"/>
  <c r="E535" i="8"/>
  <c r="D535" i="8"/>
  <c r="K534" i="8"/>
  <c r="J534" i="8"/>
  <c r="K533" i="8"/>
  <c r="J533" i="8"/>
  <c r="D707" i="21" s="1"/>
  <c r="E527" i="8"/>
  <c r="E526" i="8"/>
  <c r="E525" i="8"/>
  <c r="C525" i="8"/>
  <c r="E524" i="8"/>
  <c r="C524" i="8"/>
  <c r="K517" i="8"/>
  <c r="J517" i="8"/>
  <c r="D630" i="21" s="1"/>
  <c r="K516" i="8"/>
  <c r="J516" i="8"/>
  <c r="C516" i="8"/>
  <c r="K515" i="8"/>
  <c r="J515" i="8"/>
  <c r="C515" i="8"/>
  <c r="C506" i="8"/>
  <c r="C505" i="8"/>
  <c r="D501" i="8"/>
  <c r="C501" i="8"/>
  <c r="D500" i="8"/>
  <c r="C500" i="8"/>
  <c r="D499" i="8"/>
  <c r="C499" i="8"/>
  <c r="D498" i="8"/>
  <c r="C498" i="8"/>
  <c r="J490" i="8"/>
  <c r="D490" i="8"/>
  <c r="C490" i="8"/>
  <c r="J489" i="8"/>
  <c r="D489" i="8"/>
  <c r="K484" i="8"/>
  <c r="J484" i="8"/>
  <c r="D436" i="21" s="1"/>
  <c r="C484" i="8"/>
  <c r="K483" i="8"/>
  <c r="J483" i="8"/>
  <c r="K482" i="8"/>
  <c r="J482" i="8"/>
  <c r="K480" i="8"/>
  <c r="J480" i="8"/>
  <c r="K479" i="8"/>
  <c r="J479" i="8"/>
  <c r="K478" i="8"/>
  <c r="J478" i="8"/>
  <c r="K477" i="8"/>
  <c r="J477" i="8"/>
  <c r="K476" i="8"/>
  <c r="J476" i="8"/>
  <c r="K475" i="8"/>
  <c r="J475" i="8"/>
  <c r="K474" i="8"/>
  <c r="J474" i="8"/>
  <c r="K473" i="8"/>
  <c r="J473" i="8"/>
  <c r="K472" i="8"/>
  <c r="J472" i="8"/>
  <c r="K471" i="8"/>
  <c r="J471" i="8"/>
  <c r="K470" i="8"/>
  <c r="J470" i="8"/>
  <c r="D470" i="8"/>
  <c r="C470" i="8"/>
  <c r="K469" i="8"/>
  <c r="J469" i="8"/>
  <c r="D469" i="8"/>
  <c r="C469" i="8"/>
  <c r="K468" i="8"/>
  <c r="J468" i="8"/>
  <c r="D468" i="8"/>
  <c r="C468" i="8"/>
  <c r="E458" i="8"/>
  <c r="E457" i="8"/>
  <c r="E456" i="8"/>
  <c r="E455" i="8"/>
  <c r="E454" i="8"/>
  <c r="E453" i="8"/>
  <c r="E452" i="8"/>
  <c r="E451" i="8"/>
  <c r="E450" i="8"/>
  <c r="E449" i="8"/>
  <c r="E448" i="8"/>
  <c r="E447" i="8"/>
  <c r="E446" i="8"/>
  <c r="E445" i="8"/>
  <c r="E444" i="8"/>
  <c r="E439" i="8"/>
  <c r="C439" i="8"/>
  <c r="E438" i="8"/>
  <c r="C438" i="8"/>
  <c r="E437" i="8"/>
  <c r="E436" i="8"/>
  <c r="E435" i="8"/>
  <c r="E434" i="8"/>
  <c r="E433" i="8"/>
  <c r="E432" i="8"/>
  <c r="K424" i="8"/>
  <c r="J424" i="8"/>
  <c r="C424" i="8"/>
  <c r="K423" i="8"/>
  <c r="J423" i="8"/>
  <c r="K418" i="8"/>
  <c r="J418" i="8"/>
  <c r="D418" i="8"/>
  <c r="C418" i="8"/>
  <c r="K417" i="8"/>
  <c r="J417" i="8"/>
  <c r="K416" i="8"/>
  <c r="J416" i="8"/>
  <c r="D416" i="8"/>
  <c r="C416" i="8"/>
  <c r="K415" i="8"/>
  <c r="J415" i="8"/>
  <c r="D428" i="21" s="1"/>
  <c r="K414" i="8"/>
  <c r="K404" i="8"/>
  <c r="J404" i="8"/>
  <c r="E404" i="8"/>
  <c r="D404" i="8"/>
  <c r="C404" i="8"/>
  <c r="K403" i="8"/>
  <c r="J403" i="8"/>
  <c r="E403" i="8"/>
  <c r="D403" i="8"/>
  <c r="C403" i="8"/>
  <c r="K402" i="8"/>
  <c r="J402" i="8"/>
  <c r="E402" i="8"/>
  <c r="D402" i="8"/>
  <c r="C402" i="8"/>
  <c r="K401" i="8"/>
  <c r="J401" i="8"/>
  <c r="E401" i="8"/>
  <c r="D401" i="8"/>
  <c r="C401" i="8"/>
  <c r="K400" i="8"/>
  <c r="J400" i="8"/>
  <c r="E400" i="8"/>
  <c r="D400" i="8"/>
  <c r="C400" i="8"/>
  <c r="K399" i="8"/>
  <c r="J399" i="8"/>
  <c r="E399" i="8"/>
  <c r="D399" i="8"/>
  <c r="C399" i="8"/>
  <c r="K398" i="8"/>
  <c r="J398" i="8"/>
  <c r="E398" i="8"/>
  <c r="D398" i="8"/>
  <c r="C398" i="8"/>
  <c r="K397" i="8"/>
  <c r="J397" i="8"/>
  <c r="E397" i="8"/>
  <c r="D397" i="8"/>
  <c r="C397" i="8"/>
  <c r="K396" i="8"/>
  <c r="J396" i="8"/>
  <c r="E396" i="8"/>
  <c r="D396" i="8"/>
  <c r="C396" i="8"/>
  <c r="J389" i="8"/>
  <c r="E389" i="8"/>
  <c r="D389" i="8"/>
  <c r="C389" i="8"/>
  <c r="J388" i="8"/>
  <c r="E388" i="8"/>
  <c r="D388" i="8"/>
  <c r="C388" i="8"/>
  <c r="J387" i="8"/>
  <c r="E387" i="8"/>
  <c r="D387" i="8"/>
  <c r="C387" i="8"/>
  <c r="K380" i="8"/>
  <c r="J380" i="8"/>
  <c r="E380" i="8"/>
  <c r="D380" i="8"/>
  <c r="C380" i="8"/>
  <c r="K379" i="8"/>
  <c r="J379" i="8"/>
  <c r="E379" i="8"/>
  <c r="D379" i="8"/>
  <c r="C379" i="8"/>
  <c r="K378" i="8"/>
  <c r="J378" i="8"/>
  <c r="E378" i="8"/>
  <c r="D378" i="8"/>
  <c r="C378" i="8"/>
  <c r="K377" i="8"/>
  <c r="J377" i="8"/>
  <c r="E377" i="8"/>
  <c r="D377" i="8"/>
  <c r="C377" i="8"/>
  <c r="K376" i="8"/>
  <c r="J376" i="8"/>
  <c r="D684" i="21" s="1"/>
  <c r="E376" i="8"/>
  <c r="D413" i="21" s="1"/>
  <c r="D376" i="8"/>
  <c r="C376" i="8"/>
  <c r="K375" i="8"/>
  <c r="J375" i="8"/>
  <c r="E375" i="8"/>
  <c r="D375" i="8"/>
  <c r="C375" i="8"/>
  <c r="K374" i="8"/>
  <c r="J374" i="8"/>
  <c r="E374" i="8"/>
  <c r="D374" i="8"/>
  <c r="C374" i="8"/>
  <c r="K373" i="8"/>
  <c r="J373" i="8"/>
  <c r="E373" i="8"/>
  <c r="D373" i="8"/>
  <c r="C373" i="8"/>
  <c r="K372" i="8"/>
  <c r="J372" i="8"/>
  <c r="E372" i="8"/>
  <c r="D372" i="8"/>
  <c r="C372" i="8"/>
  <c r="J366" i="8"/>
  <c r="J365" i="8"/>
  <c r="K356" i="8"/>
  <c r="J356" i="8"/>
  <c r="D268" i="21" s="1"/>
  <c r="C356" i="8"/>
  <c r="K355" i="8"/>
  <c r="J355" i="8"/>
  <c r="D355" i="8"/>
  <c r="C355" i="8"/>
  <c r="J354" i="8"/>
  <c r="D354" i="8"/>
  <c r="C354" i="8"/>
  <c r="J353" i="8"/>
  <c r="D353" i="8"/>
  <c r="C353" i="8"/>
  <c r="K352" i="8"/>
  <c r="J352" i="8"/>
  <c r="O348" i="8"/>
  <c r="O347" i="8"/>
  <c r="O346" i="8"/>
  <c r="O345" i="8"/>
  <c r="O344" i="8"/>
  <c r="O343" i="8"/>
  <c r="O342" i="8"/>
  <c r="O341" i="8"/>
  <c r="O340" i="8"/>
  <c r="O339" i="8"/>
  <c r="O338" i="8"/>
  <c r="O337" i="8"/>
  <c r="O336" i="8"/>
  <c r="O335" i="8"/>
  <c r="O334" i="8"/>
  <c r="O333" i="8"/>
  <c r="E326" i="8"/>
  <c r="E325" i="8"/>
  <c r="E324" i="8"/>
  <c r="E323" i="8"/>
  <c r="E322" i="8"/>
  <c r="E321" i="8"/>
  <c r="E320" i="8"/>
  <c r="D320" i="8"/>
  <c r="C320" i="8"/>
  <c r="E319" i="8"/>
  <c r="E318" i="8"/>
  <c r="D318" i="8"/>
  <c r="C318" i="8"/>
  <c r="E317" i="8"/>
  <c r="E316" i="8"/>
  <c r="E315" i="8"/>
  <c r="E314" i="8"/>
  <c r="E313" i="8"/>
  <c r="J305" i="8"/>
  <c r="D305" i="8"/>
  <c r="C305" i="8"/>
  <c r="J304" i="8"/>
  <c r="J303" i="8"/>
  <c r="J302" i="8"/>
  <c r="K301" i="8"/>
  <c r="J301" i="8"/>
  <c r="D301" i="8"/>
  <c r="C301" i="8"/>
  <c r="K300" i="8"/>
  <c r="J300" i="8"/>
  <c r="D300" i="8"/>
  <c r="K299" i="8"/>
  <c r="J299" i="8"/>
  <c r="K298" i="8"/>
  <c r="J298" i="8"/>
  <c r="C298" i="8"/>
  <c r="K297" i="8"/>
  <c r="J297" i="8"/>
  <c r="K296" i="8"/>
  <c r="J296" i="8"/>
  <c r="K295" i="8"/>
  <c r="J295" i="8"/>
  <c r="C295" i="8"/>
  <c r="K294" i="8"/>
  <c r="J294" i="8"/>
  <c r="C294" i="8"/>
  <c r="K293" i="8"/>
  <c r="J293" i="8"/>
  <c r="K292" i="8"/>
  <c r="J292" i="8"/>
  <c r="C292" i="8"/>
  <c r="K291" i="8"/>
  <c r="J291" i="8"/>
  <c r="C291" i="8"/>
  <c r="K290" i="8"/>
  <c r="J290" i="8"/>
  <c r="C290" i="8"/>
  <c r="K289" i="8"/>
  <c r="J289" i="8"/>
  <c r="J288" i="8"/>
  <c r="J281" i="8"/>
  <c r="D281" i="8"/>
  <c r="C281" i="8"/>
  <c r="AB280" i="8"/>
  <c r="J280" i="8"/>
  <c r="AB279" i="8"/>
  <c r="J279" i="8"/>
  <c r="C279" i="8"/>
  <c r="AB278" i="8"/>
  <c r="J278" i="8"/>
  <c r="C278" i="8"/>
  <c r="AB277" i="8"/>
  <c r="J277" i="8"/>
  <c r="C277" i="8"/>
  <c r="AB276" i="8"/>
  <c r="J276" i="8"/>
  <c r="C276" i="8"/>
  <c r="AB275" i="8"/>
  <c r="J275" i="8"/>
  <c r="C275" i="8"/>
  <c r="AB274" i="8"/>
  <c r="J274" i="8"/>
  <c r="D274" i="8"/>
  <c r="C274" i="8"/>
  <c r="AB273" i="8"/>
  <c r="J273" i="8"/>
  <c r="D273" i="8"/>
  <c r="C273" i="8"/>
  <c r="AB272" i="8"/>
  <c r="J272" i="8"/>
  <c r="D272" i="8"/>
  <c r="C272" i="8"/>
  <c r="AB271" i="8"/>
  <c r="K271" i="8"/>
  <c r="J271" i="8"/>
  <c r="D271" i="8"/>
  <c r="AB270" i="8"/>
  <c r="J270" i="8"/>
  <c r="D270" i="8"/>
  <c r="C270" i="8"/>
  <c r="AB269" i="8"/>
  <c r="J269" i="8"/>
  <c r="D269" i="8"/>
  <c r="C269" i="8"/>
  <c r="AB268" i="8"/>
  <c r="J268" i="8"/>
  <c r="D268" i="8"/>
  <c r="C268" i="8"/>
  <c r="AB267" i="8"/>
  <c r="J267" i="8"/>
  <c r="D267" i="8"/>
  <c r="C267" i="8"/>
  <c r="AB266" i="8"/>
  <c r="J266" i="8"/>
  <c r="D266" i="8"/>
  <c r="C266" i="8"/>
  <c r="AB265" i="8"/>
  <c r="J265" i="8"/>
  <c r="D265" i="8"/>
  <c r="C265" i="8"/>
  <c r="K253" i="8"/>
  <c r="K252" i="8"/>
  <c r="K251" i="8"/>
  <c r="AB245" i="8"/>
  <c r="K245" i="8"/>
  <c r="J245" i="8"/>
  <c r="E245" i="8"/>
  <c r="D245" i="8"/>
  <c r="C245" i="8"/>
  <c r="AB244" i="8"/>
  <c r="K244" i="8"/>
  <c r="J244" i="8"/>
  <c r="E244" i="8"/>
  <c r="D244" i="8"/>
  <c r="C244" i="8"/>
  <c r="K243" i="8"/>
  <c r="J243" i="8"/>
  <c r="E243" i="8"/>
  <c r="D243" i="8"/>
  <c r="C243" i="8"/>
  <c r="E237" i="8"/>
  <c r="E236" i="8"/>
  <c r="E235" i="8"/>
  <c r="E234" i="8"/>
  <c r="E233" i="8"/>
  <c r="E232" i="8"/>
  <c r="E231" i="8"/>
  <c r="E230" i="8"/>
  <c r="E229" i="8"/>
  <c r="K228" i="8"/>
  <c r="K227" i="8"/>
  <c r="K226" i="8"/>
  <c r="K225" i="8"/>
  <c r="K224" i="8"/>
  <c r="K223" i="8"/>
  <c r="K222" i="8"/>
  <c r="AB221" i="8"/>
  <c r="K221" i="8"/>
  <c r="J221" i="8"/>
  <c r="G221" i="8"/>
  <c r="D221" i="8"/>
  <c r="C221" i="8"/>
  <c r="AB220" i="8"/>
  <c r="K220" i="8"/>
  <c r="J220" i="8"/>
  <c r="G220" i="8"/>
  <c r="D220" i="8"/>
  <c r="C220" i="8"/>
  <c r="AB219" i="8"/>
  <c r="K219" i="8"/>
  <c r="J219" i="8"/>
  <c r="G219" i="8"/>
  <c r="D219" i="8"/>
  <c r="C219" i="8"/>
  <c r="AB218" i="8"/>
  <c r="K218" i="8"/>
  <c r="J218" i="8"/>
  <c r="G218" i="8"/>
  <c r="D218" i="8"/>
  <c r="C218" i="8"/>
  <c r="AB217" i="8"/>
  <c r="K217" i="8"/>
  <c r="J217" i="8"/>
  <c r="G217" i="8"/>
  <c r="D217" i="8"/>
  <c r="C217" i="8"/>
  <c r="K212" i="8"/>
  <c r="K211" i="8"/>
  <c r="K210" i="8"/>
  <c r="K209" i="8"/>
  <c r="K208" i="8"/>
  <c r="K207" i="8"/>
  <c r="K206" i="8"/>
  <c r="K205" i="8"/>
  <c r="AB204" i="8"/>
  <c r="K204" i="8"/>
  <c r="D204" i="8"/>
  <c r="C204" i="8"/>
  <c r="AB203" i="8"/>
  <c r="K203" i="8"/>
  <c r="D203" i="8"/>
  <c r="C203" i="8"/>
  <c r="AB202" i="8"/>
  <c r="K202" i="8"/>
  <c r="D202" i="8"/>
  <c r="C202" i="8"/>
  <c r="K201" i="8"/>
  <c r="D201" i="8"/>
  <c r="C201" i="8"/>
  <c r="K200" i="8"/>
  <c r="D200" i="8"/>
  <c r="C200" i="8"/>
  <c r="D198" i="8"/>
  <c r="C198" i="8"/>
  <c r="D197" i="8"/>
  <c r="C197" i="8"/>
  <c r="K183" i="8"/>
  <c r="AB182" i="8"/>
  <c r="K182" i="8"/>
  <c r="D182" i="8"/>
  <c r="C182" i="8"/>
  <c r="AB181" i="8"/>
  <c r="K181" i="8"/>
  <c r="D181" i="8"/>
  <c r="C181" i="8"/>
  <c r="AB180" i="8"/>
  <c r="K180" i="8"/>
  <c r="D180" i="8"/>
  <c r="C180" i="8"/>
  <c r="AB179" i="8"/>
  <c r="K179" i="8"/>
  <c r="D179" i="8"/>
  <c r="C179" i="8"/>
  <c r="AB178" i="8"/>
  <c r="K178" i="8"/>
  <c r="D178" i="8"/>
  <c r="C178" i="8"/>
  <c r="AB177" i="8"/>
  <c r="K177" i="8"/>
  <c r="J177" i="8"/>
  <c r="D177" i="8"/>
  <c r="C177" i="8"/>
  <c r="AB176" i="8"/>
  <c r="K176" i="8"/>
  <c r="J176" i="8"/>
  <c r="D176" i="8"/>
  <c r="C176" i="8"/>
  <c r="K173" i="8"/>
  <c r="H173" i="8"/>
  <c r="G173" i="8"/>
  <c r="D173" i="8"/>
  <c r="K172" i="8"/>
  <c r="D172" i="8"/>
  <c r="C172" i="8"/>
  <c r="G171" i="8"/>
  <c r="D171" i="8"/>
  <c r="C171" i="8"/>
  <c r="AB170" i="8"/>
  <c r="K170" i="8"/>
  <c r="J170" i="8"/>
  <c r="G170" i="8"/>
  <c r="D170" i="8"/>
  <c r="C170" i="8"/>
  <c r="AB169" i="8"/>
  <c r="K169" i="8"/>
  <c r="J169" i="8"/>
  <c r="G169" i="8"/>
  <c r="D169" i="8"/>
  <c r="C169" i="8"/>
  <c r="AB168" i="8"/>
  <c r="K168" i="8"/>
  <c r="J168" i="8"/>
  <c r="G168" i="8"/>
  <c r="D168" i="8"/>
  <c r="C168" i="8"/>
  <c r="AB167" i="8"/>
  <c r="K167" i="8"/>
  <c r="J167" i="8"/>
  <c r="G167" i="8"/>
  <c r="D167" i="8"/>
  <c r="C167" i="8"/>
  <c r="AB166" i="8"/>
  <c r="K166" i="8"/>
  <c r="J166" i="8"/>
  <c r="G166" i="8"/>
  <c r="D166" i="8"/>
  <c r="C166" i="8"/>
  <c r="AB165" i="8"/>
  <c r="K165" i="8"/>
  <c r="J165" i="8"/>
  <c r="G165" i="8"/>
  <c r="D165" i="8"/>
  <c r="C165" i="8"/>
  <c r="AB164" i="8"/>
  <c r="K164" i="8"/>
  <c r="J164" i="8"/>
  <c r="G164" i="8"/>
  <c r="D164" i="8"/>
  <c r="C164" i="8"/>
  <c r="AB163" i="8"/>
  <c r="K163" i="8"/>
  <c r="J163" i="8"/>
  <c r="G163" i="8"/>
  <c r="D163" i="8"/>
  <c r="C163" i="8"/>
  <c r="AB162" i="8"/>
  <c r="K162" i="8"/>
  <c r="J162" i="8"/>
  <c r="G162" i="8"/>
  <c r="D162" i="8"/>
  <c r="C162" i="8"/>
  <c r="AB161" i="8"/>
  <c r="K161" i="8"/>
  <c r="J161" i="8"/>
  <c r="G161" i="8"/>
  <c r="D161" i="8"/>
  <c r="C161" i="8"/>
  <c r="AB160" i="8"/>
  <c r="K160" i="8"/>
  <c r="J160" i="8"/>
  <c r="G160" i="8"/>
  <c r="D160" i="8"/>
  <c r="C160" i="8"/>
  <c r="AB159" i="8"/>
  <c r="K159" i="8"/>
  <c r="J159" i="8"/>
  <c r="G159" i="8"/>
  <c r="D159" i="8"/>
  <c r="C159" i="8"/>
  <c r="AB158" i="8"/>
  <c r="K158" i="8"/>
  <c r="J158" i="8"/>
  <c r="G158" i="8"/>
  <c r="D158" i="8"/>
  <c r="C158" i="8"/>
  <c r="AB157" i="8"/>
  <c r="K157" i="8"/>
  <c r="J157" i="8"/>
  <c r="D157" i="8"/>
  <c r="C157" i="8"/>
  <c r="AB156" i="8"/>
  <c r="K156" i="8"/>
  <c r="J156" i="8"/>
  <c r="D156" i="8"/>
  <c r="C156" i="8"/>
  <c r="AB155" i="8"/>
  <c r="K155" i="8"/>
  <c r="J155" i="8"/>
  <c r="G155" i="8"/>
  <c r="D155" i="8"/>
  <c r="C155" i="8"/>
  <c r="AB154" i="8"/>
  <c r="K154" i="8"/>
  <c r="J154" i="8"/>
  <c r="J179" i="8" s="1"/>
  <c r="D154" i="8"/>
  <c r="C154" i="8"/>
  <c r="AB140" i="8"/>
  <c r="K140" i="8"/>
  <c r="J140" i="8"/>
  <c r="D140" i="8"/>
  <c r="C140" i="8"/>
  <c r="AB139" i="8"/>
  <c r="K139" i="8"/>
  <c r="J139" i="8"/>
  <c r="D139" i="8"/>
  <c r="C139" i="8"/>
  <c r="AB138" i="8"/>
  <c r="K138" i="8"/>
  <c r="J138" i="8"/>
  <c r="D138" i="8"/>
  <c r="C138" i="8"/>
  <c r="AB137" i="8"/>
  <c r="K137" i="8"/>
  <c r="J137" i="8"/>
  <c r="D137" i="8"/>
  <c r="C137" i="8"/>
  <c r="AB136" i="8"/>
  <c r="K136" i="8"/>
  <c r="J136" i="8"/>
  <c r="D136" i="8"/>
  <c r="C136" i="8"/>
  <c r="AB135" i="8"/>
  <c r="K135" i="8"/>
  <c r="J135" i="8"/>
  <c r="D135" i="8"/>
  <c r="C135" i="8"/>
  <c r="AB134" i="8"/>
  <c r="K134" i="8"/>
  <c r="J134" i="8"/>
  <c r="D134" i="8"/>
  <c r="C134" i="8"/>
  <c r="AB133" i="8"/>
  <c r="K133" i="8"/>
  <c r="J133" i="8"/>
  <c r="D133" i="8"/>
  <c r="C133" i="8"/>
  <c r="AB132" i="8"/>
  <c r="K132" i="8"/>
  <c r="J132" i="8"/>
  <c r="D132" i="8"/>
  <c r="C132" i="8"/>
  <c r="AB131" i="8"/>
  <c r="K131" i="8"/>
  <c r="J131" i="8"/>
  <c r="D131" i="8"/>
  <c r="C131" i="8"/>
  <c r="AB130" i="8"/>
  <c r="K130" i="8"/>
  <c r="J130" i="8"/>
  <c r="D130" i="8"/>
  <c r="C130" i="8"/>
  <c r="AB129" i="8"/>
  <c r="K129" i="8"/>
  <c r="J129" i="8"/>
  <c r="D129" i="8"/>
  <c r="C129" i="8"/>
  <c r="AB128" i="8"/>
  <c r="K128" i="8"/>
  <c r="J128" i="8"/>
  <c r="D128" i="8"/>
  <c r="C128" i="8"/>
  <c r="AB127" i="8"/>
  <c r="K127" i="8"/>
  <c r="J127" i="8"/>
  <c r="D127" i="8"/>
  <c r="C127" i="8"/>
  <c r="AB126" i="8"/>
  <c r="K126" i="8"/>
  <c r="J126" i="8"/>
  <c r="D126" i="8"/>
  <c r="C126" i="8"/>
  <c r="AB125" i="8"/>
  <c r="K125" i="8"/>
  <c r="J125" i="8"/>
  <c r="D125" i="8"/>
  <c r="C125" i="8"/>
  <c r="AB124" i="8"/>
  <c r="K124" i="8"/>
  <c r="J124" i="8"/>
  <c r="D124" i="8"/>
  <c r="C124" i="8"/>
  <c r="AB123" i="8"/>
  <c r="K123" i="8"/>
  <c r="J123" i="8"/>
  <c r="D123" i="8"/>
  <c r="C123" i="8"/>
  <c r="AB122" i="8"/>
  <c r="K122" i="8"/>
  <c r="J122" i="8"/>
  <c r="D122" i="8"/>
  <c r="C122" i="8"/>
  <c r="AB121" i="8"/>
  <c r="K121" i="8"/>
  <c r="J121" i="8"/>
  <c r="D121" i="8"/>
  <c r="C121" i="8"/>
  <c r="AB120" i="8"/>
  <c r="K120" i="8"/>
  <c r="J120" i="8"/>
  <c r="D120" i="8"/>
  <c r="C120" i="8"/>
  <c r="AB119" i="8"/>
  <c r="K119" i="8"/>
  <c r="J119" i="8"/>
  <c r="D119" i="8"/>
  <c r="C119" i="8"/>
  <c r="AB118" i="8"/>
  <c r="K118" i="8"/>
  <c r="J118" i="8"/>
  <c r="D118" i="8"/>
  <c r="C118" i="8"/>
  <c r="AB117" i="8"/>
  <c r="K117" i="8"/>
  <c r="J117" i="8"/>
  <c r="D117" i="8"/>
  <c r="C117" i="8"/>
  <c r="AB116" i="8"/>
  <c r="K116" i="8"/>
  <c r="J116" i="8"/>
  <c r="AG103" i="21" s="1"/>
  <c r="R103" i="21" s="1"/>
  <c r="T103" i="21" s="1"/>
  <c r="D116" i="8"/>
  <c r="C116" i="8"/>
  <c r="AB115" i="8"/>
  <c r="K115" i="8"/>
  <c r="J115" i="8"/>
  <c r="D115" i="8"/>
  <c r="C115" i="8"/>
  <c r="AB108" i="8"/>
  <c r="K108" i="8"/>
  <c r="J108" i="8"/>
  <c r="AC108" i="8" s="1"/>
  <c r="D108" i="8"/>
  <c r="C108" i="8"/>
  <c r="AB107" i="8"/>
  <c r="K107" i="8"/>
  <c r="J107" i="8"/>
  <c r="AC107" i="8" s="1"/>
  <c r="D107" i="8"/>
  <c r="C107" i="8"/>
  <c r="AB106" i="8"/>
  <c r="K106" i="8"/>
  <c r="J106" i="8"/>
  <c r="AC106" i="8" s="1"/>
  <c r="D106" i="8"/>
  <c r="C106" i="8"/>
  <c r="AB105" i="8"/>
  <c r="K105" i="8"/>
  <c r="J105" i="8"/>
  <c r="AC105" i="8" s="1"/>
  <c r="D105" i="8"/>
  <c r="C105" i="8"/>
  <c r="AB104" i="8"/>
  <c r="K104" i="8"/>
  <c r="J104" i="8"/>
  <c r="AC104" i="8" s="1"/>
  <c r="D104" i="8"/>
  <c r="C104" i="8"/>
  <c r="B104" i="8"/>
  <c r="AB103" i="8"/>
  <c r="K103" i="8"/>
  <c r="J103" i="8"/>
  <c r="AC103" i="8" s="1"/>
  <c r="D103" i="8"/>
  <c r="C103" i="8"/>
  <c r="AB102" i="8"/>
  <c r="K102" i="8"/>
  <c r="J102" i="8"/>
  <c r="AC102" i="8" s="1"/>
  <c r="D102" i="8"/>
  <c r="C102" i="8"/>
  <c r="AB101" i="8"/>
  <c r="K101" i="8"/>
  <c r="J101" i="8"/>
  <c r="AC101" i="8" s="1"/>
  <c r="D101" i="8"/>
  <c r="C101" i="8"/>
  <c r="AB100" i="8"/>
  <c r="K100" i="8"/>
  <c r="J100" i="8"/>
  <c r="AC100" i="8" s="1"/>
  <c r="D100" i="8"/>
  <c r="C100" i="8"/>
  <c r="B100" i="8"/>
  <c r="AB99" i="8"/>
  <c r="K99" i="8"/>
  <c r="J99" i="8"/>
  <c r="AC99" i="8" s="1"/>
  <c r="D99" i="8"/>
  <c r="C99" i="8"/>
  <c r="AB98" i="8"/>
  <c r="K98" i="8"/>
  <c r="J98" i="8"/>
  <c r="AC98" i="8" s="1"/>
  <c r="D98" i="8"/>
  <c r="C98" i="8"/>
  <c r="AB97" i="8"/>
  <c r="K97" i="8"/>
  <c r="J97" i="8"/>
  <c r="D97" i="8"/>
  <c r="C97" i="8"/>
  <c r="AB96" i="8"/>
  <c r="K96" i="8"/>
  <c r="J96" i="8"/>
  <c r="AC96" i="8" s="1"/>
  <c r="H96" i="8"/>
  <c r="D96" i="8"/>
  <c r="C96" i="8"/>
  <c r="AB95" i="8"/>
  <c r="K95" i="8"/>
  <c r="J95" i="8"/>
  <c r="AC95" i="8" s="1"/>
  <c r="H95" i="8"/>
  <c r="D95" i="8"/>
  <c r="C95" i="8"/>
  <c r="AB94" i="8"/>
  <c r="K94" i="8"/>
  <c r="J94" i="8"/>
  <c r="H94" i="8"/>
  <c r="D94" i="8"/>
  <c r="C94" i="8"/>
  <c r="AB93" i="8"/>
  <c r="K93" i="8"/>
  <c r="J93" i="8"/>
  <c r="H93" i="8"/>
  <c r="D93" i="8"/>
  <c r="C93" i="8"/>
  <c r="B93" i="8"/>
  <c r="AB92" i="8"/>
  <c r="K92" i="8"/>
  <c r="J92" i="8"/>
  <c r="H92" i="8"/>
  <c r="D92" i="8"/>
  <c r="C92" i="8"/>
  <c r="AB91" i="8"/>
  <c r="K91" i="8"/>
  <c r="J91" i="8"/>
  <c r="H91" i="8"/>
  <c r="D91" i="8"/>
  <c r="C91" i="8"/>
  <c r="AB90" i="8"/>
  <c r="K90" i="8"/>
  <c r="J90" i="8"/>
  <c r="H90" i="8"/>
  <c r="D90" i="8"/>
  <c r="C90" i="8"/>
  <c r="AB89" i="8"/>
  <c r="K89" i="8"/>
  <c r="J89" i="8"/>
  <c r="D89" i="8"/>
  <c r="C89" i="8"/>
  <c r="AB81" i="8"/>
  <c r="K81" i="8"/>
  <c r="J81" i="8"/>
  <c r="E81" i="8"/>
  <c r="D81" i="8"/>
  <c r="C81" i="8"/>
  <c r="AB80" i="8"/>
  <c r="K80" i="8"/>
  <c r="J80" i="8"/>
  <c r="D80" i="8"/>
  <c r="C80" i="8"/>
  <c r="AB79" i="8"/>
  <c r="K79" i="8"/>
  <c r="J79" i="8"/>
  <c r="D79" i="8"/>
  <c r="C79" i="8"/>
  <c r="AB78" i="8"/>
  <c r="K78" i="8"/>
  <c r="J78" i="8"/>
  <c r="E78" i="8"/>
  <c r="D78" i="8"/>
  <c r="C78" i="8"/>
  <c r="AB77" i="8"/>
  <c r="K77" i="8"/>
  <c r="J77" i="8"/>
  <c r="E77" i="8"/>
  <c r="D77" i="8"/>
  <c r="C77" i="8"/>
  <c r="AB76" i="8"/>
  <c r="K76" i="8"/>
  <c r="J76" i="8"/>
  <c r="E76" i="8"/>
  <c r="D76" i="8"/>
  <c r="C76" i="8"/>
  <c r="AB75" i="8"/>
  <c r="K75" i="8"/>
  <c r="J75" i="8"/>
  <c r="E75" i="8"/>
  <c r="D75" i="8"/>
  <c r="C75" i="8"/>
  <c r="AB74" i="8"/>
  <c r="K74" i="8"/>
  <c r="J74" i="8"/>
  <c r="E74" i="8"/>
  <c r="D74" i="8"/>
  <c r="C74" i="8"/>
  <c r="AB73" i="8"/>
  <c r="K73" i="8"/>
  <c r="J73" i="8"/>
  <c r="E73" i="8"/>
  <c r="D73" i="8"/>
  <c r="C73" i="8"/>
  <c r="AB72" i="8"/>
  <c r="K72" i="8"/>
  <c r="J72" i="8"/>
  <c r="E72" i="8"/>
  <c r="D72" i="8"/>
  <c r="C72" i="8"/>
  <c r="AB71" i="8"/>
  <c r="K71" i="8"/>
  <c r="J71" i="8"/>
  <c r="E71" i="8"/>
  <c r="D71" i="8"/>
  <c r="C71" i="8"/>
  <c r="AB70" i="8"/>
  <c r="K70" i="8"/>
  <c r="J70" i="8"/>
  <c r="E70" i="8"/>
  <c r="D70" i="8"/>
  <c r="C70" i="8"/>
  <c r="AB69" i="8"/>
  <c r="K69" i="8"/>
  <c r="J69" i="8"/>
  <c r="E69" i="8"/>
  <c r="D69" i="8"/>
  <c r="C69" i="8"/>
  <c r="AB68" i="8"/>
  <c r="K68" i="8"/>
  <c r="J68" i="8"/>
  <c r="E68" i="8"/>
  <c r="D68" i="8"/>
  <c r="C68" i="8"/>
  <c r="AB67" i="8"/>
  <c r="K67" i="8"/>
  <c r="J67" i="8"/>
  <c r="E67" i="8"/>
  <c r="D67" i="8"/>
  <c r="C67" i="8"/>
  <c r="AB66" i="8"/>
  <c r="K66" i="8"/>
  <c r="J66" i="8"/>
  <c r="E66" i="8"/>
  <c r="D66" i="8"/>
  <c r="C66" i="8"/>
  <c r="AB60" i="8"/>
  <c r="K60" i="8"/>
  <c r="J60" i="8"/>
  <c r="AC60" i="8" s="1"/>
  <c r="H60" i="8"/>
  <c r="E60" i="8"/>
  <c r="AD60" i="8" s="1"/>
  <c r="D60" i="8"/>
  <c r="C60" i="8"/>
  <c r="AB59" i="8"/>
  <c r="K59" i="8"/>
  <c r="J59" i="8"/>
  <c r="AC59" i="8" s="1"/>
  <c r="H59" i="8"/>
  <c r="E59" i="8"/>
  <c r="AD59" i="8" s="1"/>
  <c r="D59" i="8"/>
  <c r="C59" i="8"/>
  <c r="AB58" i="8"/>
  <c r="K58" i="8"/>
  <c r="J58" i="8"/>
  <c r="AC58" i="8" s="1"/>
  <c r="H58" i="8"/>
  <c r="E58" i="8"/>
  <c r="AD58" i="8" s="1"/>
  <c r="D58" i="8"/>
  <c r="C58" i="8"/>
  <c r="AB57" i="8"/>
  <c r="K57" i="8"/>
  <c r="J57" i="8"/>
  <c r="AC57" i="8" s="1"/>
  <c r="H57" i="8"/>
  <c r="E57" i="8"/>
  <c r="AD57" i="8" s="1"/>
  <c r="D57" i="8"/>
  <c r="C57" i="8"/>
  <c r="AB56" i="8"/>
  <c r="K56" i="8"/>
  <c r="J56" i="8"/>
  <c r="AC56" i="8" s="1"/>
  <c r="H56" i="8"/>
  <c r="E56" i="8"/>
  <c r="AD56" i="8" s="1"/>
  <c r="D56" i="8"/>
  <c r="C56" i="8"/>
  <c r="AB55" i="8"/>
  <c r="K55" i="8"/>
  <c r="J55" i="8"/>
  <c r="AC55" i="8" s="1"/>
  <c r="H55" i="8"/>
  <c r="E55" i="8"/>
  <c r="AD55" i="8" s="1"/>
  <c r="D55" i="8"/>
  <c r="C55" i="8"/>
  <c r="AB54" i="8"/>
  <c r="K54" i="8"/>
  <c r="J54" i="8"/>
  <c r="AC54" i="8" s="1"/>
  <c r="H54" i="8"/>
  <c r="E54" i="8"/>
  <c r="AD54" i="8" s="1"/>
  <c r="D54" i="8"/>
  <c r="C54" i="8"/>
  <c r="AB53" i="8"/>
  <c r="K53" i="8"/>
  <c r="J53" i="8"/>
  <c r="AC53" i="8" s="1"/>
  <c r="H53" i="8"/>
  <c r="E53" i="8"/>
  <c r="AD53" i="8" s="1"/>
  <c r="D53" i="8"/>
  <c r="C53" i="8"/>
  <c r="AB52" i="8"/>
  <c r="K52" i="8"/>
  <c r="J52" i="8"/>
  <c r="AC52" i="8" s="1"/>
  <c r="H52" i="8"/>
  <c r="E52" i="8"/>
  <c r="AD52" i="8" s="1"/>
  <c r="D52" i="8"/>
  <c r="C52" i="8"/>
  <c r="AB51" i="8"/>
  <c r="K51" i="8"/>
  <c r="J51" i="8"/>
  <c r="AC51" i="8" s="1"/>
  <c r="H51" i="8"/>
  <c r="E51" i="8"/>
  <c r="AD51" i="8" s="1"/>
  <c r="D51" i="8"/>
  <c r="C51" i="8"/>
  <c r="AB50" i="8"/>
  <c r="K50" i="8"/>
  <c r="J50" i="8"/>
  <c r="AC50" i="8" s="1"/>
  <c r="H50" i="8"/>
  <c r="E50" i="8"/>
  <c r="AD50" i="8" s="1"/>
  <c r="D50" i="8"/>
  <c r="C50" i="8"/>
  <c r="AB49" i="8"/>
  <c r="K49" i="8"/>
  <c r="J49" i="8"/>
  <c r="AC49" i="8" s="1"/>
  <c r="H49" i="8"/>
  <c r="E49" i="8"/>
  <c r="AD49" i="8" s="1"/>
  <c r="D49" i="8"/>
  <c r="C49" i="8"/>
  <c r="AB48" i="8"/>
  <c r="K48" i="8"/>
  <c r="J48" i="8"/>
  <c r="AC48" i="8" s="1"/>
  <c r="H48" i="8"/>
  <c r="E48" i="8"/>
  <c r="AD48" i="8" s="1"/>
  <c r="D48" i="8"/>
  <c r="C48" i="8"/>
  <c r="AB47" i="8"/>
  <c r="K47" i="8"/>
  <c r="J47" i="8"/>
  <c r="AC47" i="8" s="1"/>
  <c r="H47" i="8"/>
  <c r="E47" i="8"/>
  <c r="AD47" i="8" s="1"/>
  <c r="D47" i="8"/>
  <c r="C47" i="8"/>
  <c r="AB46" i="8"/>
  <c r="K46" i="8"/>
  <c r="J46" i="8"/>
  <c r="AC46" i="8" s="1"/>
  <c r="H46" i="8"/>
  <c r="E46" i="8"/>
  <c r="AD46" i="8" s="1"/>
  <c r="D46" i="8"/>
  <c r="C46" i="8"/>
  <c r="AB45" i="8"/>
  <c r="K45" i="8"/>
  <c r="J45" i="8"/>
  <c r="AC45" i="8" s="1"/>
  <c r="H45" i="8"/>
  <c r="E45" i="8"/>
  <c r="AD45" i="8" s="1"/>
  <c r="D45" i="8"/>
  <c r="C45" i="8"/>
  <c r="AB44" i="8"/>
  <c r="K44" i="8"/>
  <c r="J44" i="8"/>
  <c r="AC44" i="8" s="1"/>
  <c r="H44" i="8"/>
  <c r="E44" i="8"/>
  <c r="AD44" i="8" s="1"/>
  <c r="D44" i="8"/>
  <c r="C44" i="8"/>
  <c r="AB43" i="8"/>
  <c r="K43" i="8"/>
  <c r="J43" i="8"/>
  <c r="AC43" i="8" s="1"/>
  <c r="H43" i="8"/>
  <c r="E43" i="8"/>
  <c r="AD43" i="8" s="1"/>
  <c r="D43" i="8"/>
  <c r="C43" i="8"/>
  <c r="AB42" i="8"/>
  <c r="K42" i="8"/>
  <c r="J42" i="8"/>
  <c r="AC42" i="8" s="1"/>
  <c r="H42" i="8"/>
  <c r="E42" i="8"/>
  <c r="AD42" i="8" s="1"/>
  <c r="D42" i="8"/>
  <c r="C42" i="8"/>
  <c r="AB41" i="8"/>
  <c r="K41" i="8"/>
  <c r="J41" i="8"/>
  <c r="AC41" i="8" s="1"/>
  <c r="H41" i="8"/>
  <c r="E41" i="8"/>
  <c r="AD41" i="8" s="1"/>
  <c r="D41" i="8"/>
  <c r="C41" i="8"/>
  <c r="AB40" i="8"/>
  <c r="K40" i="8"/>
  <c r="J40" i="8"/>
  <c r="AC40" i="8" s="1"/>
  <c r="H40" i="8"/>
  <c r="E40" i="8"/>
  <c r="AD40" i="8" s="1"/>
  <c r="D40" i="8"/>
  <c r="C40" i="8"/>
  <c r="AB39" i="8"/>
  <c r="K39" i="8"/>
  <c r="J39" i="8"/>
  <c r="AC39" i="8" s="1"/>
  <c r="H39" i="8"/>
  <c r="E39" i="8"/>
  <c r="AD39" i="8" s="1"/>
  <c r="D39" i="8"/>
  <c r="C39" i="8"/>
  <c r="AB38" i="8"/>
  <c r="K38" i="8"/>
  <c r="J38" i="8"/>
  <c r="AC38" i="8" s="1"/>
  <c r="H38" i="8"/>
  <c r="E38" i="8"/>
  <c r="AD38" i="8" s="1"/>
  <c r="D38" i="8"/>
  <c r="C38" i="8"/>
  <c r="AB37" i="8"/>
  <c r="K37" i="8"/>
  <c r="J37" i="8"/>
  <c r="AC37" i="8" s="1"/>
  <c r="H37" i="8"/>
  <c r="E37" i="8"/>
  <c r="AD37" i="8" s="1"/>
  <c r="D37" i="8"/>
  <c r="C37" i="8"/>
  <c r="AB36" i="8"/>
  <c r="K36" i="8"/>
  <c r="J36" i="8"/>
  <c r="AC36" i="8" s="1"/>
  <c r="H36" i="8"/>
  <c r="E36" i="8"/>
  <c r="AD36" i="8" s="1"/>
  <c r="D36" i="8"/>
  <c r="C36" i="8"/>
  <c r="AB35" i="8"/>
  <c r="K35" i="8"/>
  <c r="J35" i="8"/>
  <c r="AC35" i="8" s="1"/>
  <c r="H35" i="8"/>
  <c r="E35" i="8"/>
  <c r="AD35" i="8" s="1"/>
  <c r="D35" i="8"/>
  <c r="C35" i="8"/>
  <c r="AB34" i="8"/>
  <c r="K34" i="8"/>
  <c r="J34" i="8"/>
  <c r="AC34" i="8" s="1"/>
  <c r="H34" i="8"/>
  <c r="E34" i="8"/>
  <c r="AD34" i="8" s="1"/>
  <c r="D34" i="8"/>
  <c r="C34" i="8"/>
  <c r="AB33" i="8"/>
  <c r="K33" i="8"/>
  <c r="J33" i="8"/>
  <c r="AC33" i="8" s="1"/>
  <c r="H33" i="8"/>
  <c r="E33" i="8"/>
  <c r="AD33" i="8" s="1"/>
  <c r="D33" i="8"/>
  <c r="C33" i="8"/>
  <c r="AB32" i="8"/>
  <c r="K32" i="8"/>
  <c r="J32" i="8"/>
  <c r="AC32" i="8" s="1"/>
  <c r="H32" i="8"/>
  <c r="E32" i="8"/>
  <c r="AD32" i="8" s="1"/>
  <c r="D32" i="8"/>
  <c r="C32" i="8"/>
  <c r="AB31" i="8"/>
  <c r="K31" i="8"/>
  <c r="J31" i="8"/>
  <c r="AC31" i="8" s="1"/>
  <c r="H31" i="8"/>
  <c r="E31" i="8"/>
  <c r="AD31" i="8" s="1"/>
  <c r="D31" i="8"/>
  <c r="C31" i="8"/>
  <c r="AB30" i="8"/>
  <c r="K30" i="8"/>
  <c r="J30" i="8"/>
  <c r="AC30" i="8" s="1"/>
  <c r="H30" i="8"/>
  <c r="E30" i="8"/>
  <c r="AD30" i="8" s="1"/>
  <c r="D30" i="8"/>
  <c r="C30" i="8"/>
  <c r="AB29" i="8"/>
  <c r="K29" i="8"/>
  <c r="J29" i="8"/>
  <c r="AC29" i="8" s="1"/>
  <c r="H29" i="8"/>
  <c r="E29" i="8"/>
  <c r="AD29" i="8" s="1"/>
  <c r="D29" i="8"/>
  <c r="C29" i="8"/>
  <c r="AB28" i="8"/>
  <c r="K28" i="8"/>
  <c r="J28" i="8"/>
  <c r="AC28" i="8" s="1"/>
  <c r="H28" i="8"/>
  <c r="E28" i="8"/>
  <c r="AD28" i="8" s="1"/>
  <c r="D28" i="8"/>
  <c r="C28" i="8"/>
  <c r="AB27" i="8"/>
  <c r="K27" i="8"/>
  <c r="J27" i="8"/>
  <c r="AC27" i="8" s="1"/>
  <c r="H27" i="8"/>
  <c r="E27" i="8"/>
  <c r="AD27" i="8" s="1"/>
  <c r="D27" i="8"/>
  <c r="C27" i="8"/>
  <c r="AB26" i="8"/>
  <c r="K26" i="8"/>
  <c r="J26" i="8"/>
  <c r="AC26" i="8" s="1"/>
  <c r="H26" i="8"/>
  <c r="E26" i="8"/>
  <c r="AD26" i="8" s="1"/>
  <c r="D26" i="8"/>
  <c r="C26" i="8"/>
  <c r="AB25" i="8"/>
  <c r="K25" i="8"/>
  <c r="J25" i="8"/>
  <c r="AC25" i="8" s="1"/>
  <c r="H25" i="8"/>
  <c r="E25" i="8"/>
  <c r="AD25" i="8" s="1"/>
  <c r="D25" i="8"/>
  <c r="C25" i="8"/>
  <c r="AB24" i="8"/>
  <c r="K24" i="8"/>
  <c r="J24" i="8"/>
  <c r="AC24" i="8" s="1"/>
  <c r="H24" i="8"/>
  <c r="E24" i="8"/>
  <c r="AD24" i="8" s="1"/>
  <c r="D24" i="8"/>
  <c r="C24" i="8"/>
  <c r="AB23" i="8"/>
  <c r="K23" i="8"/>
  <c r="J23" i="8"/>
  <c r="H23" i="8"/>
  <c r="E23" i="8"/>
  <c r="AD23" i="8" s="1"/>
  <c r="D23" i="8"/>
  <c r="C23" i="8"/>
  <c r="AB22" i="8"/>
  <c r="K22" i="8"/>
  <c r="J22" i="8"/>
  <c r="AC22" i="8" s="1"/>
  <c r="H22" i="8"/>
  <c r="E22" i="8"/>
  <c r="AD22" i="8" s="1"/>
  <c r="D22" i="8"/>
  <c r="C22" i="8"/>
  <c r="AB21" i="8"/>
  <c r="K21" i="8"/>
  <c r="J21" i="8"/>
  <c r="AC21" i="8" s="1"/>
  <c r="H21" i="8"/>
  <c r="E21" i="8"/>
  <c r="AD21" i="8" s="1"/>
  <c r="D21" i="8"/>
  <c r="C21" i="8"/>
  <c r="AB20" i="8"/>
  <c r="K20" i="8"/>
  <c r="J20" i="8"/>
  <c r="AC20" i="8" s="1"/>
  <c r="H20" i="8"/>
  <c r="E20" i="8"/>
  <c r="AD20" i="8" s="1"/>
  <c r="D20" i="8"/>
  <c r="C20" i="8"/>
  <c r="AB19" i="8"/>
  <c r="K19" i="8"/>
  <c r="J19" i="8"/>
  <c r="AC19" i="8" s="1"/>
  <c r="H19" i="8"/>
  <c r="E19" i="8"/>
  <c r="AD19" i="8" s="1"/>
  <c r="D19" i="8"/>
  <c r="C19" i="8"/>
  <c r="AB12" i="8"/>
  <c r="K12" i="8"/>
  <c r="J12" i="8"/>
  <c r="AC12" i="8" s="1"/>
  <c r="H12" i="8"/>
  <c r="E12" i="8"/>
  <c r="AD12" i="8" s="1"/>
  <c r="D12" i="8"/>
  <c r="C12" i="8"/>
  <c r="AB11" i="8"/>
  <c r="K11" i="8"/>
  <c r="J11" i="8"/>
  <c r="AC11" i="8" s="1"/>
  <c r="H11" i="8"/>
  <c r="E11" i="8"/>
  <c r="AD11" i="8" s="1"/>
  <c r="D11" i="8"/>
  <c r="C11" i="8"/>
  <c r="AB10" i="8"/>
  <c r="K10" i="8"/>
  <c r="J10" i="8"/>
  <c r="AC10" i="8" s="1"/>
  <c r="H10" i="8"/>
  <c r="E10" i="8"/>
  <c r="AD10" i="8" s="1"/>
  <c r="D10" i="8"/>
  <c r="C10" i="8"/>
  <c r="AB9" i="8"/>
  <c r="K9" i="8"/>
  <c r="J9" i="8"/>
  <c r="AC9" i="8" s="1"/>
  <c r="H9" i="8"/>
  <c r="E9" i="8"/>
  <c r="AD9" i="8" s="1"/>
  <c r="D9" i="8"/>
  <c r="C9" i="8"/>
  <c r="AB8" i="8"/>
  <c r="K8" i="8"/>
  <c r="J8" i="8"/>
  <c r="AC8" i="8" s="1"/>
  <c r="H8" i="8"/>
  <c r="E8" i="8"/>
  <c r="AD8" i="8" s="1"/>
  <c r="D8" i="8"/>
  <c r="C8" i="8"/>
  <c r="AB7" i="8"/>
  <c r="K7" i="8"/>
  <c r="J7" i="8"/>
  <c r="AC7" i="8" s="1"/>
  <c r="H7" i="8"/>
  <c r="E7" i="8"/>
  <c r="AD7" i="8" s="1"/>
  <c r="D7" i="8"/>
  <c r="C7" i="8"/>
  <c r="AB6" i="8"/>
  <c r="K6" i="8"/>
  <c r="J6" i="8"/>
  <c r="AC6" i="8" s="1"/>
  <c r="H6" i="8"/>
  <c r="E6" i="8"/>
  <c r="AD6" i="8" s="1"/>
  <c r="D6" i="8"/>
  <c r="C6" i="8"/>
  <c r="AB5" i="8"/>
  <c r="K5" i="8"/>
  <c r="J5" i="8"/>
  <c r="AC5" i="8" s="1"/>
  <c r="H5" i="8"/>
  <c r="E5" i="8"/>
  <c r="AD5" i="8" s="1"/>
  <c r="D5" i="8"/>
  <c r="C5" i="8"/>
  <c r="AB4" i="8"/>
  <c r="K4" i="8"/>
  <c r="J4" i="8"/>
  <c r="AC4" i="8" s="1"/>
  <c r="H4" i="8"/>
  <c r="E4" i="8"/>
  <c r="AD4" i="8" s="1"/>
  <c r="D4" i="8"/>
  <c r="C4" i="8"/>
  <c r="C780" i="21"/>
  <c r="C774" i="21" s="1"/>
  <c r="I779" i="21"/>
  <c r="G779" i="21"/>
  <c r="E779" i="21"/>
  <c r="J778" i="21"/>
  <c r="D778" i="21"/>
  <c r="C778" i="21"/>
  <c r="B778" i="21"/>
  <c r="J777" i="21"/>
  <c r="I777" i="21"/>
  <c r="E778" i="21" s="1"/>
  <c r="J775" i="21"/>
  <c r="BR774" i="21"/>
  <c r="BC774" i="21"/>
  <c r="BA774" i="21"/>
  <c r="AZ774" i="21"/>
  <c r="BB774" i="21" s="1"/>
  <c r="D774" i="21"/>
  <c r="AY774" i="21" s="1"/>
  <c r="A774" i="21"/>
  <c r="B774" i="21" s="1"/>
  <c r="C772" i="21"/>
  <c r="C766" i="21" s="1"/>
  <c r="I771" i="21"/>
  <c r="G771" i="21"/>
  <c r="E771" i="21"/>
  <c r="J770" i="21"/>
  <c r="D770" i="21"/>
  <c r="C770" i="21"/>
  <c r="E766" i="21" s="1"/>
  <c r="AX766" i="21" s="1"/>
  <c r="B770" i="21"/>
  <c r="J769" i="21"/>
  <c r="I769" i="21"/>
  <c r="E770" i="21" s="1"/>
  <c r="J767" i="21"/>
  <c r="BR766" i="21"/>
  <c r="BC766" i="21"/>
  <c r="BA766" i="21"/>
  <c r="AZ766" i="21"/>
  <c r="BB766" i="21" s="1"/>
  <c r="D766" i="21"/>
  <c r="AY766" i="21" s="1"/>
  <c r="A766" i="21"/>
  <c r="B766" i="21" s="1"/>
  <c r="AG763" i="21"/>
  <c r="AF763" i="21"/>
  <c r="AA763" i="21"/>
  <c r="Z763" i="21"/>
  <c r="U763" i="21"/>
  <c r="T763" i="21"/>
  <c r="V763" i="21" s="1"/>
  <c r="Q763" i="21"/>
  <c r="P763" i="21"/>
  <c r="E763" i="21"/>
  <c r="D763" i="21"/>
  <c r="AG762" i="21"/>
  <c r="AF762" i="21"/>
  <c r="AJ762" i="21" s="1"/>
  <c r="AA762" i="21"/>
  <c r="Z762" i="21"/>
  <c r="U762" i="21"/>
  <c r="T762" i="21"/>
  <c r="Q762" i="21"/>
  <c r="P762" i="21"/>
  <c r="F762" i="21" s="1"/>
  <c r="E762" i="21"/>
  <c r="D762" i="21"/>
  <c r="AG761" i="21"/>
  <c r="AF761" i="21"/>
  <c r="AJ761" i="21" s="1"/>
  <c r="AA761" i="21"/>
  <c r="Z761" i="21"/>
  <c r="AD761" i="21" s="1"/>
  <c r="U761" i="21"/>
  <c r="T761" i="21"/>
  <c r="Q761" i="21"/>
  <c r="P761" i="21"/>
  <c r="F761" i="21" s="1"/>
  <c r="E761" i="21"/>
  <c r="D761" i="21"/>
  <c r="AG760" i="21"/>
  <c r="AF760" i="21"/>
  <c r="AJ760" i="21" s="1"/>
  <c r="AA760" i="21"/>
  <c r="Z760" i="21"/>
  <c r="AD760" i="21" s="1"/>
  <c r="U760" i="21"/>
  <c r="T760" i="21"/>
  <c r="X760" i="21" s="1"/>
  <c r="Q760" i="21"/>
  <c r="P760" i="21"/>
  <c r="F760" i="21" s="1"/>
  <c r="J760" i="21"/>
  <c r="N760" i="21" s="1"/>
  <c r="G760" i="21"/>
  <c r="D760" i="21" s="1"/>
  <c r="AG759" i="21"/>
  <c r="AF759" i="21"/>
  <c r="AH759" i="21" s="1"/>
  <c r="AA759" i="21"/>
  <c r="Z759" i="21"/>
  <c r="AD759" i="21" s="1"/>
  <c r="U759" i="21"/>
  <c r="T759" i="21"/>
  <c r="X759" i="21" s="1"/>
  <c r="Q759" i="21"/>
  <c r="N759" i="21"/>
  <c r="I759" i="21" s="1"/>
  <c r="L759" i="21"/>
  <c r="P759" i="21" s="1"/>
  <c r="F759" i="21" s="1"/>
  <c r="G759" i="21"/>
  <c r="E759" i="21" s="1"/>
  <c r="AG758" i="21"/>
  <c r="AF758" i="21"/>
  <c r="AH758" i="21" s="1"/>
  <c r="AA758" i="21"/>
  <c r="Z758" i="21"/>
  <c r="U758" i="21"/>
  <c r="T758" i="21"/>
  <c r="Q758" i="21"/>
  <c r="N758" i="21"/>
  <c r="I758" i="21" s="1"/>
  <c r="I760" i="21" s="1"/>
  <c r="L758" i="21"/>
  <c r="P758" i="21" s="1"/>
  <c r="F758" i="21" s="1"/>
  <c r="E758" i="21"/>
  <c r="AZ757" i="21"/>
  <c r="AY757" i="21"/>
  <c r="AK757" i="21"/>
  <c r="AJ757" i="21"/>
  <c r="AI757" i="21"/>
  <c r="AH757" i="21"/>
  <c r="AG757" i="21"/>
  <c r="AE757" i="21"/>
  <c r="AD757" i="21"/>
  <c r="AC757" i="21"/>
  <c r="AB757" i="21"/>
  <c r="AA757" i="21"/>
  <c r="Y757" i="21"/>
  <c r="X757" i="21"/>
  <c r="W757" i="21"/>
  <c r="V757" i="21"/>
  <c r="U757" i="21"/>
  <c r="I757" i="21"/>
  <c r="BR757" i="21" s="1"/>
  <c r="E757" i="21"/>
  <c r="AX757" i="21" s="1"/>
  <c r="A757" i="21"/>
  <c r="B757" i="21" s="1"/>
  <c r="AG754" i="21"/>
  <c r="AF754" i="21"/>
  <c r="AH754" i="21" s="1"/>
  <c r="AA754" i="21"/>
  <c r="Z754" i="21"/>
  <c r="AD754" i="21" s="1"/>
  <c r="U754" i="21"/>
  <c r="T754" i="21"/>
  <c r="Q754" i="21"/>
  <c r="P754" i="21"/>
  <c r="F754" i="21" s="1"/>
  <c r="E754" i="21"/>
  <c r="D754" i="21"/>
  <c r="AG753" i="21"/>
  <c r="AF753" i="21"/>
  <c r="AA753" i="21"/>
  <c r="Z753" i="21"/>
  <c r="U753" i="21"/>
  <c r="T753" i="21"/>
  <c r="Q753" i="21"/>
  <c r="P753" i="21"/>
  <c r="F753" i="21" s="1"/>
  <c r="E753" i="21"/>
  <c r="D753" i="21"/>
  <c r="AG752" i="21"/>
  <c r="AF752" i="21"/>
  <c r="AA752" i="21"/>
  <c r="Z752" i="21"/>
  <c r="AB752" i="21" s="1"/>
  <c r="U752" i="21"/>
  <c r="T752" i="21"/>
  <c r="Q752" i="21"/>
  <c r="P752" i="21"/>
  <c r="F752" i="21" s="1"/>
  <c r="E752" i="21"/>
  <c r="D752" i="21"/>
  <c r="AG751" i="21"/>
  <c r="AF751" i="21"/>
  <c r="AJ751" i="21" s="1"/>
  <c r="AA751" i="21"/>
  <c r="Z751" i="21"/>
  <c r="U751" i="21"/>
  <c r="T751" i="21"/>
  <c r="V751" i="21" s="1"/>
  <c r="Q751" i="21"/>
  <c r="P751" i="21"/>
  <c r="J751" i="21"/>
  <c r="N751" i="21" s="1"/>
  <c r="G751" i="21"/>
  <c r="AG750" i="21"/>
  <c r="AF750" i="21"/>
  <c r="AA750" i="21"/>
  <c r="Z750" i="21"/>
  <c r="AD750" i="21" s="1"/>
  <c r="U750" i="21"/>
  <c r="T750" i="21"/>
  <c r="X750" i="21" s="1"/>
  <c r="Q750" i="21"/>
  <c r="P750" i="21"/>
  <c r="N750" i="21"/>
  <c r="I750" i="21" s="1"/>
  <c r="G750" i="21"/>
  <c r="E750" i="21" s="1"/>
  <c r="AG749" i="21"/>
  <c r="AF749" i="21"/>
  <c r="AH749" i="21" s="1"/>
  <c r="AA749" i="21"/>
  <c r="Z749" i="21"/>
  <c r="U749" i="21"/>
  <c r="T749" i="21"/>
  <c r="X749" i="21" s="1"/>
  <c r="Q749" i="21"/>
  <c r="P749" i="21"/>
  <c r="F749" i="21" s="1"/>
  <c r="N749" i="21"/>
  <c r="I749" i="21" s="1"/>
  <c r="I751" i="21" s="1"/>
  <c r="E749" i="21"/>
  <c r="D749" i="21"/>
  <c r="BR748" i="21"/>
  <c r="AZ748" i="21"/>
  <c r="AY748" i="21"/>
  <c r="AK748" i="21"/>
  <c r="AJ748" i="21"/>
  <c r="AI748" i="21"/>
  <c r="AH748" i="21"/>
  <c r="AG748" i="21"/>
  <c r="AE748" i="21"/>
  <c r="AD748" i="21"/>
  <c r="AC748" i="21"/>
  <c r="AB748" i="21"/>
  <c r="AA748" i="21"/>
  <c r="Y748" i="21"/>
  <c r="X748" i="21"/>
  <c r="W748" i="21"/>
  <c r="V748" i="21"/>
  <c r="U748" i="21"/>
  <c r="E748" i="21"/>
  <c r="AX748" i="21" s="1"/>
  <c r="A748" i="21"/>
  <c r="B748" i="21" s="1"/>
  <c r="AG745" i="21"/>
  <c r="AF745" i="21"/>
  <c r="AJ745" i="21" s="1"/>
  <c r="AH745" i="21" s="1"/>
  <c r="AA745" i="21"/>
  <c r="Z745" i="21"/>
  <c r="AD745" i="21" s="1"/>
  <c r="AB745" i="21" s="1"/>
  <c r="U745" i="21"/>
  <c r="T745" i="21"/>
  <c r="Q745" i="21"/>
  <c r="P745" i="21"/>
  <c r="F745" i="21" s="1"/>
  <c r="J745" i="21"/>
  <c r="N745" i="21" s="1"/>
  <c r="I745" i="21" s="1"/>
  <c r="G745" i="21"/>
  <c r="E745" i="21" s="1"/>
  <c r="D745" i="21"/>
  <c r="AG744" i="21"/>
  <c r="AF744" i="21"/>
  <c r="AA744" i="21"/>
  <c r="Z744" i="21"/>
  <c r="AD744" i="21" s="1"/>
  <c r="U744" i="21"/>
  <c r="T744" i="21"/>
  <c r="Q744" i="21"/>
  <c r="P744" i="21"/>
  <c r="F744" i="21" s="1"/>
  <c r="J744" i="21"/>
  <c r="N744" i="21" s="1"/>
  <c r="I744" i="21" s="1"/>
  <c r="G744" i="21"/>
  <c r="E744" i="21" s="1"/>
  <c r="AG743" i="21"/>
  <c r="AF743" i="21"/>
  <c r="AA743" i="21"/>
  <c r="Z743" i="21"/>
  <c r="U743" i="21"/>
  <c r="T743" i="21"/>
  <c r="X743" i="21" s="1"/>
  <c r="V743" i="21" s="1"/>
  <c r="Q743" i="21"/>
  <c r="P743" i="21"/>
  <c r="N743" i="21"/>
  <c r="I743" i="21"/>
  <c r="G743" i="21"/>
  <c r="E743" i="21" s="1"/>
  <c r="AG742" i="21"/>
  <c r="AF742" i="21"/>
  <c r="AJ742" i="21" s="1"/>
  <c r="AA742" i="21"/>
  <c r="Z742" i="21"/>
  <c r="U742" i="21"/>
  <c r="T742" i="21"/>
  <c r="X742" i="21" s="1"/>
  <c r="Q742" i="21"/>
  <c r="P742" i="21"/>
  <c r="F742" i="21" s="1"/>
  <c r="N742" i="21"/>
  <c r="I742" i="21" s="1"/>
  <c r="G742" i="21"/>
  <c r="D742" i="21" s="1"/>
  <c r="E742" i="21"/>
  <c r="AG741" i="21"/>
  <c r="AF741" i="21"/>
  <c r="AJ741" i="21" s="1"/>
  <c r="AA741" i="21"/>
  <c r="Z741" i="21"/>
  <c r="U741" i="21"/>
  <c r="T741" i="21"/>
  <c r="Q741" i="21"/>
  <c r="N741" i="21"/>
  <c r="I741" i="21" s="1"/>
  <c r="G741" i="21"/>
  <c r="AG740" i="21"/>
  <c r="AF740" i="21"/>
  <c r="AJ740" i="21" s="1"/>
  <c r="AA740" i="21"/>
  <c r="Z740" i="21"/>
  <c r="AD740" i="21" s="1"/>
  <c r="U740" i="21"/>
  <c r="T740" i="21"/>
  <c r="Q740" i="21"/>
  <c r="P740" i="21"/>
  <c r="N740" i="21"/>
  <c r="I740" i="21" s="1"/>
  <c r="E740" i="21"/>
  <c r="D740" i="21"/>
  <c r="BR739" i="21"/>
  <c r="AZ739" i="21"/>
  <c r="AY739" i="21"/>
  <c r="AK739" i="21"/>
  <c r="AJ739" i="21"/>
  <c r="AI739" i="21"/>
  <c r="AH739" i="21"/>
  <c r="AG739" i="21"/>
  <c r="AE739" i="21"/>
  <c r="AD739" i="21"/>
  <c r="AC739" i="21"/>
  <c r="AB739" i="21"/>
  <c r="AA739" i="21"/>
  <c r="Y739" i="21"/>
  <c r="X739" i="21"/>
  <c r="W739" i="21"/>
  <c r="V739" i="21"/>
  <c r="U739" i="21"/>
  <c r="E739" i="21"/>
  <c r="AX739" i="21" s="1"/>
  <c r="A739" i="21"/>
  <c r="B739" i="21" s="1"/>
  <c r="AG736" i="21"/>
  <c r="AF736" i="21"/>
  <c r="AA736" i="21"/>
  <c r="Z736" i="21"/>
  <c r="U736" i="21"/>
  <c r="T736" i="21"/>
  <c r="Q736" i="21"/>
  <c r="P736" i="21"/>
  <c r="F736" i="21" s="1"/>
  <c r="J736" i="21"/>
  <c r="N736" i="21" s="1"/>
  <c r="I736" i="21" s="1"/>
  <c r="G736" i="21"/>
  <c r="E736" i="21"/>
  <c r="D736" i="21"/>
  <c r="AG735" i="21"/>
  <c r="AF735" i="21"/>
  <c r="AJ735" i="21" s="1"/>
  <c r="AA735" i="21"/>
  <c r="Z735" i="21"/>
  <c r="U735" i="21"/>
  <c r="T735" i="21"/>
  <c r="X735" i="21" s="1"/>
  <c r="Y735" i="21" s="1"/>
  <c r="Q735" i="21"/>
  <c r="P735" i="21"/>
  <c r="F735" i="21" s="1"/>
  <c r="G735" i="21"/>
  <c r="E735" i="21" s="1"/>
  <c r="D735" i="21"/>
  <c r="AG734" i="21"/>
  <c r="AF734" i="21"/>
  <c r="AA734" i="21"/>
  <c r="Z734" i="21"/>
  <c r="U734" i="21"/>
  <c r="T734" i="21"/>
  <c r="V734" i="21" s="1"/>
  <c r="Q734" i="21"/>
  <c r="P734" i="21"/>
  <c r="J734" i="21"/>
  <c r="N734" i="21" s="1"/>
  <c r="I734" i="21" s="1"/>
  <c r="G734" i="21"/>
  <c r="E734" i="21" s="1"/>
  <c r="D734" i="21"/>
  <c r="AG733" i="21"/>
  <c r="AF733" i="21"/>
  <c r="AH733" i="21" s="1"/>
  <c r="AA733" i="21"/>
  <c r="Z733" i="21"/>
  <c r="U733" i="21"/>
  <c r="T733" i="21"/>
  <c r="X733" i="21" s="1"/>
  <c r="Q733" i="21"/>
  <c r="N733" i="21"/>
  <c r="I733" i="21" s="1"/>
  <c r="G733" i="21"/>
  <c r="F733" i="21"/>
  <c r="AG732" i="21"/>
  <c r="AF732" i="21"/>
  <c r="AJ732" i="21" s="1"/>
  <c r="AA732" i="21"/>
  <c r="Z732" i="21"/>
  <c r="AB732" i="21" s="1"/>
  <c r="U732" i="21"/>
  <c r="T732" i="21"/>
  <c r="Q732" i="21"/>
  <c r="N732" i="21"/>
  <c r="I732" i="21"/>
  <c r="F732" i="21"/>
  <c r="E732" i="21"/>
  <c r="D732" i="21"/>
  <c r="AG731" i="21"/>
  <c r="AF731" i="21"/>
  <c r="AD731" i="21"/>
  <c r="AB731" i="21" s="1"/>
  <c r="AA731" i="21"/>
  <c r="X731" i="21"/>
  <c r="V731" i="21" s="1"/>
  <c r="U731" i="21"/>
  <c r="Q731" i="21"/>
  <c r="N731" i="21"/>
  <c r="I731" i="21"/>
  <c r="E731" i="21"/>
  <c r="BR730" i="21"/>
  <c r="AZ730" i="21"/>
  <c r="AY730" i="21"/>
  <c r="AK730" i="21"/>
  <c r="AJ730" i="21"/>
  <c r="AI730" i="21"/>
  <c r="AH730" i="21"/>
  <c r="AG730" i="21"/>
  <c r="AE730" i="21"/>
  <c r="AD730" i="21"/>
  <c r="AC730" i="21"/>
  <c r="AB730" i="21"/>
  <c r="AA730" i="21"/>
  <c r="Y730" i="21"/>
  <c r="X730" i="21"/>
  <c r="W730" i="21"/>
  <c r="V730" i="21"/>
  <c r="U730" i="21"/>
  <c r="E730" i="21"/>
  <c r="AX730" i="21" s="1"/>
  <c r="A730" i="21"/>
  <c r="B730" i="21" s="1"/>
  <c r="AG727" i="21"/>
  <c r="AF727" i="21"/>
  <c r="AJ727" i="21" s="1"/>
  <c r="AA727" i="21"/>
  <c r="Z727" i="21"/>
  <c r="AD727" i="21" s="1"/>
  <c r="U727" i="21"/>
  <c r="T727" i="21"/>
  <c r="Q727" i="21"/>
  <c r="P727" i="21"/>
  <c r="N727" i="21"/>
  <c r="I727" i="21"/>
  <c r="G727" i="21"/>
  <c r="D727" i="21" s="1"/>
  <c r="AG726" i="21"/>
  <c r="AF726" i="21"/>
  <c r="AA726" i="21"/>
  <c r="Z726" i="21"/>
  <c r="AD726" i="21" s="1"/>
  <c r="U726" i="21"/>
  <c r="T726" i="21"/>
  <c r="V726" i="21" s="1"/>
  <c r="Q726" i="21"/>
  <c r="P726" i="21"/>
  <c r="F726" i="21" s="1"/>
  <c r="N726" i="21"/>
  <c r="I726" i="21" s="1"/>
  <c r="BR725" i="21"/>
  <c r="AZ725" i="21"/>
  <c r="AY725" i="21"/>
  <c r="AK725" i="21"/>
  <c r="AJ725" i="21"/>
  <c r="AI725" i="21"/>
  <c r="AH725" i="21"/>
  <c r="AG725" i="21"/>
  <c r="AE725" i="21"/>
  <c r="AD725" i="21"/>
  <c r="AC725" i="21"/>
  <c r="AB725" i="21"/>
  <c r="AA725" i="21"/>
  <c r="Y725" i="21"/>
  <c r="X725" i="21"/>
  <c r="W725" i="21"/>
  <c r="V725" i="21"/>
  <c r="U725" i="21"/>
  <c r="E725" i="21"/>
  <c r="AX725" i="21" s="1"/>
  <c r="A725" i="21"/>
  <c r="B725" i="21" s="1"/>
  <c r="AG721" i="21"/>
  <c r="AF721" i="21"/>
  <c r="AJ721" i="21" s="1"/>
  <c r="AA721" i="21"/>
  <c r="Z721" i="21"/>
  <c r="AB721" i="21" s="1"/>
  <c r="U721" i="21"/>
  <c r="T721" i="21"/>
  <c r="X721" i="21" s="1"/>
  <c r="Q721" i="21"/>
  <c r="P721" i="21"/>
  <c r="E721" i="21"/>
  <c r="D721" i="21"/>
  <c r="AG720" i="21"/>
  <c r="AF720" i="21"/>
  <c r="AA720" i="21"/>
  <c r="Z720" i="21"/>
  <c r="AB720" i="21" s="1"/>
  <c r="U720" i="21"/>
  <c r="T720" i="21"/>
  <c r="V720" i="21" s="1"/>
  <c r="Q720" i="21"/>
  <c r="P720" i="21"/>
  <c r="F720" i="21" s="1"/>
  <c r="E720" i="21"/>
  <c r="D720" i="21"/>
  <c r="AG719" i="21"/>
  <c r="AF719" i="21"/>
  <c r="AH719" i="21" s="1"/>
  <c r="AA719" i="21"/>
  <c r="Z719" i="21"/>
  <c r="U719" i="21"/>
  <c r="T719" i="21"/>
  <c r="V719" i="21" s="1"/>
  <c r="Q719" i="21"/>
  <c r="P719" i="21"/>
  <c r="F719" i="21" s="1"/>
  <c r="E719" i="21"/>
  <c r="D719" i="21"/>
  <c r="AG718" i="21"/>
  <c r="AF718" i="21"/>
  <c r="AA718" i="21"/>
  <c r="Z718" i="21"/>
  <c r="AD718" i="21" s="1"/>
  <c r="U718" i="21"/>
  <c r="T718" i="21"/>
  <c r="X718" i="21" s="1"/>
  <c r="Q718" i="21"/>
  <c r="P718" i="21"/>
  <c r="J718" i="21"/>
  <c r="N718" i="21" s="1"/>
  <c r="G718" i="21"/>
  <c r="D718" i="21" s="1"/>
  <c r="AG717" i="21"/>
  <c r="AF717" i="21"/>
  <c r="AJ717" i="21" s="1"/>
  <c r="AA717" i="21"/>
  <c r="Z717" i="21"/>
  <c r="AD717" i="21" s="1"/>
  <c r="U717" i="21"/>
  <c r="T717" i="21"/>
  <c r="Q717" i="21"/>
  <c r="N717" i="21"/>
  <c r="I717" i="21" s="1"/>
  <c r="L717" i="21"/>
  <c r="P717" i="21" s="1"/>
  <c r="G717" i="21"/>
  <c r="E717" i="21" s="1"/>
  <c r="AG716" i="21"/>
  <c r="AF716" i="21"/>
  <c r="AJ716" i="21" s="1"/>
  <c r="AA716" i="21"/>
  <c r="Z716" i="21"/>
  <c r="U716" i="21"/>
  <c r="T716" i="21"/>
  <c r="X716" i="21" s="1"/>
  <c r="Q716" i="21"/>
  <c r="N716" i="21"/>
  <c r="I716" i="21" s="1"/>
  <c r="I718" i="21" s="1"/>
  <c r="L716" i="21"/>
  <c r="P716" i="21" s="1"/>
  <c r="F716" i="21" s="1"/>
  <c r="E716" i="21"/>
  <c r="AZ715" i="21"/>
  <c r="AY715" i="21"/>
  <c r="AK715" i="21"/>
  <c r="AJ715" i="21"/>
  <c r="AI715" i="21"/>
  <c r="AH715" i="21"/>
  <c r="AG715" i="21"/>
  <c r="AE715" i="21"/>
  <c r="AD715" i="21"/>
  <c r="AC715" i="21"/>
  <c r="AB715" i="21"/>
  <c r="AA715" i="21"/>
  <c r="Y715" i="21"/>
  <c r="X715" i="21"/>
  <c r="W715" i="21"/>
  <c r="V715" i="21"/>
  <c r="U715" i="21"/>
  <c r="I715" i="21"/>
  <c r="BR715" i="21" s="1"/>
  <c r="E715" i="21"/>
  <c r="AX715" i="21" s="1"/>
  <c r="A715" i="21"/>
  <c r="B715" i="21" s="1"/>
  <c r="AG712" i="21"/>
  <c r="AF712" i="21"/>
  <c r="AA712" i="21"/>
  <c r="Z712" i="21"/>
  <c r="U712" i="21"/>
  <c r="T712" i="21"/>
  <c r="X712" i="21" s="1"/>
  <c r="Q712" i="21"/>
  <c r="P712" i="21"/>
  <c r="E712" i="21"/>
  <c r="D712" i="21"/>
  <c r="AG711" i="21"/>
  <c r="AF711" i="21"/>
  <c r="AA711" i="21"/>
  <c r="Z711" i="21"/>
  <c r="AD711" i="21" s="1"/>
  <c r="U711" i="21"/>
  <c r="T711" i="21"/>
  <c r="Q711" i="21"/>
  <c r="P711" i="21"/>
  <c r="F711" i="21" s="1"/>
  <c r="E711" i="21"/>
  <c r="D711" i="21"/>
  <c r="AG710" i="21"/>
  <c r="AF710" i="21"/>
  <c r="AA710" i="21"/>
  <c r="Z710" i="21"/>
  <c r="AB710" i="21" s="1"/>
  <c r="U710" i="21"/>
  <c r="T710" i="21"/>
  <c r="Q710" i="21"/>
  <c r="P710" i="21"/>
  <c r="F710" i="21" s="1"/>
  <c r="E710" i="21"/>
  <c r="D710" i="21"/>
  <c r="AG709" i="21"/>
  <c r="AF709" i="21"/>
  <c r="AJ709" i="21" s="1"/>
  <c r="AA709" i="21"/>
  <c r="Z709" i="21"/>
  <c r="U709" i="21"/>
  <c r="T709" i="21"/>
  <c r="V709" i="21" s="1"/>
  <c r="Q709" i="21"/>
  <c r="P709" i="21"/>
  <c r="J709" i="21"/>
  <c r="N709" i="21" s="1"/>
  <c r="G709" i="21"/>
  <c r="E709" i="21" s="1"/>
  <c r="D709" i="21"/>
  <c r="AG708" i="21"/>
  <c r="AF708" i="21"/>
  <c r="AA708" i="21"/>
  <c r="Z708" i="21"/>
  <c r="AB708" i="21" s="1"/>
  <c r="U708" i="21"/>
  <c r="T708" i="21"/>
  <c r="X708" i="21" s="1"/>
  <c r="Q708" i="21"/>
  <c r="P708" i="21"/>
  <c r="N708" i="21"/>
  <c r="I708" i="21" s="1"/>
  <c r="G708" i="21"/>
  <c r="E708" i="21" s="1"/>
  <c r="AG707" i="21"/>
  <c r="AF707" i="21"/>
  <c r="AA707" i="21"/>
  <c r="Z707" i="21"/>
  <c r="U707" i="21"/>
  <c r="T707" i="21"/>
  <c r="X707" i="21" s="1"/>
  <c r="Q707" i="21"/>
  <c r="P707" i="21"/>
  <c r="F707" i="21" s="1"/>
  <c r="N707" i="21"/>
  <c r="I707" i="21" s="1"/>
  <c r="I709" i="21" s="1"/>
  <c r="E707" i="21"/>
  <c r="BR706" i="21"/>
  <c r="AZ706" i="21"/>
  <c r="AY706" i="21"/>
  <c r="AK706" i="21"/>
  <c r="AJ706" i="21"/>
  <c r="AI706" i="21"/>
  <c r="AH706" i="21"/>
  <c r="AG706" i="21"/>
  <c r="AE706" i="21"/>
  <c r="AD706" i="21"/>
  <c r="AC706" i="21"/>
  <c r="AB706" i="21"/>
  <c r="AA706" i="21"/>
  <c r="Y706" i="21"/>
  <c r="X706" i="21"/>
  <c r="W706" i="21"/>
  <c r="V706" i="21"/>
  <c r="U706" i="21"/>
  <c r="E706" i="21"/>
  <c r="AX706" i="21" s="1"/>
  <c r="A706" i="21"/>
  <c r="B706" i="21" s="1"/>
  <c r="AG703" i="21"/>
  <c r="AF703" i="21"/>
  <c r="AA703" i="21"/>
  <c r="Z703" i="21"/>
  <c r="U703" i="21"/>
  <c r="T703" i="21"/>
  <c r="X703" i="21" s="1"/>
  <c r="V703" i="21" s="1"/>
  <c r="Q703" i="21"/>
  <c r="P703" i="21"/>
  <c r="F703" i="21" s="1"/>
  <c r="J703" i="21"/>
  <c r="N703" i="21" s="1"/>
  <c r="I703" i="21" s="1"/>
  <c r="G703" i="21"/>
  <c r="E703" i="21" s="1"/>
  <c r="D703" i="21"/>
  <c r="AG702" i="21"/>
  <c r="AF702" i="21"/>
  <c r="AJ702" i="21" s="1"/>
  <c r="AA702" i="21"/>
  <c r="Z702" i="21"/>
  <c r="AD702" i="21" s="1"/>
  <c r="U702" i="21"/>
  <c r="T702" i="21"/>
  <c r="X702" i="21" s="1"/>
  <c r="Q702" i="21"/>
  <c r="P702" i="21"/>
  <c r="J702" i="21"/>
  <c r="N702" i="21" s="1"/>
  <c r="I702" i="21" s="1"/>
  <c r="G702" i="21"/>
  <c r="AG701" i="21"/>
  <c r="AF701" i="21"/>
  <c r="AA701" i="21"/>
  <c r="Z701" i="21"/>
  <c r="AD701" i="21" s="1"/>
  <c r="U701" i="21"/>
  <c r="T701" i="21"/>
  <c r="X701" i="21" s="1"/>
  <c r="Q701" i="21"/>
  <c r="P701" i="21"/>
  <c r="F701" i="21" s="1"/>
  <c r="N701" i="21"/>
  <c r="I701" i="21" s="1"/>
  <c r="G701" i="21"/>
  <c r="E701" i="21" s="1"/>
  <c r="AG700" i="21"/>
  <c r="AF700" i="21"/>
  <c r="AJ700" i="21" s="1"/>
  <c r="AA700" i="21"/>
  <c r="Z700" i="21"/>
  <c r="AD700" i="21" s="1"/>
  <c r="U700" i="21"/>
  <c r="T700" i="21"/>
  <c r="X700" i="21" s="1"/>
  <c r="Q700" i="21"/>
  <c r="P700" i="21"/>
  <c r="N700" i="21"/>
  <c r="I700" i="21" s="1"/>
  <c r="G700" i="21"/>
  <c r="D700" i="21" s="1"/>
  <c r="E700" i="21"/>
  <c r="AG699" i="21"/>
  <c r="AF699" i="21"/>
  <c r="AA699" i="21"/>
  <c r="Z699" i="21"/>
  <c r="U699" i="21"/>
  <c r="T699" i="21"/>
  <c r="Q699" i="21"/>
  <c r="N699" i="21"/>
  <c r="I699" i="21" s="1"/>
  <c r="G699" i="21"/>
  <c r="D699" i="21" s="1"/>
  <c r="AG698" i="21"/>
  <c r="AF698" i="21"/>
  <c r="AJ698" i="21" s="1"/>
  <c r="AA698" i="21"/>
  <c r="Z698" i="21"/>
  <c r="AD698" i="21" s="1"/>
  <c r="U698" i="21"/>
  <c r="T698" i="21"/>
  <c r="X698" i="21" s="1"/>
  <c r="Q698" i="21"/>
  <c r="P698" i="21"/>
  <c r="N698" i="21"/>
  <c r="I698" i="21" s="1"/>
  <c r="E698" i="21"/>
  <c r="D698" i="21"/>
  <c r="BR697" i="21"/>
  <c r="AZ697" i="21"/>
  <c r="AY697" i="21"/>
  <c r="AK697" i="21"/>
  <c r="AJ697" i="21"/>
  <c r="AI697" i="21"/>
  <c r="AH697" i="21"/>
  <c r="AG697" i="21"/>
  <c r="AE697" i="21"/>
  <c r="AD697" i="21"/>
  <c r="AC697" i="21"/>
  <c r="AB697" i="21"/>
  <c r="AA697" i="21"/>
  <c r="Y697" i="21"/>
  <c r="X697" i="21"/>
  <c r="W697" i="21"/>
  <c r="V697" i="21"/>
  <c r="U697" i="21"/>
  <c r="E697" i="21"/>
  <c r="AX697" i="21" s="1"/>
  <c r="A697" i="21"/>
  <c r="B697" i="21" s="1"/>
  <c r="AG694" i="21"/>
  <c r="AF694" i="21"/>
  <c r="AA694" i="21"/>
  <c r="Z694" i="21"/>
  <c r="AD694" i="21" s="1"/>
  <c r="U694" i="21"/>
  <c r="T694" i="21"/>
  <c r="Q694" i="21"/>
  <c r="P694" i="21"/>
  <c r="G694" i="21"/>
  <c r="E694" i="21"/>
  <c r="D694" i="21"/>
  <c r="AG693" i="21"/>
  <c r="AF693" i="21"/>
  <c r="AA693" i="21"/>
  <c r="Z693" i="21"/>
  <c r="U693" i="21"/>
  <c r="T693" i="21"/>
  <c r="Q693" i="21"/>
  <c r="P693" i="21"/>
  <c r="F693" i="21" s="1"/>
  <c r="G693" i="21"/>
  <c r="E693" i="21" s="1"/>
  <c r="D693" i="21"/>
  <c r="AG692" i="21"/>
  <c r="AF692" i="21"/>
  <c r="AA692" i="21"/>
  <c r="Z692" i="21"/>
  <c r="U692" i="21"/>
  <c r="T692" i="21"/>
  <c r="Q692" i="21"/>
  <c r="P692" i="21"/>
  <c r="F692" i="21" s="1"/>
  <c r="J692" i="21"/>
  <c r="G692" i="21"/>
  <c r="E692" i="21" s="1"/>
  <c r="D692" i="21"/>
  <c r="AG691" i="21"/>
  <c r="AF691" i="21"/>
  <c r="AA691" i="21"/>
  <c r="Z691" i="21"/>
  <c r="AB691" i="21" s="1"/>
  <c r="U691" i="21"/>
  <c r="T691" i="21"/>
  <c r="Q691" i="21"/>
  <c r="N691" i="21"/>
  <c r="I691" i="21" s="1"/>
  <c r="G691" i="21"/>
  <c r="F691" i="21"/>
  <c r="AG690" i="21"/>
  <c r="AF690" i="21"/>
  <c r="AA690" i="21"/>
  <c r="Z690" i="21"/>
  <c r="AB690" i="21" s="1"/>
  <c r="U690" i="21"/>
  <c r="T690" i="21"/>
  <c r="Q690" i="21"/>
  <c r="N690" i="21"/>
  <c r="I690" i="21"/>
  <c r="F690" i="21"/>
  <c r="E690" i="21"/>
  <c r="D690" i="21"/>
  <c r="AG689" i="21"/>
  <c r="AF689" i="21"/>
  <c r="AJ689" i="21" s="1"/>
  <c r="AD689" i="21"/>
  <c r="AB689" i="21" s="1"/>
  <c r="AA689" i="21"/>
  <c r="X689" i="21"/>
  <c r="U689" i="21"/>
  <c r="N689" i="21"/>
  <c r="I689" i="21" s="1"/>
  <c r="E689" i="21"/>
  <c r="BR688" i="21"/>
  <c r="AZ688" i="21"/>
  <c r="AK688" i="21"/>
  <c r="AJ688" i="21"/>
  <c r="AI688" i="21"/>
  <c r="AH688" i="21"/>
  <c r="AG688" i="21"/>
  <c r="AE688" i="21"/>
  <c r="AD688" i="21"/>
  <c r="AC688" i="21"/>
  <c r="AB688" i="21"/>
  <c r="AA688" i="21"/>
  <c r="Y688" i="21"/>
  <c r="X688" i="21"/>
  <c r="W688" i="21"/>
  <c r="V688" i="21"/>
  <c r="U688" i="21"/>
  <c r="E688" i="21"/>
  <c r="AX688" i="21" s="1"/>
  <c r="D688" i="21"/>
  <c r="Q689" i="21" s="1"/>
  <c r="A688" i="21"/>
  <c r="B688" i="21" s="1"/>
  <c r="AG685" i="21"/>
  <c r="AF685" i="21"/>
  <c r="AH685" i="21" s="1"/>
  <c r="AA685" i="21"/>
  <c r="Z685" i="21"/>
  <c r="AD685" i="21" s="1"/>
  <c r="U685" i="21"/>
  <c r="T685" i="21"/>
  <c r="V685" i="21" s="1"/>
  <c r="Q685" i="21"/>
  <c r="P685" i="21"/>
  <c r="F685" i="21" s="1"/>
  <c r="N685" i="21"/>
  <c r="I685" i="21" s="1"/>
  <c r="G685" i="21"/>
  <c r="D685" i="21" s="1"/>
  <c r="AG684" i="21"/>
  <c r="AF684" i="21"/>
  <c r="AJ684" i="21" s="1"/>
  <c r="AA684" i="21"/>
  <c r="Z684" i="21"/>
  <c r="AB684" i="21" s="1"/>
  <c r="U684" i="21"/>
  <c r="T684" i="21"/>
  <c r="X684" i="21" s="1"/>
  <c r="Q684" i="21"/>
  <c r="P684" i="21"/>
  <c r="N684" i="21"/>
  <c r="I684" i="21" s="1"/>
  <c r="BR683" i="21"/>
  <c r="AZ683" i="21"/>
  <c r="AY683" i="21"/>
  <c r="AK683" i="21"/>
  <c r="AJ683" i="21"/>
  <c r="AI683" i="21"/>
  <c r="AH683" i="21"/>
  <c r="AG683" i="21"/>
  <c r="AE683" i="21"/>
  <c r="AD683" i="21"/>
  <c r="AC683" i="21"/>
  <c r="AB683" i="21"/>
  <c r="AA683" i="21"/>
  <c r="Y683" i="21"/>
  <c r="X683" i="21"/>
  <c r="W683" i="21"/>
  <c r="V683" i="21"/>
  <c r="U683" i="21"/>
  <c r="E683" i="21"/>
  <c r="AX683" i="21" s="1"/>
  <c r="A683" i="21"/>
  <c r="B683" i="21" s="1"/>
  <c r="E680" i="21"/>
  <c r="F679" i="21"/>
  <c r="E679" i="21"/>
  <c r="BR678" i="21"/>
  <c r="AZ678" i="21"/>
  <c r="AY678" i="21"/>
  <c r="AX678" i="21"/>
  <c r="G678" i="21"/>
  <c r="BA678" i="21" s="1"/>
  <c r="A678" i="21"/>
  <c r="B678" i="21" s="1"/>
  <c r="E676" i="21"/>
  <c r="H674" i="21" s="1"/>
  <c r="H673" i="21" s="1"/>
  <c r="BR673" i="21"/>
  <c r="AZ673" i="21"/>
  <c r="AX673" i="21"/>
  <c r="G673" i="21"/>
  <c r="BA673" i="21" s="1"/>
  <c r="D673" i="21"/>
  <c r="AY673" i="21" s="1"/>
  <c r="A673" i="21"/>
  <c r="B673" i="21" s="1"/>
  <c r="E671" i="21"/>
  <c r="H669" i="21" s="1"/>
  <c r="H668" i="21" s="1"/>
  <c r="BR668" i="21"/>
  <c r="AZ668" i="21"/>
  <c r="AX668" i="21"/>
  <c r="G668" i="21"/>
  <c r="BA668" i="21" s="1"/>
  <c r="D668" i="21"/>
  <c r="AY668" i="21" s="1"/>
  <c r="A668" i="21"/>
  <c r="B668" i="21" s="1"/>
  <c r="H664" i="21"/>
  <c r="H663" i="21" s="1"/>
  <c r="BR663" i="21"/>
  <c r="AZ663" i="21"/>
  <c r="AY663" i="21"/>
  <c r="AX663" i="21"/>
  <c r="G663" i="21"/>
  <c r="BA663" i="21" s="1"/>
  <c r="A663" i="21"/>
  <c r="B663" i="21" s="1"/>
  <c r="H659" i="21"/>
  <c r="H658" i="21" s="1"/>
  <c r="BR658" i="21"/>
  <c r="AZ658" i="21"/>
  <c r="AY658" i="21"/>
  <c r="AX658" i="21"/>
  <c r="G658" i="21"/>
  <c r="BA658" i="21" s="1"/>
  <c r="A658" i="21"/>
  <c r="B658" i="21" s="1"/>
  <c r="C655" i="21"/>
  <c r="D654" i="21"/>
  <c r="BR653" i="21"/>
  <c r="AZ653" i="21"/>
  <c r="AY653" i="21"/>
  <c r="E653" i="21"/>
  <c r="AX653" i="21" s="1"/>
  <c r="A653" i="21"/>
  <c r="B653" i="21" s="1"/>
  <c r="AD651" i="21"/>
  <c r="AC651" i="21"/>
  <c r="AB651" i="21"/>
  <c r="AA651" i="21"/>
  <c r="C651" i="21"/>
  <c r="AE649" i="21"/>
  <c r="AF649" i="21" s="1"/>
  <c r="AD649" i="21"/>
  <c r="AC649" i="21"/>
  <c r="AA649" i="21"/>
  <c r="AH651" i="21" s="1"/>
  <c r="BR648" i="21"/>
  <c r="BC648" i="21"/>
  <c r="F648" i="21"/>
  <c r="AZ648" i="21" s="1"/>
  <c r="E648" i="21"/>
  <c r="AX648" i="21" s="1"/>
  <c r="D648" i="21"/>
  <c r="AY648" i="21" s="1"/>
  <c r="A648" i="21"/>
  <c r="B648" i="21" s="1"/>
  <c r="AD646" i="21"/>
  <c r="AC646" i="21"/>
  <c r="AB646" i="21"/>
  <c r="AA646" i="21"/>
  <c r="C646" i="21"/>
  <c r="AE644" i="21"/>
  <c r="AF644" i="21" s="1"/>
  <c r="AD644" i="21"/>
  <c r="AC644" i="21"/>
  <c r="AA644" i="21"/>
  <c r="AH646" i="21" s="1"/>
  <c r="BR643" i="21"/>
  <c r="BC643" i="21"/>
  <c r="AZ643" i="21"/>
  <c r="E643" i="21"/>
  <c r="AX643" i="21" s="1"/>
  <c r="D643" i="21"/>
  <c r="AY643" i="21" s="1"/>
  <c r="A643" i="21"/>
  <c r="B643" i="21" s="1"/>
  <c r="AG640" i="21"/>
  <c r="AF640" i="21"/>
  <c r="AJ640" i="21" s="1"/>
  <c r="AH640" i="21" s="1"/>
  <c r="AA640" i="21"/>
  <c r="Z640" i="21"/>
  <c r="AD640" i="21" s="1"/>
  <c r="U640" i="21"/>
  <c r="T640" i="21"/>
  <c r="X640" i="21" s="1"/>
  <c r="Q640" i="21"/>
  <c r="P640" i="21"/>
  <c r="F640" i="21" s="1"/>
  <c r="J640" i="21"/>
  <c r="N640" i="21" s="1"/>
  <c r="I640" i="21" s="1"/>
  <c r="G640" i="21"/>
  <c r="E640" i="21"/>
  <c r="D640" i="21"/>
  <c r="AG639" i="21"/>
  <c r="AF639" i="21"/>
  <c r="AA639" i="21"/>
  <c r="Z639" i="21"/>
  <c r="U639" i="21"/>
  <c r="T639" i="21"/>
  <c r="Q639" i="21"/>
  <c r="P639" i="21"/>
  <c r="J639" i="21"/>
  <c r="N639" i="21" s="1"/>
  <c r="I639" i="21" s="1"/>
  <c r="G639" i="21"/>
  <c r="E639" i="21" s="1"/>
  <c r="AG638" i="21"/>
  <c r="AF638" i="21"/>
  <c r="AJ638" i="21" s="1"/>
  <c r="AA638" i="21"/>
  <c r="Z638" i="21"/>
  <c r="U638" i="21"/>
  <c r="T638" i="21"/>
  <c r="Q638" i="21"/>
  <c r="P638" i="21"/>
  <c r="F638" i="21" s="1"/>
  <c r="N638" i="21"/>
  <c r="I638" i="21" s="1"/>
  <c r="G638" i="21"/>
  <c r="AG637" i="21"/>
  <c r="AF637" i="21"/>
  <c r="AA637" i="21"/>
  <c r="Z637" i="21"/>
  <c r="AD637" i="21" s="1"/>
  <c r="U637" i="21"/>
  <c r="T637" i="21"/>
  <c r="X637" i="21" s="1"/>
  <c r="Q637" i="21"/>
  <c r="P637" i="21"/>
  <c r="F637" i="21" s="1"/>
  <c r="N637" i="21"/>
  <c r="I637" i="21" s="1"/>
  <c r="G637" i="21"/>
  <c r="AG636" i="21"/>
  <c r="AF636" i="21"/>
  <c r="AJ636" i="21" s="1"/>
  <c r="AH636" i="21" s="1"/>
  <c r="AA636" i="21"/>
  <c r="Z636" i="21"/>
  <c r="AD636" i="21" s="1"/>
  <c r="AB636" i="21" s="1"/>
  <c r="U636" i="21"/>
  <c r="T636" i="21"/>
  <c r="Q636" i="21"/>
  <c r="N636" i="21"/>
  <c r="I636" i="21" s="1"/>
  <c r="G636" i="21"/>
  <c r="D636" i="21" s="1"/>
  <c r="AG635" i="21"/>
  <c r="AF635" i="21"/>
  <c r="AA635" i="21"/>
  <c r="Z635" i="21"/>
  <c r="U635" i="21"/>
  <c r="T635" i="21"/>
  <c r="X635" i="21" s="1"/>
  <c r="Q635" i="21"/>
  <c r="P635" i="21"/>
  <c r="F635" i="21" s="1"/>
  <c r="N635" i="21"/>
  <c r="I635" i="21" s="1"/>
  <c r="E635" i="21"/>
  <c r="D635" i="21"/>
  <c r="BR634" i="21"/>
  <c r="AZ634" i="21"/>
  <c r="AY634" i="21"/>
  <c r="AK634" i="21"/>
  <c r="AJ634" i="21"/>
  <c r="AI634" i="21"/>
  <c r="AH634" i="21"/>
  <c r="AG634" i="21"/>
  <c r="AE634" i="21"/>
  <c r="AD634" i="21"/>
  <c r="AC634" i="21"/>
  <c r="AB634" i="21"/>
  <c r="AA634" i="21"/>
  <c r="Y634" i="21"/>
  <c r="X634" i="21"/>
  <c r="W634" i="21"/>
  <c r="V634" i="21"/>
  <c r="U634" i="21"/>
  <c r="E634" i="21"/>
  <c r="AX634" i="21" s="1"/>
  <c r="A634" i="21"/>
  <c r="B634" i="21" s="1"/>
  <c r="AG631" i="21"/>
  <c r="AF631" i="21"/>
  <c r="AA631" i="21"/>
  <c r="Z631" i="21"/>
  <c r="AD631" i="21" s="1"/>
  <c r="U631" i="21"/>
  <c r="T631" i="21"/>
  <c r="X631" i="21" s="1"/>
  <c r="Q631" i="21"/>
  <c r="P631" i="21"/>
  <c r="F631" i="21" s="1"/>
  <c r="J631" i="21"/>
  <c r="N631" i="21" s="1"/>
  <c r="I631" i="21" s="1"/>
  <c r="G631" i="21"/>
  <c r="E631" i="21" s="1"/>
  <c r="D631" i="21"/>
  <c r="AG630" i="21"/>
  <c r="AF630" i="21"/>
  <c r="AJ630" i="21" s="1"/>
  <c r="AA630" i="21"/>
  <c r="Z630" i="21"/>
  <c r="AD630" i="21" s="1"/>
  <c r="U630" i="21"/>
  <c r="T630" i="21"/>
  <c r="Q630" i="21"/>
  <c r="P630" i="21"/>
  <c r="F630" i="21" s="1"/>
  <c r="J630" i="21"/>
  <c r="N630" i="21" s="1"/>
  <c r="I630" i="21" s="1"/>
  <c r="G630" i="21"/>
  <c r="E630" i="21"/>
  <c r="AG629" i="21"/>
  <c r="AF629" i="21"/>
  <c r="AJ629" i="21" s="1"/>
  <c r="AA629" i="21"/>
  <c r="Z629" i="21"/>
  <c r="AD629" i="21" s="1"/>
  <c r="U629" i="21"/>
  <c r="T629" i="21"/>
  <c r="Q629" i="21"/>
  <c r="P629" i="21"/>
  <c r="F629" i="21" s="1"/>
  <c r="N629" i="21"/>
  <c r="I629" i="21" s="1"/>
  <c r="G629" i="21"/>
  <c r="E629" i="21" s="1"/>
  <c r="D629" i="21"/>
  <c r="AG628" i="21"/>
  <c r="AF628" i="21"/>
  <c r="AJ628" i="21" s="1"/>
  <c r="AA628" i="21"/>
  <c r="Z628" i="21"/>
  <c r="AD628" i="21" s="1"/>
  <c r="U628" i="21"/>
  <c r="T628" i="21"/>
  <c r="X628" i="21" s="1"/>
  <c r="Q628" i="21"/>
  <c r="P628" i="21"/>
  <c r="F628" i="21" s="1"/>
  <c r="N628" i="21"/>
  <c r="I628" i="21"/>
  <c r="G628" i="21"/>
  <c r="E628" i="21" s="1"/>
  <c r="AG627" i="21"/>
  <c r="AF627" i="21"/>
  <c r="AJ627" i="21" s="1"/>
  <c r="AH627" i="21" s="1"/>
  <c r="AA627" i="21"/>
  <c r="Z627" i="21"/>
  <c r="U627" i="21"/>
  <c r="T627" i="21"/>
  <c r="X627" i="21" s="1"/>
  <c r="Q627" i="21"/>
  <c r="N627" i="21"/>
  <c r="I627" i="21" s="1"/>
  <c r="G627" i="21"/>
  <c r="E627" i="21" s="1"/>
  <c r="AG626" i="21"/>
  <c r="AF626" i="21"/>
  <c r="AJ626" i="21" s="1"/>
  <c r="AA626" i="21"/>
  <c r="Z626" i="21"/>
  <c r="AD626" i="21" s="1"/>
  <c r="U626" i="21"/>
  <c r="T626" i="21"/>
  <c r="X626" i="21" s="1"/>
  <c r="Q626" i="21"/>
  <c r="P626" i="21"/>
  <c r="F626" i="21" s="1"/>
  <c r="N626" i="21"/>
  <c r="I626" i="21" s="1"/>
  <c r="E626" i="21"/>
  <c r="D626" i="21"/>
  <c r="BR625" i="21"/>
  <c r="AZ625" i="21"/>
  <c r="AY625" i="21"/>
  <c r="AK625" i="21"/>
  <c r="AJ625" i="21"/>
  <c r="AI625" i="21"/>
  <c r="AH625" i="21"/>
  <c r="AG625" i="21"/>
  <c r="AE625" i="21"/>
  <c r="AD625" i="21"/>
  <c r="AC625" i="21"/>
  <c r="AB625" i="21"/>
  <c r="AA625" i="21"/>
  <c r="Y625" i="21"/>
  <c r="X625" i="21"/>
  <c r="W625" i="21"/>
  <c r="V625" i="21"/>
  <c r="U625" i="21"/>
  <c r="E625" i="21"/>
  <c r="AX625" i="21" s="1"/>
  <c r="A625" i="21"/>
  <c r="B625" i="21" s="1"/>
  <c r="H621" i="21"/>
  <c r="H620" i="21" s="1"/>
  <c r="BR620" i="21"/>
  <c r="AZ620" i="21"/>
  <c r="AY620" i="21"/>
  <c r="AX620" i="21"/>
  <c r="G620" i="21"/>
  <c r="BA620" i="21" s="1"/>
  <c r="BB620" i="21" s="1"/>
  <c r="A620" i="21"/>
  <c r="B620" i="21" s="1"/>
  <c r="H616" i="21"/>
  <c r="BR615" i="21"/>
  <c r="AZ615" i="21"/>
  <c r="AY615" i="21"/>
  <c r="AX615" i="21"/>
  <c r="H615" i="21"/>
  <c r="G615" i="21"/>
  <c r="BA615" i="21" s="1"/>
  <c r="A615" i="21"/>
  <c r="B615" i="21" s="1"/>
  <c r="AA613" i="21"/>
  <c r="F612" i="21"/>
  <c r="E612" i="21"/>
  <c r="AE610" i="21"/>
  <c r="AC610" i="21"/>
  <c r="AA610" i="21"/>
  <c r="G610" i="21"/>
  <c r="AE613" i="21" s="1"/>
  <c r="AF613" i="21" s="1"/>
  <c r="BR608" i="21"/>
  <c r="BC608" i="21"/>
  <c r="AZ608" i="21"/>
  <c r="AX608" i="21"/>
  <c r="E608" i="21"/>
  <c r="D608" i="21"/>
  <c r="AY608" i="21" s="1"/>
  <c r="A608" i="21"/>
  <c r="B608" i="21" s="1"/>
  <c r="AA606" i="21"/>
  <c r="F604" i="21"/>
  <c r="E604" i="21"/>
  <c r="AE602" i="21"/>
  <c r="AC602" i="21"/>
  <c r="AA602" i="21"/>
  <c r="AJ602" i="21" s="1"/>
  <c r="J602" i="21"/>
  <c r="AU601" i="21" s="1"/>
  <c r="G602" i="21"/>
  <c r="AE606" i="21" s="1"/>
  <c r="BR600" i="21"/>
  <c r="BQ600" i="21"/>
  <c r="BC600" i="21"/>
  <c r="AZ600" i="21"/>
  <c r="AX600" i="21"/>
  <c r="E600" i="21"/>
  <c r="D600" i="21"/>
  <c r="AY600" i="21" s="1"/>
  <c r="A600" i="21"/>
  <c r="B600" i="21" s="1"/>
  <c r="AA598" i="21"/>
  <c r="AG598" i="21" s="1"/>
  <c r="F596" i="21"/>
  <c r="E596" i="21"/>
  <c r="AE594" i="21"/>
  <c r="AC594" i="21"/>
  <c r="AA594" i="21"/>
  <c r="BE592" i="21" s="1"/>
  <c r="J594" i="21"/>
  <c r="AU593" i="21" s="1"/>
  <c r="G594" i="21"/>
  <c r="AE598" i="21" s="1"/>
  <c r="BR592" i="21"/>
  <c r="BQ592" i="21"/>
  <c r="BC592" i="21"/>
  <c r="AZ592" i="21"/>
  <c r="AX592" i="21"/>
  <c r="E592" i="21"/>
  <c r="D592" i="21"/>
  <c r="AY592" i="21" s="1"/>
  <c r="A592" i="21"/>
  <c r="B592" i="21" s="1"/>
  <c r="AA590" i="21"/>
  <c r="F588" i="21"/>
  <c r="E588" i="21"/>
  <c r="AE586" i="21"/>
  <c r="AC586" i="21"/>
  <c r="AA586" i="21"/>
  <c r="J586" i="21"/>
  <c r="G586" i="21"/>
  <c r="AE590" i="21" s="1"/>
  <c r="BR584" i="21"/>
  <c r="BQ584" i="21"/>
  <c r="BC584" i="21"/>
  <c r="AZ584" i="21"/>
  <c r="AX584" i="21"/>
  <c r="E584" i="21"/>
  <c r="D584" i="21"/>
  <c r="A584" i="21"/>
  <c r="B584" i="21" s="1"/>
  <c r="AA582" i="21"/>
  <c r="AH582" i="21" s="1"/>
  <c r="F580" i="21"/>
  <c r="E580" i="21"/>
  <c r="AE578" i="21"/>
  <c r="AC578" i="21"/>
  <c r="AA578" i="21"/>
  <c r="AJ578" i="21" s="1"/>
  <c r="J578" i="21"/>
  <c r="AD578" i="21" s="1"/>
  <c r="G578" i="21"/>
  <c r="AE582" i="21" s="1"/>
  <c r="BR576" i="21"/>
  <c r="BQ576" i="21"/>
  <c r="BC576" i="21"/>
  <c r="AZ576" i="21"/>
  <c r="AX576" i="21"/>
  <c r="E576" i="21"/>
  <c r="D576" i="21"/>
  <c r="AY576" i="21" s="1"/>
  <c r="A576" i="21"/>
  <c r="B576" i="21" s="1"/>
  <c r="AQ573" i="21"/>
  <c r="AE573" i="21"/>
  <c r="AH573" i="21" s="1"/>
  <c r="AC573" i="21"/>
  <c r="AA573" i="21"/>
  <c r="Y573" i="21" s="1"/>
  <c r="E573" i="21"/>
  <c r="H573" i="21" s="1"/>
  <c r="Z571" i="21"/>
  <c r="J571" i="21"/>
  <c r="AS570" i="21" s="1"/>
  <c r="AF570" i="21"/>
  <c r="AG570" i="21" s="1"/>
  <c r="AE570" i="21"/>
  <c r="AD570" i="21"/>
  <c r="AC570" i="21"/>
  <c r="AA570" i="21"/>
  <c r="AJ570" i="21" s="1"/>
  <c r="H570" i="21"/>
  <c r="BR569" i="21"/>
  <c r="BQ569" i="21"/>
  <c r="AZ569" i="21"/>
  <c r="BN569" i="21" s="1"/>
  <c r="AY569" i="21"/>
  <c r="AX569" i="21"/>
  <c r="Y569" i="21"/>
  <c r="A569" i="21"/>
  <c r="B569" i="21" s="1"/>
  <c r="D564" i="21"/>
  <c r="BR563" i="21"/>
  <c r="BA563" i="21"/>
  <c r="AZ563" i="21"/>
  <c r="BB563" i="21" s="1"/>
  <c r="AY563" i="21"/>
  <c r="AX563" i="21"/>
  <c r="A563" i="21"/>
  <c r="B563" i="21" s="1"/>
  <c r="D558" i="21"/>
  <c r="H557" i="21" s="1"/>
  <c r="BR557" i="21"/>
  <c r="BA557" i="21"/>
  <c r="AZ557" i="21"/>
  <c r="AY557" i="21"/>
  <c r="AX557" i="21"/>
  <c r="A557" i="21"/>
  <c r="B557" i="21" s="1"/>
  <c r="D552" i="21"/>
  <c r="H551" i="21" s="1"/>
  <c r="BR551" i="21"/>
  <c r="BA551" i="21"/>
  <c r="AZ551" i="21"/>
  <c r="AY551" i="21"/>
  <c r="E551" i="21"/>
  <c r="AX551" i="21" s="1"/>
  <c r="A551" i="21"/>
  <c r="B551" i="21" s="1"/>
  <c r="AQ548" i="21"/>
  <c r="AE548" i="21"/>
  <c r="AC548" i="21"/>
  <c r="AA548" i="21"/>
  <c r="AM545" i="21" s="1"/>
  <c r="AO545" i="21" s="1"/>
  <c r="Y548" i="21"/>
  <c r="BO544" i="21" s="1"/>
  <c r="E548" i="21"/>
  <c r="H548" i="21" s="1"/>
  <c r="AM547" i="21"/>
  <c r="Z546" i="21"/>
  <c r="J546" i="21"/>
  <c r="AN545" i="21"/>
  <c r="AF545" i="21"/>
  <c r="AH545" i="21" s="1"/>
  <c r="AE545" i="21"/>
  <c r="AD545" i="21"/>
  <c r="AC545" i="21"/>
  <c r="AA545" i="21"/>
  <c r="H545" i="21"/>
  <c r="BR544" i="21"/>
  <c r="BQ544" i="21"/>
  <c r="AZ544" i="21"/>
  <c r="BN544" i="21" s="1"/>
  <c r="AY544" i="21"/>
  <c r="AX544" i="21"/>
  <c r="Y544" i="21"/>
  <c r="A544" i="21"/>
  <c r="B544" i="21" s="1"/>
  <c r="C542" i="21"/>
  <c r="C539" i="21" s="1"/>
  <c r="E541" i="21"/>
  <c r="H540" i="21" s="1"/>
  <c r="H539" i="21" s="1"/>
  <c r="BR539" i="21"/>
  <c r="AZ539" i="21"/>
  <c r="AY539" i="21"/>
  <c r="AX539" i="21"/>
  <c r="G539" i="21"/>
  <c r="BA539" i="21" s="1"/>
  <c r="A539" i="21"/>
  <c r="B539" i="21" s="1"/>
  <c r="E537" i="21"/>
  <c r="D537" i="21"/>
  <c r="C535" i="21" s="1"/>
  <c r="C537" i="21"/>
  <c r="C534" i="21" s="1"/>
  <c r="D535" i="21"/>
  <c r="BR534" i="21"/>
  <c r="AZ534" i="21"/>
  <c r="AY534" i="21"/>
  <c r="AX534" i="21"/>
  <c r="A534" i="21"/>
  <c r="B534" i="21" s="1"/>
  <c r="E532" i="21"/>
  <c r="D532" i="21"/>
  <c r="C530" i="21" s="1"/>
  <c r="G529" i="21" s="1"/>
  <c r="BA529" i="21" s="1"/>
  <c r="C532" i="21"/>
  <c r="C529" i="21" s="1"/>
  <c r="D530" i="21"/>
  <c r="BR529" i="21"/>
  <c r="AZ529" i="21"/>
  <c r="AY529" i="21"/>
  <c r="AX529" i="21"/>
  <c r="A529" i="21"/>
  <c r="B529" i="21" s="1"/>
  <c r="C527" i="21"/>
  <c r="C524" i="21" s="1"/>
  <c r="C526" i="21"/>
  <c r="E526" i="21" s="1"/>
  <c r="BR524" i="21"/>
  <c r="AZ524" i="21"/>
  <c r="AX524" i="21"/>
  <c r="G524" i="21"/>
  <c r="BA524" i="21" s="1"/>
  <c r="D524" i="21"/>
  <c r="AY524" i="21" s="1"/>
  <c r="A524" i="21"/>
  <c r="B524" i="21" s="1"/>
  <c r="C522" i="21"/>
  <c r="C513" i="21" s="1"/>
  <c r="G519" i="21"/>
  <c r="G518" i="21"/>
  <c r="I517" i="21" s="1"/>
  <c r="BR517" i="21"/>
  <c r="AZ517" i="21"/>
  <c r="D517" i="21"/>
  <c r="AY517" i="21" s="1"/>
  <c r="E514" i="21"/>
  <c r="D514" i="21"/>
  <c r="BR513" i="21"/>
  <c r="AZ513" i="21"/>
  <c r="A513" i="21"/>
  <c r="B513" i="21" s="1"/>
  <c r="C511" i="21"/>
  <c r="C502" i="21" s="1"/>
  <c r="G508" i="21"/>
  <c r="G507" i="21"/>
  <c r="BR506" i="21"/>
  <c r="AZ506" i="21"/>
  <c r="D506" i="21"/>
  <c r="AY506" i="21" s="1"/>
  <c r="E503" i="21"/>
  <c r="D503" i="21"/>
  <c r="BR502" i="21"/>
  <c r="AZ502" i="21"/>
  <c r="D502" i="21"/>
  <c r="AY502" i="21" s="1"/>
  <c r="A502" i="21"/>
  <c r="B502" i="21" s="1"/>
  <c r="C499" i="21"/>
  <c r="BR497" i="21"/>
  <c r="AZ497" i="21"/>
  <c r="AY497" i="21"/>
  <c r="AX497" i="21"/>
  <c r="A497" i="21"/>
  <c r="B497" i="21" s="1"/>
  <c r="BR491" i="21"/>
  <c r="BA491" i="21"/>
  <c r="AZ491" i="21"/>
  <c r="AY491" i="21"/>
  <c r="AX491" i="21"/>
  <c r="H491" i="21"/>
  <c r="A491" i="21"/>
  <c r="B491" i="21" s="1"/>
  <c r="C488" i="21"/>
  <c r="C485" i="21" s="1"/>
  <c r="C487" i="21"/>
  <c r="BR485" i="21"/>
  <c r="AZ485" i="21"/>
  <c r="AY485" i="21"/>
  <c r="AX485" i="21"/>
  <c r="A485" i="21"/>
  <c r="B485" i="21" s="1"/>
  <c r="F483" i="21"/>
  <c r="D483" i="21"/>
  <c r="C483" i="21"/>
  <c r="C480" i="21" s="1"/>
  <c r="E481" i="21"/>
  <c r="BR480" i="21"/>
  <c r="AZ480" i="21"/>
  <c r="AX480" i="21"/>
  <c r="D480" i="21"/>
  <c r="AY480" i="21" s="1"/>
  <c r="A480" i="21"/>
  <c r="B480" i="21" s="1"/>
  <c r="C478" i="21"/>
  <c r="C475" i="21" s="1"/>
  <c r="C477" i="21"/>
  <c r="E477" i="21" s="1"/>
  <c r="BR475" i="21"/>
  <c r="AZ475" i="21"/>
  <c r="AY475" i="21"/>
  <c r="AX475" i="21"/>
  <c r="A475" i="21"/>
  <c r="B475" i="21" s="1"/>
  <c r="C473" i="21"/>
  <c r="C470" i="21" s="1"/>
  <c r="C463" i="21" s="1"/>
  <c r="H471" i="21"/>
  <c r="H470" i="21" s="1"/>
  <c r="BR470" i="21"/>
  <c r="BA470" i="21"/>
  <c r="AZ470" i="21"/>
  <c r="AY470" i="21"/>
  <c r="AX470" i="21"/>
  <c r="A470" i="21"/>
  <c r="B470" i="21" s="1"/>
  <c r="C468" i="21"/>
  <c r="D465" i="21"/>
  <c r="D466" i="21" s="1"/>
  <c r="C465" i="21"/>
  <c r="E464" i="21"/>
  <c r="C464" i="21"/>
  <c r="BR463" i="21"/>
  <c r="AZ463" i="21"/>
  <c r="AY463" i="21"/>
  <c r="AX463" i="21"/>
  <c r="G463" i="21"/>
  <c r="A463" i="21"/>
  <c r="B463" i="21" s="1"/>
  <c r="C460" i="21"/>
  <c r="C453" i="21" s="1"/>
  <c r="AH459" i="21"/>
  <c r="AG459" i="21"/>
  <c r="AK459" i="21" s="1"/>
  <c r="AB459" i="21"/>
  <c r="AA459" i="21"/>
  <c r="V459" i="21"/>
  <c r="U459" i="21"/>
  <c r="W459" i="21" s="1"/>
  <c r="R459" i="21"/>
  <c r="Q459" i="21"/>
  <c r="F459" i="21" s="1"/>
  <c r="E459" i="21"/>
  <c r="D459" i="21"/>
  <c r="AH458" i="21"/>
  <c r="AG458" i="21"/>
  <c r="AK458" i="21" s="1"/>
  <c r="AB458" i="21"/>
  <c r="AA458" i="21"/>
  <c r="AE458" i="21" s="1"/>
  <c r="V458" i="21"/>
  <c r="U458" i="21"/>
  <c r="Y458" i="21" s="1"/>
  <c r="R458" i="21"/>
  <c r="Q458" i="21"/>
  <c r="E458" i="21"/>
  <c r="D458" i="21"/>
  <c r="AH457" i="21"/>
  <c r="AG457" i="21"/>
  <c r="AB457" i="21"/>
  <c r="AA457" i="21"/>
  <c r="V457" i="21"/>
  <c r="U457" i="21"/>
  <c r="R457" i="21"/>
  <c r="Q457" i="21"/>
  <c r="F457" i="21" s="1"/>
  <c r="E457" i="21"/>
  <c r="D457" i="21"/>
  <c r="AH456" i="21"/>
  <c r="AG456" i="21"/>
  <c r="AB456" i="21"/>
  <c r="AA456" i="21"/>
  <c r="AE456" i="21" s="1"/>
  <c r="V456" i="21"/>
  <c r="U456" i="21"/>
  <c r="W456" i="21" s="1"/>
  <c r="R456" i="21"/>
  <c r="Q456" i="21"/>
  <c r="F456" i="21" s="1"/>
  <c r="J456" i="21"/>
  <c r="P456" i="21" s="1"/>
  <c r="G456" i="21"/>
  <c r="E456" i="21" s="1"/>
  <c r="AH455" i="21"/>
  <c r="AG455" i="21"/>
  <c r="AB455" i="21"/>
  <c r="AA455" i="21"/>
  <c r="AC455" i="21" s="1"/>
  <c r="V455" i="21"/>
  <c r="U455" i="21"/>
  <c r="R455" i="21"/>
  <c r="P455" i="21"/>
  <c r="I455" i="21" s="1"/>
  <c r="L455" i="21"/>
  <c r="Q455" i="21" s="1"/>
  <c r="F455" i="21" s="1"/>
  <c r="G455" i="21"/>
  <c r="AH454" i="21"/>
  <c r="AG454" i="21"/>
  <c r="AB454" i="21"/>
  <c r="AA454" i="21"/>
  <c r="AE454" i="21" s="1"/>
  <c r="AC454" i="21" s="1"/>
  <c r="V454" i="21"/>
  <c r="U454" i="21"/>
  <c r="Y454" i="21" s="1"/>
  <c r="R454" i="21"/>
  <c r="P454" i="21"/>
  <c r="I454" i="21" s="1"/>
  <c r="I456" i="21" s="1"/>
  <c r="L454" i="21"/>
  <c r="Q454" i="21" s="1"/>
  <c r="E454" i="21"/>
  <c r="D454" i="21"/>
  <c r="BR453" i="21"/>
  <c r="AZ453" i="21"/>
  <c r="AY453" i="21"/>
  <c r="AL453" i="21"/>
  <c r="AK453" i="21"/>
  <c r="AJ453" i="21"/>
  <c r="AI453" i="21"/>
  <c r="AH453" i="21"/>
  <c r="AF453" i="21"/>
  <c r="AE453" i="21"/>
  <c r="AD453" i="21"/>
  <c r="AC453" i="21"/>
  <c r="AB453" i="21"/>
  <c r="Z453" i="21"/>
  <c r="Y453" i="21"/>
  <c r="X453" i="21"/>
  <c r="W453" i="21"/>
  <c r="V453" i="21"/>
  <c r="E453" i="21"/>
  <c r="AX453" i="21" s="1"/>
  <c r="A453" i="21"/>
  <c r="B453" i="21" s="1"/>
  <c r="C451" i="21"/>
  <c r="C444" i="21" s="1"/>
  <c r="AH450" i="21"/>
  <c r="AG450" i="21"/>
  <c r="AK450" i="21" s="1"/>
  <c r="AB450" i="21"/>
  <c r="AA450" i="21"/>
  <c r="V450" i="21"/>
  <c r="U450" i="21"/>
  <c r="R450" i="21"/>
  <c r="Q450" i="21"/>
  <c r="F450" i="21" s="1"/>
  <c r="E450" i="21"/>
  <c r="D450" i="21"/>
  <c r="AH449" i="21"/>
  <c r="AG449" i="21"/>
  <c r="AI449" i="21" s="1"/>
  <c r="AB449" i="21"/>
  <c r="AA449" i="21"/>
  <c r="V449" i="21"/>
  <c r="U449" i="21"/>
  <c r="Y449" i="21" s="1"/>
  <c r="R449" i="21"/>
  <c r="Q449" i="21"/>
  <c r="F449" i="21" s="1"/>
  <c r="E449" i="21"/>
  <c r="D449" i="21"/>
  <c r="AH448" i="21"/>
  <c r="AG448" i="21"/>
  <c r="AB448" i="21"/>
  <c r="AA448" i="21"/>
  <c r="V448" i="21"/>
  <c r="U448" i="21"/>
  <c r="R448" i="21"/>
  <c r="Q448" i="21"/>
  <c r="F448" i="21" s="1"/>
  <c r="E448" i="21"/>
  <c r="D448" i="21"/>
  <c r="AH447" i="21"/>
  <c r="AG447" i="21"/>
  <c r="AB447" i="21"/>
  <c r="AA447" i="21"/>
  <c r="V447" i="21"/>
  <c r="U447" i="21"/>
  <c r="W447" i="21" s="1"/>
  <c r="R447" i="21"/>
  <c r="Q447" i="21"/>
  <c r="F447" i="21" s="1"/>
  <c r="J447" i="21"/>
  <c r="P447" i="21" s="1"/>
  <c r="G447" i="21"/>
  <c r="E447" i="21" s="1"/>
  <c r="AH446" i="21"/>
  <c r="AG446" i="21"/>
  <c r="AB446" i="21"/>
  <c r="AA446" i="21"/>
  <c r="AC446" i="21" s="1"/>
  <c r="V446" i="21"/>
  <c r="U446" i="21"/>
  <c r="Y446" i="21" s="1"/>
  <c r="R446" i="21"/>
  <c r="Q446" i="21"/>
  <c r="F446" i="21" s="1"/>
  <c r="P446" i="21"/>
  <c r="I446" i="21" s="1"/>
  <c r="G446" i="21"/>
  <c r="AH445" i="21"/>
  <c r="AG445" i="21"/>
  <c r="AB445" i="21"/>
  <c r="AA445" i="21"/>
  <c r="AE445" i="21" s="1"/>
  <c r="AC445" i="21" s="1"/>
  <c r="V445" i="21"/>
  <c r="U445" i="21"/>
  <c r="Y445" i="21" s="1"/>
  <c r="W445" i="21" s="1"/>
  <c r="R445" i="21"/>
  <c r="Q445" i="21"/>
  <c r="F445" i="21" s="1"/>
  <c r="P445" i="21"/>
  <c r="I445" i="21"/>
  <c r="I447" i="21" s="1"/>
  <c r="E445" i="21"/>
  <c r="D445" i="21"/>
  <c r="BR444" i="21"/>
  <c r="AZ444" i="21"/>
  <c r="AY444" i="21"/>
  <c r="AL444" i="21"/>
  <c r="AK444" i="21"/>
  <c r="AJ444" i="21"/>
  <c r="AI444" i="21"/>
  <c r="AH444" i="21"/>
  <c r="AF444" i="21"/>
  <c r="AE444" i="21"/>
  <c r="AD444" i="21"/>
  <c r="AC444" i="21"/>
  <c r="AB444" i="21"/>
  <c r="Z444" i="21"/>
  <c r="Y444" i="21"/>
  <c r="X444" i="21"/>
  <c r="W444" i="21"/>
  <c r="V444" i="21"/>
  <c r="E444" i="21"/>
  <c r="AX444" i="21" s="1"/>
  <c r="A444" i="21"/>
  <c r="B444" i="21" s="1"/>
  <c r="C442" i="21"/>
  <c r="C435" i="21" s="1"/>
  <c r="AH441" i="21"/>
  <c r="AG441" i="21"/>
  <c r="AK441" i="21" s="1"/>
  <c r="AB441" i="21"/>
  <c r="AA441" i="21"/>
  <c r="AE441" i="21" s="1"/>
  <c r="V441" i="21"/>
  <c r="U441" i="21"/>
  <c r="Y441" i="21" s="1"/>
  <c r="R441" i="21"/>
  <c r="Q441" i="21"/>
  <c r="F441" i="21" s="1"/>
  <c r="J441" i="21"/>
  <c r="P441" i="21" s="1"/>
  <c r="I441" i="21"/>
  <c r="G441" i="21"/>
  <c r="E441" i="21" s="1"/>
  <c r="D441" i="21"/>
  <c r="AH440" i="21"/>
  <c r="AG440" i="21"/>
  <c r="AK440" i="21" s="1"/>
  <c r="AB440" i="21"/>
  <c r="AA440" i="21"/>
  <c r="AE440" i="21" s="1"/>
  <c r="V440" i="21"/>
  <c r="U440" i="21"/>
  <c r="Y440" i="21" s="1"/>
  <c r="W440" i="21" s="1"/>
  <c r="R440" i="21"/>
  <c r="Q440" i="21"/>
  <c r="F440" i="21" s="1"/>
  <c r="J440" i="21"/>
  <c r="P440" i="21" s="1"/>
  <c r="I440" i="21" s="1"/>
  <c r="G440" i="21"/>
  <c r="AH439" i="21"/>
  <c r="AG439" i="21"/>
  <c r="AB439" i="21"/>
  <c r="AA439" i="21"/>
  <c r="AE439" i="21" s="1"/>
  <c r="V439" i="21"/>
  <c r="U439" i="21"/>
  <c r="R439" i="21"/>
  <c r="Q439" i="21"/>
  <c r="P439" i="21"/>
  <c r="I439" i="21" s="1"/>
  <c r="G439" i="21"/>
  <c r="E439" i="21"/>
  <c r="D439" i="21"/>
  <c r="AH438" i="21"/>
  <c r="AG438" i="21"/>
  <c r="AB438" i="21"/>
  <c r="AA438" i="21"/>
  <c r="AE438" i="21" s="1"/>
  <c r="V438" i="21"/>
  <c r="U438" i="21"/>
  <c r="Y438" i="21" s="1"/>
  <c r="W438" i="21" s="1"/>
  <c r="R438" i="21"/>
  <c r="Q438" i="21"/>
  <c r="P438" i="21"/>
  <c r="I438" i="21" s="1"/>
  <c r="G438" i="21"/>
  <c r="E438" i="21" s="1"/>
  <c r="AH437" i="21"/>
  <c r="AG437" i="21"/>
  <c r="AK437" i="21" s="1"/>
  <c r="AB437" i="21"/>
  <c r="AA437" i="21"/>
  <c r="AE437" i="21" s="1"/>
  <c r="V437" i="21"/>
  <c r="U437" i="21"/>
  <c r="Y437" i="21" s="1"/>
  <c r="R437" i="21"/>
  <c r="P437" i="21"/>
  <c r="I437" i="21" s="1"/>
  <c r="G437" i="21"/>
  <c r="D437" i="21" s="1"/>
  <c r="E437" i="21"/>
  <c r="AH436" i="21"/>
  <c r="AG436" i="21"/>
  <c r="AB436" i="21"/>
  <c r="AA436" i="21"/>
  <c r="AE436" i="21" s="1"/>
  <c r="V436" i="21"/>
  <c r="U436" i="21"/>
  <c r="Y436" i="21" s="1"/>
  <c r="R436" i="21"/>
  <c r="Q436" i="21"/>
  <c r="F436" i="21" s="1"/>
  <c r="P436" i="21"/>
  <c r="I436" i="21" s="1"/>
  <c r="E436" i="21"/>
  <c r="BR435" i="21"/>
  <c r="AZ435" i="21"/>
  <c r="AY435" i="21"/>
  <c r="AL435" i="21"/>
  <c r="AK435" i="21"/>
  <c r="AJ435" i="21"/>
  <c r="AI435" i="21"/>
  <c r="AH435" i="21"/>
  <c r="AF435" i="21"/>
  <c r="AE435" i="21"/>
  <c r="AD435" i="21"/>
  <c r="AC435" i="21"/>
  <c r="AB435" i="21"/>
  <c r="Z435" i="21"/>
  <c r="Y435" i="21"/>
  <c r="X435" i="21"/>
  <c r="W435" i="21"/>
  <c r="V435" i="21"/>
  <c r="E435" i="21"/>
  <c r="AX435" i="21" s="1"/>
  <c r="A435" i="21"/>
  <c r="B435" i="21" s="1"/>
  <c r="C433" i="21"/>
  <c r="C426" i="21" s="1"/>
  <c r="AH432" i="21"/>
  <c r="AG432" i="21"/>
  <c r="AB432" i="21"/>
  <c r="AA432" i="21"/>
  <c r="V432" i="21"/>
  <c r="U432" i="21"/>
  <c r="Y432" i="21" s="1"/>
  <c r="R432" i="21"/>
  <c r="Q432" i="21"/>
  <c r="G432" i="21"/>
  <c r="E432" i="21"/>
  <c r="D432" i="21"/>
  <c r="AH431" i="21"/>
  <c r="AG431" i="21"/>
  <c r="AK431" i="21" s="1"/>
  <c r="AB431" i="21"/>
  <c r="AA431" i="21"/>
  <c r="AC431" i="21" s="1"/>
  <c r="V431" i="21"/>
  <c r="U431" i="21"/>
  <c r="Y431" i="21" s="1"/>
  <c r="R431" i="21"/>
  <c r="Q431" i="21"/>
  <c r="F431" i="21" s="1"/>
  <c r="G431" i="21"/>
  <c r="E431" i="21" s="1"/>
  <c r="D431" i="21"/>
  <c r="AH430" i="21"/>
  <c r="AG430" i="21"/>
  <c r="AB430" i="21"/>
  <c r="AA430" i="21"/>
  <c r="AE430" i="21" s="1"/>
  <c r="V430" i="21"/>
  <c r="U430" i="21"/>
  <c r="Y430" i="21" s="1"/>
  <c r="R430" i="21"/>
  <c r="Q430" i="21"/>
  <c r="F430" i="21" s="1"/>
  <c r="J430" i="21"/>
  <c r="J432" i="21" s="1"/>
  <c r="P432" i="21" s="1"/>
  <c r="I432" i="21" s="1"/>
  <c r="G430" i="21"/>
  <c r="E430" i="21" s="1"/>
  <c r="D430" i="21"/>
  <c r="AH429" i="21"/>
  <c r="AG429" i="21"/>
  <c r="AI429" i="21" s="1"/>
  <c r="AB429" i="21"/>
  <c r="AA429" i="21"/>
  <c r="V429" i="21"/>
  <c r="U429" i="21"/>
  <c r="Y429" i="21" s="1"/>
  <c r="R429" i="21"/>
  <c r="Q429" i="21"/>
  <c r="F429" i="21" s="1"/>
  <c r="P429" i="21"/>
  <c r="I429" i="21" s="1"/>
  <c r="G429" i="21"/>
  <c r="D429" i="21" s="1"/>
  <c r="E429" i="21"/>
  <c r="AH428" i="21"/>
  <c r="AG428" i="21"/>
  <c r="AK428" i="21" s="1"/>
  <c r="AB428" i="21"/>
  <c r="AA428" i="21"/>
  <c r="AE428" i="21" s="1"/>
  <c r="V428" i="21"/>
  <c r="U428" i="21"/>
  <c r="R428" i="21"/>
  <c r="Q428" i="21"/>
  <c r="F428" i="21" s="1"/>
  <c r="P428" i="21"/>
  <c r="I428" i="21"/>
  <c r="E428" i="21"/>
  <c r="AH427" i="21"/>
  <c r="AG427" i="21"/>
  <c r="AK427" i="21" s="1"/>
  <c r="AE427" i="21"/>
  <c r="AC427" i="21" s="1"/>
  <c r="AB427" i="21"/>
  <c r="Y427" i="21"/>
  <c r="W427" i="21" s="1"/>
  <c r="V427" i="21"/>
  <c r="R427" i="21"/>
  <c r="P427" i="21"/>
  <c r="I427" i="21"/>
  <c r="E427" i="21"/>
  <c r="D427" i="21"/>
  <c r="BR426" i="21"/>
  <c r="AZ426" i="21"/>
  <c r="AY426" i="21"/>
  <c r="AL426" i="21"/>
  <c r="AK426" i="21"/>
  <c r="AJ426" i="21"/>
  <c r="AI426" i="21"/>
  <c r="AH426" i="21"/>
  <c r="AF426" i="21"/>
  <c r="AE426" i="21"/>
  <c r="AD426" i="21"/>
  <c r="AC426" i="21"/>
  <c r="AB426" i="21"/>
  <c r="Z426" i="21"/>
  <c r="Y426" i="21"/>
  <c r="X426" i="21"/>
  <c r="W426" i="21"/>
  <c r="V426" i="21"/>
  <c r="E426" i="21"/>
  <c r="AX426" i="21" s="1"/>
  <c r="A426" i="21"/>
  <c r="B426" i="21" s="1"/>
  <c r="C424" i="21"/>
  <c r="C417" i="21" s="1"/>
  <c r="AH423" i="21"/>
  <c r="AG423" i="21"/>
  <c r="AI423" i="21" s="1"/>
  <c r="AB423" i="21"/>
  <c r="AA423" i="21"/>
  <c r="AE423" i="21" s="1"/>
  <c r="V423" i="21"/>
  <c r="U423" i="21"/>
  <c r="Y423" i="21" s="1"/>
  <c r="R423" i="21"/>
  <c r="Q423" i="21"/>
  <c r="G423" i="21"/>
  <c r="E423" i="21" s="1"/>
  <c r="D423" i="21"/>
  <c r="AH422" i="21"/>
  <c r="AG422" i="21"/>
  <c r="AK422" i="21" s="1"/>
  <c r="AB422" i="21"/>
  <c r="AA422" i="21"/>
  <c r="AE422" i="21" s="1"/>
  <c r="V422" i="21"/>
  <c r="U422" i="21"/>
  <c r="W422" i="21" s="1"/>
  <c r="R422" i="21"/>
  <c r="Q422" i="21"/>
  <c r="F422" i="21" s="1"/>
  <c r="G422" i="21"/>
  <c r="E422" i="21" s="1"/>
  <c r="D422" i="21"/>
  <c r="AH421" i="21"/>
  <c r="AG421" i="21"/>
  <c r="AK421" i="21" s="1"/>
  <c r="AB421" i="21"/>
  <c r="AA421" i="21"/>
  <c r="AE421" i="21" s="1"/>
  <c r="V421" i="21"/>
  <c r="U421" i="21"/>
  <c r="Y421" i="21" s="1"/>
  <c r="R421" i="21"/>
  <c r="Q421" i="21"/>
  <c r="F421" i="21" s="1"/>
  <c r="J421" i="21"/>
  <c r="G421" i="21"/>
  <c r="E421" i="21" s="1"/>
  <c r="D421" i="21"/>
  <c r="AH420" i="21"/>
  <c r="AG420" i="21"/>
  <c r="AI420" i="21" s="1"/>
  <c r="AB420" i="21"/>
  <c r="AA420" i="21"/>
  <c r="AE420" i="21" s="1"/>
  <c r="V420" i="21"/>
  <c r="U420" i="21"/>
  <c r="Y420" i="21" s="1"/>
  <c r="R420" i="21"/>
  <c r="Q420" i="21"/>
  <c r="P420" i="21"/>
  <c r="I420" i="21"/>
  <c r="G420" i="21"/>
  <c r="AH419" i="21"/>
  <c r="AG419" i="21"/>
  <c r="AI419" i="21" s="1"/>
  <c r="AB419" i="21"/>
  <c r="AA419" i="21"/>
  <c r="AE419" i="21" s="1"/>
  <c r="V419" i="21"/>
  <c r="U419" i="21"/>
  <c r="Y419" i="21" s="1"/>
  <c r="R419" i="21"/>
  <c r="Q419" i="21"/>
  <c r="P419" i="21"/>
  <c r="I419" i="21" s="1"/>
  <c r="E419" i="21"/>
  <c r="AH418" i="21"/>
  <c r="AG418" i="21"/>
  <c r="AK418" i="21" s="1"/>
  <c r="AE418" i="21"/>
  <c r="AC418" i="21" s="1"/>
  <c r="AB418" i="21"/>
  <c r="Y418" i="21"/>
  <c r="W418" i="21" s="1"/>
  <c r="V418" i="21"/>
  <c r="R418" i="21"/>
  <c r="P418" i="21"/>
  <c r="I418" i="21"/>
  <c r="E418" i="21"/>
  <c r="D418" i="21"/>
  <c r="BR417" i="21"/>
  <c r="AZ417" i="21"/>
  <c r="AY417" i="21"/>
  <c r="AL417" i="21"/>
  <c r="AK417" i="21"/>
  <c r="AJ417" i="21"/>
  <c r="AI417" i="21"/>
  <c r="AH417" i="21"/>
  <c r="AF417" i="21"/>
  <c r="AE417" i="21"/>
  <c r="AD417" i="21"/>
  <c r="AC417" i="21"/>
  <c r="AB417" i="21"/>
  <c r="Z417" i="21"/>
  <c r="Y417" i="21"/>
  <c r="X417" i="21"/>
  <c r="W417" i="21"/>
  <c r="V417" i="21"/>
  <c r="E417" i="21"/>
  <c r="AX417" i="21" s="1"/>
  <c r="A417" i="21"/>
  <c r="B417" i="21" s="1"/>
  <c r="C415" i="21"/>
  <c r="C412" i="21" s="1"/>
  <c r="AH414" i="21"/>
  <c r="AG414" i="21"/>
  <c r="AI414" i="21" s="1"/>
  <c r="AB414" i="21"/>
  <c r="AA414" i="21"/>
  <c r="V414" i="21"/>
  <c r="U414" i="21"/>
  <c r="W414" i="21" s="1"/>
  <c r="R414" i="21"/>
  <c r="Q414" i="21"/>
  <c r="F414" i="21" s="1"/>
  <c r="P414" i="21"/>
  <c r="I414" i="21" s="1"/>
  <c r="G414" i="21"/>
  <c r="D414" i="21" s="1"/>
  <c r="AH413" i="21"/>
  <c r="AG413" i="21"/>
  <c r="AK413" i="21" s="1"/>
  <c r="AB413" i="21"/>
  <c r="AA413" i="21"/>
  <c r="AE413" i="21" s="1"/>
  <c r="V413" i="21"/>
  <c r="U413" i="21"/>
  <c r="R413" i="21"/>
  <c r="Q413" i="21"/>
  <c r="P413" i="21"/>
  <c r="I413" i="21"/>
  <c r="BR412" i="21"/>
  <c r="AZ412" i="21"/>
  <c r="AY412" i="21"/>
  <c r="AL412" i="21"/>
  <c r="AK412" i="21"/>
  <c r="AJ412" i="21"/>
  <c r="AI412" i="21"/>
  <c r="AH412" i="21"/>
  <c r="AF412" i="21"/>
  <c r="AE412" i="21"/>
  <c r="AD412" i="21"/>
  <c r="AC412" i="21"/>
  <c r="AB412" i="21"/>
  <c r="Z412" i="21"/>
  <c r="Y412" i="21"/>
  <c r="X412" i="21"/>
  <c r="W412" i="21"/>
  <c r="V412" i="21"/>
  <c r="E412" i="21"/>
  <c r="AX412" i="21" s="1"/>
  <c r="A412" i="21"/>
  <c r="B412" i="21" s="1"/>
  <c r="C409" i="21"/>
  <c r="C406" i="21" s="1"/>
  <c r="BR406" i="21"/>
  <c r="BA406" i="21"/>
  <c r="AZ406" i="21"/>
  <c r="BB406" i="21" s="1"/>
  <c r="AY406" i="21"/>
  <c r="AX406" i="21"/>
  <c r="H406" i="21"/>
  <c r="A406" i="21"/>
  <c r="B406" i="21" s="1"/>
  <c r="C404" i="21"/>
  <c r="C401" i="21" s="1"/>
  <c r="BR401" i="21"/>
  <c r="BA401" i="21"/>
  <c r="AZ401" i="21"/>
  <c r="AY401" i="21"/>
  <c r="AX401" i="21"/>
  <c r="H401" i="21"/>
  <c r="A401" i="21"/>
  <c r="B401" i="21" s="1"/>
  <c r="C399" i="21"/>
  <c r="C396" i="21" s="1"/>
  <c r="E398" i="21"/>
  <c r="E397" i="21"/>
  <c r="H397" i="21" s="1"/>
  <c r="H396" i="21" s="1"/>
  <c r="BR396" i="21"/>
  <c r="BA396" i="21"/>
  <c r="AZ396" i="21"/>
  <c r="AY396" i="21"/>
  <c r="AX396" i="21"/>
  <c r="G396" i="21"/>
  <c r="A396" i="21"/>
  <c r="B396" i="21" s="1"/>
  <c r="C394" i="21"/>
  <c r="C391" i="21" s="1"/>
  <c r="E393" i="21"/>
  <c r="C392" i="21" s="1"/>
  <c r="G391" i="21" s="1"/>
  <c r="BA391" i="21" s="1"/>
  <c r="E392" i="21"/>
  <c r="BR391" i="21"/>
  <c r="AZ391" i="21"/>
  <c r="AY391" i="21"/>
  <c r="AX391" i="21"/>
  <c r="A391" i="21"/>
  <c r="B391" i="21" s="1"/>
  <c r="AH389" i="21"/>
  <c r="AG389" i="21"/>
  <c r="AE389" i="21"/>
  <c r="AC389" i="21"/>
  <c r="AA389" i="21"/>
  <c r="AM387" i="21" s="1"/>
  <c r="AO387" i="21" s="1"/>
  <c r="E389" i="21"/>
  <c r="D389" i="21"/>
  <c r="E387" i="21" s="1"/>
  <c r="AC387" i="21" s="1"/>
  <c r="C389" i="21"/>
  <c r="C386" i="21" s="1"/>
  <c r="E388" i="21"/>
  <c r="AB389" i="21" s="1"/>
  <c r="AE387" i="21"/>
  <c r="AA387" i="21"/>
  <c r="AJ387" i="21" s="1"/>
  <c r="BR386" i="21"/>
  <c r="AZ386" i="21"/>
  <c r="AY386" i="21"/>
  <c r="E386" i="21"/>
  <c r="AX386" i="21" s="1"/>
  <c r="A386" i="21"/>
  <c r="B386" i="21" s="1"/>
  <c r="C384" i="21"/>
  <c r="C381" i="21" s="1"/>
  <c r="D383" i="21"/>
  <c r="D382" i="21"/>
  <c r="E381" i="21" s="1"/>
  <c r="AX381" i="21" s="1"/>
  <c r="BR381" i="21"/>
  <c r="AZ381" i="21"/>
  <c r="AY381" i="21"/>
  <c r="A381" i="21"/>
  <c r="B381" i="21" s="1"/>
  <c r="C379" i="21"/>
  <c r="C376" i="21" s="1"/>
  <c r="C378" i="21"/>
  <c r="E378" i="21" s="1"/>
  <c r="D377" i="21"/>
  <c r="BR376" i="21"/>
  <c r="AZ376" i="21"/>
  <c r="AY376" i="21"/>
  <c r="AX376" i="21"/>
  <c r="A376" i="21"/>
  <c r="B376" i="21" s="1"/>
  <c r="C374" i="21"/>
  <c r="C371" i="21" s="1"/>
  <c r="E373" i="21"/>
  <c r="H372" i="21" s="1"/>
  <c r="BR371" i="21"/>
  <c r="AZ371" i="21"/>
  <c r="AY371" i="21"/>
  <c r="AX371" i="21"/>
  <c r="H371" i="21"/>
  <c r="G371" i="21"/>
  <c r="BA371" i="21" s="1"/>
  <c r="A371" i="21"/>
  <c r="B371" i="21" s="1"/>
  <c r="C369" i="21"/>
  <c r="C366" i="21" s="1"/>
  <c r="E367" i="21"/>
  <c r="D367" i="21"/>
  <c r="C367" i="21"/>
  <c r="BR366" i="21"/>
  <c r="AZ366" i="21"/>
  <c r="AY366" i="21"/>
  <c r="AX366" i="21"/>
  <c r="A366" i="21"/>
  <c r="B366" i="21" s="1"/>
  <c r="AE364" i="21"/>
  <c r="AA364" i="21"/>
  <c r="AG364" i="21" s="1"/>
  <c r="R362" i="21" s="1"/>
  <c r="T362" i="21" s="1"/>
  <c r="C364" i="21"/>
  <c r="C359" i="21" s="1"/>
  <c r="F363" i="21"/>
  <c r="D363" i="21"/>
  <c r="AE361" i="21"/>
  <c r="AA361" i="21"/>
  <c r="AN361" i="21" s="1"/>
  <c r="E360" i="21"/>
  <c r="AC361" i="21" s="1"/>
  <c r="BR359" i="21"/>
  <c r="AZ359" i="21"/>
  <c r="AY359" i="21"/>
  <c r="E359" i="21"/>
  <c r="AX359" i="21" s="1"/>
  <c r="A359" i="21"/>
  <c r="B359" i="21" s="1"/>
  <c r="C357" i="21"/>
  <c r="C353" i="21" s="1"/>
  <c r="J356" i="21"/>
  <c r="D355" i="21"/>
  <c r="J355" i="21" s="1"/>
  <c r="H355" i="21" s="1"/>
  <c r="D354" i="21"/>
  <c r="BR353" i="21"/>
  <c r="AZ353" i="21"/>
  <c r="AY353" i="21"/>
  <c r="AX353" i="21"/>
  <c r="A353" i="21"/>
  <c r="B353" i="21" s="1"/>
  <c r="C351" i="21"/>
  <c r="C347" i="21" s="1"/>
  <c r="J350" i="21"/>
  <c r="D349" i="21"/>
  <c r="J349" i="21" s="1"/>
  <c r="B349" i="21"/>
  <c r="D348" i="21"/>
  <c r="J348" i="21" s="1"/>
  <c r="BR347" i="21"/>
  <c r="AZ347" i="21"/>
  <c r="AY347" i="21"/>
  <c r="AX347" i="21"/>
  <c r="A347" i="21"/>
  <c r="B347" i="21" s="1"/>
  <c r="C345" i="21"/>
  <c r="C342" i="21" s="1"/>
  <c r="C344" i="21"/>
  <c r="E343" i="21" s="1"/>
  <c r="BR342" i="21"/>
  <c r="AY342" i="21"/>
  <c r="AX342" i="21"/>
  <c r="G342" i="21"/>
  <c r="BA342" i="21" s="1"/>
  <c r="F342" i="21"/>
  <c r="AZ342" i="21" s="1"/>
  <c r="A342" i="21"/>
  <c r="B342" i="21" s="1"/>
  <c r="C340" i="21"/>
  <c r="C337" i="21" s="1"/>
  <c r="C339" i="21"/>
  <c r="BR337" i="21"/>
  <c r="AZ337" i="21"/>
  <c r="AY337" i="21"/>
  <c r="AX337" i="21"/>
  <c r="A337" i="21"/>
  <c r="B337" i="21" s="1"/>
  <c r="C334" i="21"/>
  <c r="C331" i="21" s="1"/>
  <c r="H332" i="21"/>
  <c r="H331" i="21" s="1"/>
  <c r="BR331" i="21"/>
  <c r="AZ331" i="21"/>
  <c r="AY331" i="21"/>
  <c r="AX331" i="21"/>
  <c r="G331" i="21"/>
  <c r="BA331" i="21" s="1"/>
  <c r="A331" i="21"/>
  <c r="B331" i="21" s="1"/>
  <c r="C329" i="21"/>
  <c r="C326" i="21" s="1"/>
  <c r="H328" i="21"/>
  <c r="H327" i="21"/>
  <c r="BR326" i="21"/>
  <c r="AZ326" i="21"/>
  <c r="AX326" i="21"/>
  <c r="G326" i="21"/>
  <c r="BA326" i="21" s="1"/>
  <c r="BB326" i="21" s="1"/>
  <c r="D326" i="21"/>
  <c r="AY326" i="21" s="1"/>
  <c r="A326" i="21"/>
  <c r="B326" i="21" s="1"/>
  <c r="C324" i="21"/>
  <c r="C321" i="21" s="1"/>
  <c r="F322" i="21"/>
  <c r="E322" i="21"/>
  <c r="D322" i="21"/>
  <c r="BR321" i="21"/>
  <c r="AZ321" i="21"/>
  <c r="AY321" i="21"/>
  <c r="AX321" i="21"/>
  <c r="G321" i="21"/>
  <c r="BA321" i="21" s="1"/>
  <c r="A321" i="21"/>
  <c r="B321" i="21" s="1"/>
  <c r="C319" i="21"/>
  <c r="C316" i="21" s="1"/>
  <c r="F317" i="21"/>
  <c r="D317" i="21"/>
  <c r="C317" i="21"/>
  <c r="E317" i="21" s="1"/>
  <c r="BR316" i="21"/>
  <c r="AZ316" i="21"/>
  <c r="AY316" i="21"/>
  <c r="AX316" i="21"/>
  <c r="A316" i="21"/>
  <c r="B316" i="21" s="1"/>
  <c r="C314" i="21"/>
  <c r="C311" i="21" s="1"/>
  <c r="E312" i="21"/>
  <c r="D312" i="21"/>
  <c r="BR311" i="21"/>
  <c r="AZ311" i="21"/>
  <c r="AY311" i="21"/>
  <c r="AX311" i="21"/>
  <c r="G311" i="21"/>
  <c r="BA311" i="21" s="1"/>
  <c r="A311" i="21"/>
  <c r="B311" i="21" s="1"/>
  <c r="C309" i="21"/>
  <c r="C306" i="21" s="1"/>
  <c r="E307" i="21"/>
  <c r="D307" i="21"/>
  <c r="BR306" i="21"/>
  <c r="AZ306" i="21"/>
  <c r="AY306" i="21"/>
  <c r="AX306" i="21"/>
  <c r="G306" i="21"/>
  <c r="BA306" i="21" s="1"/>
  <c r="A306" i="21"/>
  <c r="B306" i="21" s="1"/>
  <c r="C304" i="21"/>
  <c r="C300" i="21" s="1"/>
  <c r="D301" i="21"/>
  <c r="H300" i="21" s="1"/>
  <c r="BR300" i="21"/>
  <c r="BA300" i="21"/>
  <c r="AZ300" i="21"/>
  <c r="AY300" i="21"/>
  <c r="AX300" i="21"/>
  <c r="A300" i="21"/>
  <c r="B300" i="21" s="1"/>
  <c r="F296" i="21"/>
  <c r="E296" i="21"/>
  <c r="C296" i="21"/>
  <c r="BR295" i="21"/>
  <c r="AZ295" i="21"/>
  <c r="AY295" i="21"/>
  <c r="AX295" i="21"/>
  <c r="A295" i="21"/>
  <c r="B295" i="21" s="1"/>
  <c r="E292" i="21"/>
  <c r="C292" i="21"/>
  <c r="F291" i="21"/>
  <c r="E291" i="21"/>
  <c r="C291" i="21"/>
  <c r="BR290" i="21"/>
  <c r="AZ290" i="21"/>
  <c r="AY290" i="21"/>
  <c r="AX290" i="21"/>
  <c r="A290" i="21"/>
  <c r="B290" i="21" s="1"/>
  <c r="C288" i="21"/>
  <c r="C283" i="21" s="1"/>
  <c r="AQ287" i="21"/>
  <c r="AE287" i="21"/>
  <c r="AF287" i="21" s="1"/>
  <c r="V287" i="21" s="1"/>
  <c r="AC287" i="21"/>
  <c r="AA287" i="21"/>
  <c r="AN285" i="21" s="1"/>
  <c r="U287" i="21"/>
  <c r="R287" i="21"/>
  <c r="T287" i="21" s="1"/>
  <c r="F287" i="21"/>
  <c r="E287" i="21"/>
  <c r="AQ286" i="21"/>
  <c r="AO286" i="21"/>
  <c r="C286" i="21"/>
  <c r="L283" i="21" s="1"/>
  <c r="AQ285" i="21"/>
  <c r="AO285" i="21"/>
  <c r="J285" i="21"/>
  <c r="AD287" i="21" s="1"/>
  <c r="E285" i="21"/>
  <c r="Y287" i="21" s="1"/>
  <c r="AQ284" i="21"/>
  <c r="AO284" i="21"/>
  <c r="AF284" i="21"/>
  <c r="AE284" i="21"/>
  <c r="AD284" i="21"/>
  <c r="AC284" i="21"/>
  <c r="AA284" i="21"/>
  <c r="AB287" i="21" s="1"/>
  <c r="BR283" i="21"/>
  <c r="BQ283" i="21"/>
  <c r="AZ283" i="21"/>
  <c r="BN283" i="21" s="1"/>
  <c r="AY283" i="21"/>
  <c r="AX283" i="21"/>
  <c r="D283" i="21"/>
  <c r="A283" i="21"/>
  <c r="B283" i="21" s="1"/>
  <c r="C280" i="21"/>
  <c r="C277" i="21" s="1"/>
  <c r="C279" i="21"/>
  <c r="D278" i="21"/>
  <c r="BR277" i="21"/>
  <c r="AZ277" i="21"/>
  <c r="AY277" i="21"/>
  <c r="E277" i="21"/>
  <c r="AX277" i="21" s="1"/>
  <c r="A277" i="21"/>
  <c r="B277" i="21" s="1"/>
  <c r="C275" i="21"/>
  <c r="C272" i="21" s="1"/>
  <c r="E274" i="21"/>
  <c r="E273" i="21"/>
  <c r="D273" i="21"/>
  <c r="C273" i="21"/>
  <c r="G272" i="21" s="1"/>
  <c r="BR272" i="21"/>
  <c r="BA272" i="21"/>
  <c r="AZ272" i="21"/>
  <c r="AY272" i="21"/>
  <c r="AX272" i="21"/>
  <c r="A272" i="21"/>
  <c r="B272" i="21" s="1"/>
  <c r="C270" i="21"/>
  <c r="C267" i="21" s="1"/>
  <c r="E269" i="21"/>
  <c r="E268" i="21"/>
  <c r="C268" i="21"/>
  <c r="BR267" i="21"/>
  <c r="AZ267" i="21"/>
  <c r="AY267" i="21"/>
  <c r="AX267" i="21"/>
  <c r="A267" i="21"/>
  <c r="B267" i="21" s="1"/>
  <c r="C265" i="21"/>
  <c r="C262" i="21" s="1"/>
  <c r="E263" i="21"/>
  <c r="D263" i="21"/>
  <c r="C263" i="21"/>
  <c r="BR262" i="21"/>
  <c r="AZ262" i="21"/>
  <c r="AY262" i="21"/>
  <c r="AX262" i="21"/>
  <c r="A262" i="21"/>
  <c r="B262" i="21" s="1"/>
  <c r="C260" i="21"/>
  <c r="C257" i="21" s="1"/>
  <c r="E258" i="21"/>
  <c r="D258" i="21"/>
  <c r="C258" i="21"/>
  <c r="BR257" i="21"/>
  <c r="AZ257" i="21"/>
  <c r="AY257" i="21"/>
  <c r="AX257" i="21"/>
  <c r="A257" i="21"/>
  <c r="B257" i="21" s="1"/>
  <c r="C255" i="21"/>
  <c r="C252" i="21" s="1"/>
  <c r="E253" i="21"/>
  <c r="D253" i="21"/>
  <c r="C253" i="21"/>
  <c r="BR252" i="21"/>
  <c r="AZ252" i="21"/>
  <c r="AY252" i="21"/>
  <c r="AX252" i="21"/>
  <c r="A252" i="21"/>
  <c r="B252" i="21" s="1"/>
  <c r="C250" i="21"/>
  <c r="C247" i="21" s="1"/>
  <c r="I249" i="21"/>
  <c r="C248" i="21"/>
  <c r="BR247" i="21"/>
  <c r="AZ247" i="21"/>
  <c r="AY247" i="21"/>
  <c r="AX247" i="21"/>
  <c r="A247" i="21"/>
  <c r="B247" i="21" s="1"/>
  <c r="C245" i="21"/>
  <c r="C242" i="21" s="1"/>
  <c r="I244" i="21"/>
  <c r="C243" i="21"/>
  <c r="G242" i="21" s="1"/>
  <c r="BA242" i="21" s="1"/>
  <c r="BR242" i="21"/>
  <c r="AZ242" i="21"/>
  <c r="AY242" i="21"/>
  <c r="AX242" i="21"/>
  <c r="A242" i="21"/>
  <c r="B242" i="21" s="1"/>
  <c r="AE240" i="21"/>
  <c r="AA240" i="21"/>
  <c r="C240" i="21"/>
  <c r="C235" i="21" s="1"/>
  <c r="H239" i="21"/>
  <c r="AE237" i="21"/>
  <c r="E236" i="21"/>
  <c r="D236" i="21"/>
  <c r="AA237" i="21" s="1"/>
  <c r="BE235" i="21" s="1"/>
  <c r="BR235" i="21"/>
  <c r="BC235" i="21"/>
  <c r="AZ235" i="21"/>
  <c r="A235" i="21"/>
  <c r="B235" i="21" s="1"/>
  <c r="AE233" i="21"/>
  <c r="AA233" i="21"/>
  <c r="AG233" i="21" s="1"/>
  <c r="R231" i="21" s="1"/>
  <c r="T231" i="21" s="1"/>
  <c r="C233" i="21"/>
  <c r="C228" i="21" s="1"/>
  <c r="J232" i="21"/>
  <c r="D232" i="21"/>
  <c r="J233" i="21" s="1"/>
  <c r="Y231" i="21"/>
  <c r="Z231" i="21" s="1"/>
  <c r="AE230" i="21"/>
  <c r="AC230" i="21"/>
  <c r="AA230" i="21"/>
  <c r="BR228" i="21"/>
  <c r="BC228" i="21"/>
  <c r="AZ228" i="21"/>
  <c r="AX228" i="21"/>
  <c r="E228" i="21"/>
  <c r="D228" i="21"/>
  <c r="AY228" i="21" s="1"/>
  <c r="A228" i="21"/>
  <c r="B228" i="21" s="1"/>
  <c r="AE225" i="21"/>
  <c r="AC225" i="21"/>
  <c r="AA225" i="21"/>
  <c r="E225" i="21"/>
  <c r="D225" i="21"/>
  <c r="E223" i="21" s="1"/>
  <c r="AC223" i="21" s="1"/>
  <c r="C225" i="21"/>
  <c r="C222" i="21" s="1"/>
  <c r="E224" i="21"/>
  <c r="AB225" i="21" s="1"/>
  <c r="AE223" i="21"/>
  <c r="AA223" i="21"/>
  <c r="BR222" i="21"/>
  <c r="AY222" i="21"/>
  <c r="F222" i="21"/>
  <c r="AZ222" i="21" s="1"/>
  <c r="E222" i="21"/>
  <c r="AX222" i="21" s="1"/>
  <c r="A222" i="21"/>
  <c r="B222" i="21" s="1"/>
  <c r="AA220" i="21"/>
  <c r="AH220" i="21" s="1"/>
  <c r="C220" i="21"/>
  <c r="I219" i="21"/>
  <c r="D219" i="21"/>
  <c r="F219" i="21" s="1"/>
  <c r="AN218" i="21"/>
  <c r="AK218" i="21"/>
  <c r="AJ218" i="21"/>
  <c r="AI218" i="21"/>
  <c r="AE218" i="21"/>
  <c r="AC218" i="21"/>
  <c r="AA218" i="21"/>
  <c r="G218" i="21"/>
  <c r="AE220" i="21" s="1"/>
  <c r="J217" i="21"/>
  <c r="BR216" i="21"/>
  <c r="BQ216" i="21"/>
  <c r="BC216" i="21"/>
  <c r="AZ216" i="21"/>
  <c r="AX216" i="21"/>
  <c r="E216" i="21"/>
  <c r="D216" i="21"/>
  <c r="C216" i="21"/>
  <c r="A216" i="21"/>
  <c r="B216" i="21" s="1"/>
  <c r="AE214" i="21"/>
  <c r="AA214" i="21"/>
  <c r="AH214" i="21" s="1"/>
  <c r="C214" i="21"/>
  <c r="C210" i="21" s="1"/>
  <c r="AE212" i="21"/>
  <c r="AC212" i="21"/>
  <c r="AA212" i="21"/>
  <c r="BE210" i="21" s="1"/>
  <c r="G212" i="21"/>
  <c r="BR210" i="21"/>
  <c r="BC210" i="21"/>
  <c r="AZ210" i="21"/>
  <c r="AY210" i="21"/>
  <c r="AX210" i="21"/>
  <c r="A210" i="21"/>
  <c r="B210" i="21" s="1"/>
  <c r="C208" i="21"/>
  <c r="C205" i="21" s="1"/>
  <c r="J207" i="21"/>
  <c r="I207" i="21"/>
  <c r="J206" i="21"/>
  <c r="I206" i="21"/>
  <c r="BR205" i="21"/>
  <c r="AZ205" i="21"/>
  <c r="AY205" i="21"/>
  <c r="AX205" i="21"/>
  <c r="G205" i="21"/>
  <c r="BA205" i="21" s="1"/>
  <c r="A205" i="21"/>
  <c r="B205" i="21" s="1"/>
  <c r="C203" i="21"/>
  <c r="C200" i="21" s="1"/>
  <c r="I202" i="21"/>
  <c r="J201" i="21"/>
  <c r="C201" i="21"/>
  <c r="J202" i="21" s="1"/>
  <c r="BR200" i="21"/>
  <c r="AZ200" i="21"/>
  <c r="AY200" i="21"/>
  <c r="AX200" i="21"/>
  <c r="A200" i="21"/>
  <c r="B200" i="21" s="1"/>
  <c r="C198" i="21"/>
  <c r="C195" i="21" s="1"/>
  <c r="AE197" i="21"/>
  <c r="AA197" i="21"/>
  <c r="Y197" i="21" s="1"/>
  <c r="BO195" i="21" s="1"/>
  <c r="BR195" i="21"/>
  <c r="BQ195" i="21"/>
  <c r="AZ195" i="21"/>
  <c r="BN195" i="21" s="1"/>
  <c r="AY195" i="21"/>
  <c r="AX195" i="21"/>
  <c r="A195" i="21"/>
  <c r="B195" i="21" s="1"/>
  <c r="AQ193" i="21"/>
  <c r="AO193" i="21"/>
  <c r="AE193" i="21"/>
  <c r="AF193" i="21" s="1"/>
  <c r="AC193" i="21"/>
  <c r="AA193" i="21"/>
  <c r="AN191" i="21" s="1"/>
  <c r="R193" i="21"/>
  <c r="C193" i="21"/>
  <c r="D191" i="21" s="1"/>
  <c r="AQ192" i="21"/>
  <c r="AO192" i="21"/>
  <c r="AQ191" i="21"/>
  <c r="AO191" i="21"/>
  <c r="AB191" i="21"/>
  <c r="AE190" i="21"/>
  <c r="AD190" i="21"/>
  <c r="AB190" i="21"/>
  <c r="AA190" i="21"/>
  <c r="H190" i="21"/>
  <c r="Z189" i="21"/>
  <c r="J189" i="21"/>
  <c r="AD193" i="21" s="1"/>
  <c r="AE188" i="21"/>
  <c r="AD188" i="21"/>
  <c r="AC188" i="21"/>
  <c r="AA188" i="21"/>
  <c r="H188" i="21"/>
  <c r="BR187" i="21"/>
  <c r="BQ187" i="21"/>
  <c r="BO187" i="21"/>
  <c r="BD187" i="21"/>
  <c r="BC187" i="21"/>
  <c r="BA187" i="21"/>
  <c r="AZ187" i="21"/>
  <c r="BN187" i="21" s="1"/>
  <c r="AY187" i="21"/>
  <c r="AX187" i="21"/>
  <c r="E187" i="21"/>
  <c r="A187" i="21"/>
  <c r="B187" i="21" s="1"/>
  <c r="AQ185" i="21"/>
  <c r="AO185" i="21"/>
  <c r="AE185" i="21"/>
  <c r="AF185" i="21" s="1"/>
  <c r="AC185" i="21"/>
  <c r="AA185" i="21"/>
  <c r="C185" i="21"/>
  <c r="D183" i="21" s="1"/>
  <c r="C179" i="21" s="1"/>
  <c r="AQ184" i="21"/>
  <c r="AO184" i="21"/>
  <c r="AQ183" i="21"/>
  <c r="AO183" i="21"/>
  <c r="AB183" i="21"/>
  <c r="AE182" i="21"/>
  <c r="AD182" i="21"/>
  <c r="AB182" i="21"/>
  <c r="AA182" i="21"/>
  <c r="H182" i="21"/>
  <c r="Z181" i="21"/>
  <c r="J181" i="21"/>
  <c r="AD185" i="21" s="1"/>
  <c r="AE180" i="21"/>
  <c r="AD180" i="21"/>
  <c r="AC180" i="21"/>
  <c r="AA180" i="21"/>
  <c r="AB185" i="21" s="1"/>
  <c r="H180" i="21"/>
  <c r="BR179" i="21"/>
  <c r="BQ179" i="21"/>
  <c r="BO179" i="21"/>
  <c r="BD179" i="21"/>
  <c r="BC179" i="21"/>
  <c r="BA179" i="21"/>
  <c r="AZ179" i="21"/>
  <c r="BN179" i="21" s="1"/>
  <c r="AY179" i="21"/>
  <c r="AX179" i="21"/>
  <c r="E179" i="21"/>
  <c r="A179" i="21"/>
  <c r="B179" i="21" s="1"/>
  <c r="C177" i="21"/>
  <c r="C174" i="21" s="1"/>
  <c r="J176" i="21"/>
  <c r="I175" i="21"/>
  <c r="BR174" i="21"/>
  <c r="BA174" i="21"/>
  <c r="AZ174" i="21"/>
  <c r="BB174" i="21" s="1"/>
  <c r="AY174" i="21"/>
  <c r="AX174" i="21"/>
  <c r="A174" i="21"/>
  <c r="B174" i="21" s="1"/>
  <c r="C172" i="21"/>
  <c r="C169" i="21" s="1"/>
  <c r="BR169" i="21"/>
  <c r="BA169" i="21"/>
  <c r="AZ169" i="21"/>
  <c r="AY169" i="21"/>
  <c r="AX169" i="21"/>
  <c r="G169" i="21"/>
  <c r="A169" i="21"/>
  <c r="B169" i="21" s="1"/>
  <c r="C167" i="21"/>
  <c r="C164" i="21" s="1"/>
  <c r="H165" i="21"/>
  <c r="BR164" i="21"/>
  <c r="BA164" i="21"/>
  <c r="AZ164" i="21"/>
  <c r="AY164" i="21"/>
  <c r="AX164" i="21"/>
  <c r="H164" i="21"/>
  <c r="A164" i="21"/>
  <c r="B164" i="21" s="1"/>
  <c r="C162" i="21"/>
  <c r="C159" i="21" s="1"/>
  <c r="J161" i="21"/>
  <c r="H160" i="21"/>
  <c r="H159" i="21" s="1"/>
  <c r="BR159" i="21"/>
  <c r="BA159" i="21"/>
  <c r="AZ159" i="21"/>
  <c r="AY159" i="21"/>
  <c r="AX159" i="21"/>
  <c r="A159" i="21"/>
  <c r="B159" i="21" s="1"/>
  <c r="C157" i="21"/>
  <c r="C151" i="21" s="1"/>
  <c r="I156" i="21"/>
  <c r="G156" i="21"/>
  <c r="E156" i="21"/>
  <c r="J155" i="21"/>
  <c r="D155" i="21"/>
  <c r="C155" i="21"/>
  <c r="B155" i="21"/>
  <c r="J154" i="21"/>
  <c r="I154" i="21"/>
  <c r="E155" i="21" s="1"/>
  <c r="F155" i="21" s="1"/>
  <c r="E153" i="21" s="1"/>
  <c r="J152" i="21"/>
  <c r="BR151" i="21"/>
  <c r="BC151" i="21"/>
  <c r="BA151" i="21"/>
  <c r="AZ151" i="21"/>
  <c r="D151" i="21"/>
  <c r="AY151" i="21" s="1"/>
  <c r="A151" i="21"/>
  <c r="B151" i="21" s="1"/>
  <c r="AD149" i="21"/>
  <c r="AB149" i="21"/>
  <c r="AA149" i="21"/>
  <c r="C149" i="21"/>
  <c r="C146" i="21" s="1"/>
  <c r="G148" i="21"/>
  <c r="AC149" i="21" s="1"/>
  <c r="AH147" i="21"/>
  <c r="AE147" i="21"/>
  <c r="AD147" i="21"/>
  <c r="AC147" i="21"/>
  <c r="AA147" i="21"/>
  <c r="AH149" i="21" s="1"/>
  <c r="BR146" i="21"/>
  <c r="BC146" i="21"/>
  <c r="AZ146" i="21"/>
  <c r="D146" i="21"/>
  <c r="AY146" i="21" s="1"/>
  <c r="A146" i="21"/>
  <c r="B146" i="21" s="1"/>
  <c r="C144" i="21"/>
  <c r="C141" i="21" s="1"/>
  <c r="I143" i="21"/>
  <c r="E143" i="21"/>
  <c r="D143" i="21"/>
  <c r="I142" i="21"/>
  <c r="BR141" i="21"/>
  <c r="AZ141" i="21"/>
  <c r="AX141" i="21"/>
  <c r="D141" i="21"/>
  <c r="AY141" i="21" s="1"/>
  <c r="A141" i="21"/>
  <c r="B141" i="21" s="1"/>
  <c r="C139" i="21"/>
  <c r="C136" i="21" s="1"/>
  <c r="I138" i="21"/>
  <c r="D137" i="21"/>
  <c r="J139" i="21" s="1"/>
  <c r="BR136" i="21"/>
  <c r="AZ136" i="21"/>
  <c r="AY136" i="21"/>
  <c r="E136" i="21"/>
  <c r="AX136" i="21" s="1"/>
  <c r="A136" i="21"/>
  <c r="B136" i="21" s="1"/>
  <c r="C134" i="21"/>
  <c r="C131" i="21" s="1"/>
  <c r="I133" i="21"/>
  <c r="C133" i="21"/>
  <c r="BR131" i="21"/>
  <c r="AZ131" i="21"/>
  <c r="AY131" i="21"/>
  <c r="A131" i="21"/>
  <c r="B131" i="21" s="1"/>
  <c r="AA129" i="21"/>
  <c r="Y128" i="21" s="1"/>
  <c r="Z128" i="21" s="1"/>
  <c r="C129" i="21"/>
  <c r="I128" i="21"/>
  <c r="F128" i="21"/>
  <c r="AE127" i="21"/>
  <c r="AC127" i="21"/>
  <c r="AA127" i="21"/>
  <c r="BE125" i="21" s="1"/>
  <c r="G127" i="21"/>
  <c r="AE129" i="21" s="1"/>
  <c r="BR125" i="21"/>
  <c r="BC125" i="21"/>
  <c r="AZ125" i="21"/>
  <c r="AX125" i="21"/>
  <c r="L125" i="21" a="1"/>
  <c r="L125" i="21" s="1"/>
  <c r="E125" i="21"/>
  <c r="D125" i="21"/>
  <c r="AY125" i="21" s="1"/>
  <c r="C125" i="21"/>
  <c r="A125" i="21"/>
  <c r="B125" i="21" s="1"/>
  <c r="AA123" i="21"/>
  <c r="AH123" i="21" s="1"/>
  <c r="C123" i="21"/>
  <c r="I122" i="21"/>
  <c r="D122" i="21"/>
  <c r="AE121" i="21"/>
  <c r="AC121" i="21"/>
  <c r="AA121" i="21"/>
  <c r="AK121" i="21" s="1"/>
  <c r="G121" i="21"/>
  <c r="AE123" i="21" s="1"/>
  <c r="J120" i="21"/>
  <c r="BR119" i="21"/>
  <c r="BQ119" i="21"/>
  <c r="BE119" i="21"/>
  <c r="BC119" i="21"/>
  <c r="AZ119" i="21"/>
  <c r="AX119" i="21"/>
  <c r="D119" i="21"/>
  <c r="C119" i="21"/>
  <c r="A119" i="21"/>
  <c r="B119" i="21" s="1"/>
  <c r="AA117" i="21"/>
  <c r="AM115" i="21" s="1"/>
  <c r="AO115" i="21" s="1"/>
  <c r="C117" i="21"/>
  <c r="Y116" i="21"/>
  <c r="Z116" i="21" s="1"/>
  <c r="I116" i="21"/>
  <c r="D116" i="21"/>
  <c r="F116" i="21" s="1"/>
  <c r="AN115" i="21"/>
  <c r="AE115" i="21"/>
  <c r="AC115" i="21"/>
  <c r="AA115" i="21"/>
  <c r="G115" i="21"/>
  <c r="AE117" i="21" s="1"/>
  <c r="AF117" i="21" s="1"/>
  <c r="BR113" i="21"/>
  <c r="BC113" i="21"/>
  <c r="AZ113" i="21"/>
  <c r="AX113" i="21"/>
  <c r="L113" i="21" a="1"/>
  <c r="L113" i="21" s="1"/>
  <c r="E113" i="21"/>
  <c r="D113" i="21"/>
  <c r="C113" i="21"/>
  <c r="A113" i="21"/>
  <c r="B113" i="21" s="1"/>
  <c r="AA111" i="21"/>
  <c r="AH111" i="21" s="1"/>
  <c r="C111" i="21"/>
  <c r="C107" i="21" s="1"/>
  <c r="I110" i="21"/>
  <c r="F110" i="21"/>
  <c r="AE109" i="21"/>
  <c r="AC109" i="21"/>
  <c r="AA109" i="21"/>
  <c r="G109" i="21"/>
  <c r="AE111" i="21" s="1"/>
  <c r="AF111" i="21" s="1"/>
  <c r="BR107" i="21"/>
  <c r="BC107" i="21"/>
  <c r="AZ107" i="21"/>
  <c r="AX107" i="21"/>
  <c r="L107" i="21" a="1"/>
  <c r="L107" i="21" s="1"/>
  <c r="E107" i="21"/>
  <c r="D107" i="21"/>
  <c r="AY107" i="21" s="1"/>
  <c r="A107" i="21"/>
  <c r="B107" i="21" s="1"/>
  <c r="AA105" i="21"/>
  <c r="AG105" i="21" s="1"/>
  <c r="R104" i="21" s="1"/>
  <c r="T104" i="21" s="1"/>
  <c r="C105" i="21"/>
  <c r="C101" i="21" s="1"/>
  <c r="I104" i="21"/>
  <c r="D104" i="21"/>
  <c r="AK103" i="21"/>
  <c r="AI103" i="21"/>
  <c r="AE103" i="21"/>
  <c r="AF103" i="21" s="1"/>
  <c r="AC103" i="21"/>
  <c r="AA103" i="21"/>
  <c r="AJ103" i="21" s="1"/>
  <c r="G103" i="21"/>
  <c r="AE105" i="21" s="1"/>
  <c r="BR101" i="21"/>
  <c r="BC101" i="21"/>
  <c r="AZ101" i="21"/>
  <c r="AX101" i="21"/>
  <c r="L101" i="21" a="1"/>
  <c r="L101" i="21" s="1"/>
  <c r="E101" i="21"/>
  <c r="D101" i="21"/>
  <c r="AY101" i="21" s="1"/>
  <c r="A101" i="21"/>
  <c r="B101" i="21" s="1"/>
  <c r="AA99" i="21"/>
  <c r="C99" i="21"/>
  <c r="C95" i="21" s="1"/>
  <c r="I98" i="21"/>
  <c r="D98" i="21"/>
  <c r="F98" i="21" s="1"/>
  <c r="AE97" i="21"/>
  <c r="AC97" i="21"/>
  <c r="AA97" i="21"/>
  <c r="AI97" i="21" s="1"/>
  <c r="G97" i="21"/>
  <c r="AE99" i="21" s="1"/>
  <c r="BR95" i="21"/>
  <c r="BC95" i="21"/>
  <c r="AZ95" i="21"/>
  <c r="AX95" i="21"/>
  <c r="L95" i="21" a="1"/>
  <c r="L95" i="21" s="1"/>
  <c r="E95" i="21"/>
  <c r="D95" i="21"/>
  <c r="AY95" i="21" s="1"/>
  <c r="A95" i="21"/>
  <c r="B95" i="21" s="1"/>
  <c r="AA93" i="21"/>
  <c r="AH93" i="21" s="1"/>
  <c r="C93" i="21"/>
  <c r="C89" i="21" s="1"/>
  <c r="Y92" i="21"/>
  <c r="Z92" i="21" s="1"/>
  <c r="I92" i="21"/>
  <c r="D92" i="21"/>
  <c r="F92" i="21" s="1"/>
  <c r="AE91" i="21"/>
  <c r="AC91" i="21"/>
  <c r="AA91" i="21"/>
  <c r="G91" i="21"/>
  <c r="AE93" i="21" s="1"/>
  <c r="BR89" i="21"/>
  <c r="BC89" i="21"/>
  <c r="AZ89" i="21"/>
  <c r="AX89" i="21"/>
  <c r="L89" i="21" a="1"/>
  <c r="L89" i="21" s="1"/>
  <c r="E89" i="21"/>
  <c r="D89" i="21"/>
  <c r="AY89" i="21" s="1"/>
  <c r="A89" i="21"/>
  <c r="B89" i="21" s="1"/>
  <c r="AA87" i="21"/>
  <c r="C87" i="21"/>
  <c r="I86" i="21"/>
  <c r="D86" i="21"/>
  <c r="F86" i="21" s="1"/>
  <c r="AE85" i="21"/>
  <c r="AC85" i="21"/>
  <c r="AA85" i="21"/>
  <c r="AJ85" i="21" s="1"/>
  <c r="G85" i="21"/>
  <c r="AE87" i="21" s="1"/>
  <c r="J84" i="21"/>
  <c r="BR83" i="21"/>
  <c r="BQ83" i="21"/>
  <c r="BE83" i="21"/>
  <c r="BC83" i="21"/>
  <c r="AZ83" i="21"/>
  <c r="AX83" i="21"/>
  <c r="L83" i="21" a="1"/>
  <c r="L83" i="21" s="1"/>
  <c r="E83" i="21"/>
  <c r="D83" i="21"/>
  <c r="C83" i="21"/>
  <c r="A83" i="21"/>
  <c r="B83" i="21" s="1"/>
  <c r="AC81" i="21"/>
  <c r="AB81" i="21"/>
  <c r="AA81" i="21"/>
  <c r="C81" i="21"/>
  <c r="C78" i="21" s="1"/>
  <c r="G80" i="21"/>
  <c r="AE81" i="21" s="1"/>
  <c r="AE79" i="21"/>
  <c r="AC79" i="21"/>
  <c r="AA79" i="21"/>
  <c r="BR78" i="21"/>
  <c r="AZ78" i="21"/>
  <c r="E78" i="21"/>
  <c r="AX78" i="21" s="1"/>
  <c r="D78" i="21"/>
  <c r="AY78" i="21" s="1"/>
  <c r="A78" i="21"/>
  <c r="B78" i="21" s="1"/>
  <c r="AC76" i="21"/>
  <c r="AB76" i="21"/>
  <c r="AA76" i="21"/>
  <c r="AN74" i="21" s="1"/>
  <c r="C76" i="21"/>
  <c r="C73" i="21" s="1"/>
  <c r="G75" i="21"/>
  <c r="AE76" i="21" s="1"/>
  <c r="AE74" i="21"/>
  <c r="AC74" i="21"/>
  <c r="AI76" i="21" s="1"/>
  <c r="AA74" i="21"/>
  <c r="BR73" i="21"/>
  <c r="AZ73" i="21"/>
  <c r="E73" i="21"/>
  <c r="AX73" i="21" s="1"/>
  <c r="D73" i="21"/>
  <c r="AY73" i="21" s="1"/>
  <c r="A73" i="21"/>
  <c r="B73" i="21" s="1"/>
  <c r="AH71" i="21"/>
  <c r="AC71" i="21"/>
  <c r="AA71" i="21"/>
  <c r="T71" i="21"/>
  <c r="E71" i="21"/>
  <c r="E70" i="21" s="1"/>
  <c r="AB71" i="21" s="1"/>
  <c r="C71" i="21"/>
  <c r="C68" i="21" s="1"/>
  <c r="G70" i="21"/>
  <c r="AE71" i="21" s="1"/>
  <c r="AE69" i="21"/>
  <c r="AC69" i="21"/>
  <c r="AA69" i="21"/>
  <c r="AJ69" i="21" s="1"/>
  <c r="BR68" i="21"/>
  <c r="AZ68" i="21"/>
  <c r="E68" i="21"/>
  <c r="AX68" i="21" s="1"/>
  <c r="D68" i="21"/>
  <c r="AY68" i="21" s="1"/>
  <c r="A68" i="21"/>
  <c r="B68" i="21" s="1"/>
  <c r="AH66" i="21"/>
  <c r="AC66" i="21"/>
  <c r="AA66" i="21"/>
  <c r="T66" i="21"/>
  <c r="F66" i="21"/>
  <c r="E66" i="21" s="1"/>
  <c r="E65" i="21" s="1"/>
  <c r="AB66" i="21" s="1"/>
  <c r="Y66" i="21" s="1"/>
  <c r="C66" i="21"/>
  <c r="C63" i="21" s="1"/>
  <c r="G65" i="21"/>
  <c r="AE66" i="21" s="1"/>
  <c r="AE64" i="21"/>
  <c r="AC64" i="21"/>
  <c r="AA64" i="21"/>
  <c r="AI64" i="21" s="1"/>
  <c r="BR63" i="21"/>
  <c r="AZ63" i="21"/>
  <c r="E63" i="21"/>
  <c r="AX63" i="21" s="1"/>
  <c r="D63" i="21"/>
  <c r="AY63" i="21" s="1"/>
  <c r="A63" i="21"/>
  <c r="B63" i="21" s="1"/>
  <c r="C61" i="21"/>
  <c r="C57" i="21" s="1"/>
  <c r="C60" i="21"/>
  <c r="E60" i="21" s="1"/>
  <c r="F60" i="21" s="1"/>
  <c r="AB59" i="21"/>
  <c r="J59" i="21"/>
  <c r="F59" i="21"/>
  <c r="AF58" i="21"/>
  <c r="AE58" i="21"/>
  <c r="AC58" i="21"/>
  <c r="AA58" i="21"/>
  <c r="J58" i="21"/>
  <c r="AD59" i="21" s="1"/>
  <c r="BR57" i="21"/>
  <c r="BQ57" i="21"/>
  <c r="AZ57" i="21"/>
  <c r="E57" i="21"/>
  <c r="AX57" i="21" s="1"/>
  <c r="D57" i="21"/>
  <c r="AY57" i="21" s="1"/>
  <c r="A57" i="21"/>
  <c r="B57" i="21" s="1"/>
  <c r="C55" i="21"/>
  <c r="C50" i="21" s="1"/>
  <c r="AQ54" i="21"/>
  <c r="AE54" i="21"/>
  <c r="AC54" i="21"/>
  <c r="AA54" i="21"/>
  <c r="AI54" i="21" s="1"/>
  <c r="Y54" i="21"/>
  <c r="J54" i="21"/>
  <c r="F54" i="21"/>
  <c r="AN53" i="21"/>
  <c r="E53" i="21"/>
  <c r="F53" i="21" s="1"/>
  <c r="AM52" i="21"/>
  <c r="AN51" i="21"/>
  <c r="AM51" i="21"/>
  <c r="AQ51" i="21" s="1"/>
  <c r="AJ51" i="21"/>
  <c r="AF51" i="21"/>
  <c r="AG51" i="21" s="1"/>
  <c r="AE51" i="21"/>
  <c r="AD51" i="21"/>
  <c r="AC51" i="21"/>
  <c r="AA51" i="21"/>
  <c r="AI51" i="21" s="1"/>
  <c r="J51" i="21"/>
  <c r="AR51" i="21" s="1"/>
  <c r="BR50" i="21"/>
  <c r="BQ50" i="21"/>
  <c r="AZ50" i="21"/>
  <c r="BN50" i="21" s="1"/>
  <c r="AY50" i="21"/>
  <c r="AX50" i="21"/>
  <c r="L50" i="21"/>
  <c r="E50" i="21"/>
  <c r="D50" i="21"/>
  <c r="A50" i="21"/>
  <c r="B50" i="21" s="1"/>
  <c r="C48" i="21"/>
  <c r="C43" i="21" s="1"/>
  <c r="AQ47" i="21"/>
  <c r="AE47" i="21"/>
  <c r="AC47" i="21"/>
  <c r="AA47" i="21"/>
  <c r="Y47" i="21"/>
  <c r="J47" i="21"/>
  <c r="F47" i="21"/>
  <c r="C46" i="21"/>
  <c r="E43" i="21" s="1"/>
  <c r="AF44" i="21"/>
  <c r="AE44" i="21"/>
  <c r="AD44" i="21"/>
  <c r="AC44" i="21"/>
  <c r="AA44" i="21"/>
  <c r="AJ44" i="21" s="1"/>
  <c r="J44" i="21"/>
  <c r="BR43" i="21"/>
  <c r="BQ43" i="21"/>
  <c r="AZ43" i="21"/>
  <c r="BN43" i="21" s="1"/>
  <c r="AY43" i="21"/>
  <c r="AX43" i="21"/>
  <c r="D43" i="21"/>
  <c r="A43" i="21"/>
  <c r="B43" i="21" s="1"/>
  <c r="AQ41" i="21"/>
  <c r="AO41" i="21"/>
  <c r="AE41" i="21"/>
  <c r="AF41" i="21" s="1"/>
  <c r="AC41" i="21"/>
  <c r="AA41" i="21"/>
  <c r="C41" i="21"/>
  <c r="C35" i="21" s="1"/>
  <c r="AQ40" i="21"/>
  <c r="AO40" i="21"/>
  <c r="J40" i="21"/>
  <c r="F40" i="21"/>
  <c r="H40" i="21" s="1"/>
  <c r="AQ39" i="21"/>
  <c r="AO39" i="21"/>
  <c r="AE39" i="21"/>
  <c r="AD39" i="21"/>
  <c r="AB39" i="21"/>
  <c r="C39" i="21"/>
  <c r="E39" i="21" s="1"/>
  <c r="E40" i="21" s="1"/>
  <c r="AE38" i="21"/>
  <c r="AD38" i="21"/>
  <c r="AC38" i="21"/>
  <c r="AB38" i="21"/>
  <c r="AA38" i="21"/>
  <c r="H38" i="21"/>
  <c r="AE36" i="21"/>
  <c r="AD36" i="21"/>
  <c r="AC36" i="21"/>
  <c r="AA36" i="21"/>
  <c r="AB41" i="21" s="1"/>
  <c r="J36" i="21"/>
  <c r="AR36" i="21" s="1"/>
  <c r="BR35" i="21"/>
  <c r="BQ35" i="21"/>
  <c r="BO35" i="21"/>
  <c r="BD35" i="21"/>
  <c r="BC35" i="21"/>
  <c r="AZ35" i="21"/>
  <c r="BN35" i="21" s="1"/>
  <c r="BP35" i="21" s="1"/>
  <c r="AY35" i="21"/>
  <c r="AX35" i="21"/>
  <c r="D35" i="21"/>
  <c r="A35" i="21"/>
  <c r="B35" i="21" s="1"/>
  <c r="AE33" i="21"/>
  <c r="AC33" i="21"/>
  <c r="AA33" i="21"/>
  <c r="AN33" i="21" s="1"/>
  <c r="C33" i="21"/>
  <c r="C27" i="21" s="1"/>
  <c r="J32" i="21"/>
  <c r="F32" i="21"/>
  <c r="H32" i="21" s="1"/>
  <c r="AN31" i="21"/>
  <c r="AE31" i="21"/>
  <c r="AD31" i="21"/>
  <c r="AB31" i="21"/>
  <c r="C31" i="21"/>
  <c r="E31" i="21" s="1"/>
  <c r="E32" i="21" s="1"/>
  <c r="AE30" i="21"/>
  <c r="AD30" i="21"/>
  <c r="AC30" i="21"/>
  <c r="AB30" i="21"/>
  <c r="AA30" i="21"/>
  <c r="AJ33" i="21" s="1"/>
  <c r="AE28" i="21"/>
  <c r="AD28" i="21"/>
  <c r="AC28" i="21"/>
  <c r="AA28" i="21"/>
  <c r="AF28" i="21" s="1"/>
  <c r="J28" i="21"/>
  <c r="AD33" i="21" s="1"/>
  <c r="BR27" i="21"/>
  <c r="BQ27" i="21"/>
  <c r="BD27" i="21"/>
  <c r="BC27" i="21"/>
  <c r="AZ27" i="21"/>
  <c r="BN27" i="21" s="1"/>
  <c r="AY27" i="21"/>
  <c r="AX27" i="21"/>
  <c r="D27" i="21"/>
  <c r="A27" i="21"/>
  <c r="B27" i="21" s="1"/>
  <c r="AE25" i="21"/>
  <c r="AC25" i="21"/>
  <c r="AA25" i="21"/>
  <c r="Y25" i="21" s="1"/>
  <c r="C25" i="21"/>
  <c r="C19" i="21" s="1"/>
  <c r="J24" i="21"/>
  <c r="F24" i="21"/>
  <c r="AE23" i="21"/>
  <c r="AH22" i="21" s="1"/>
  <c r="BJ19" i="21" s="1"/>
  <c r="AD23" i="21"/>
  <c r="AB23" i="21"/>
  <c r="C23" i="21"/>
  <c r="E19" i="21" s="1"/>
  <c r="AE22" i="21"/>
  <c r="AC22" i="21"/>
  <c r="AB22" i="21"/>
  <c r="AA22" i="21"/>
  <c r="AM22" i="21" s="1"/>
  <c r="AQ22" i="21" s="1"/>
  <c r="AM21" i="21"/>
  <c r="AQ21" i="21" s="1"/>
  <c r="AM20" i="21"/>
  <c r="AQ20" i="21" s="1"/>
  <c r="AK20" i="21"/>
  <c r="AE20" i="21"/>
  <c r="AD20" i="21"/>
  <c r="AC20" i="21"/>
  <c r="AA20" i="21"/>
  <c r="AI20" i="21" s="1"/>
  <c r="J20" i="21"/>
  <c r="BR19" i="21"/>
  <c r="BQ19" i="21"/>
  <c r="BD19" i="21"/>
  <c r="BC19" i="21"/>
  <c r="AZ19" i="21"/>
  <c r="BN19" i="21" s="1"/>
  <c r="AY19" i="21"/>
  <c r="AX19" i="21"/>
  <c r="D19" i="21"/>
  <c r="A19" i="21"/>
  <c r="B19" i="21" s="1"/>
  <c r="C48" i="18"/>
  <c r="C47" i="18"/>
  <c r="C46" i="18"/>
  <c r="C45" i="18"/>
  <c r="C44" i="18"/>
  <c r="C43" i="18"/>
  <c r="C42" i="18"/>
  <c r="C41" i="18"/>
  <c r="C34" i="18"/>
  <c r="C33" i="18"/>
  <c r="C32" i="18"/>
  <c r="C31" i="18"/>
  <c r="C30" i="18"/>
  <c r="E15" i="18" a="1"/>
  <c r="C14" i="36"/>
  <c r="I9" i="36"/>
  <c r="T36" i="35"/>
  <c r="I35" i="35" s="1"/>
  <c r="I34" i="35"/>
  <c r="R14" i="35"/>
  <c r="I12" i="35"/>
  <c r="U11" i="35"/>
  <c r="T11" i="35"/>
  <c r="S11" i="35"/>
  <c r="R11" i="35"/>
  <c r="Q11" i="35"/>
  <c r="P11" i="35"/>
  <c r="O11" i="35"/>
  <c r="I11" i="35"/>
  <c r="I10" i="35"/>
  <c r="C9" i="35"/>
  <c r="T28" i="34"/>
  <c r="S28" i="34"/>
  <c r="R28" i="34"/>
  <c r="Q28" i="34"/>
  <c r="P28" i="34"/>
  <c r="G28" i="34"/>
  <c r="I27" i="34"/>
  <c r="I26" i="34"/>
  <c r="I10" i="34"/>
  <c r="I9" i="34"/>
  <c r="A27" i="18" l="1"/>
  <c r="A26" i="18"/>
  <c r="A25" i="18"/>
  <c r="A24" i="18"/>
  <c r="A23" i="18"/>
  <c r="A22" i="18"/>
  <c r="A21" i="18"/>
  <c r="A20" i="18"/>
  <c r="A19" i="18"/>
  <c r="A18" i="18"/>
  <c r="A17" i="18"/>
  <c r="Z441" i="21"/>
  <c r="AI758" i="21"/>
  <c r="AC93" i="8"/>
  <c r="AC90" i="8"/>
  <c r="AC89" i="8"/>
  <c r="Y637" i="21"/>
  <c r="AC97" i="8"/>
  <c r="Y698" i="21"/>
  <c r="AE701" i="21"/>
  <c r="Y733" i="21"/>
  <c r="AE685" i="21"/>
  <c r="AC636" i="21"/>
  <c r="AC721" i="21"/>
  <c r="AL418" i="21"/>
  <c r="D419" i="21"/>
  <c r="R29" i="21"/>
  <c r="T29" i="21" s="1"/>
  <c r="Y708" i="21"/>
  <c r="AK760" i="21"/>
  <c r="AK702" i="21"/>
  <c r="AK762" i="21"/>
  <c r="AC91" i="8"/>
  <c r="AF421" i="21"/>
  <c r="D702" i="21"/>
  <c r="AK698" i="21"/>
  <c r="Y749" i="21"/>
  <c r="Z449" i="21"/>
  <c r="AF456" i="21"/>
  <c r="J178" i="8"/>
  <c r="AG74" i="21"/>
  <c r="R75" i="21" s="1"/>
  <c r="T75" i="21" s="1"/>
  <c r="AQ545" i="21"/>
  <c r="AD446" i="21"/>
  <c r="AC23" i="8"/>
  <c r="Y759" i="21"/>
  <c r="C9" i="34"/>
  <c r="D758" i="21"/>
  <c r="Y701" i="21"/>
  <c r="D716" i="21"/>
  <c r="R38" i="21"/>
  <c r="T38" i="21" s="1"/>
  <c r="R190" i="21"/>
  <c r="T190" i="21" s="1"/>
  <c r="AG230" i="21"/>
  <c r="R230" i="21" s="1"/>
  <c r="T230" i="21" s="1"/>
  <c r="AL428" i="21"/>
  <c r="AD445" i="21"/>
  <c r="D726" i="21"/>
  <c r="Y635" i="21"/>
  <c r="Y702" i="21"/>
  <c r="Y718" i="21"/>
  <c r="AK740" i="21"/>
  <c r="Z431" i="21"/>
  <c r="X438" i="21"/>
  <c r="Y627" i="21"/>
  <c r="AI745" i="21"/>
  <c r="AE744" i="21"/>
  <c r="AF423" i="21"/>
  <c r="Z430" i="21"/>
  <c r="X440" i="21"/>
  <c r="AI685" i="21"/>
  <c r="AC691" i="21"/>
  <c r="AK717" i="21"/>
  <c r="J180" i="8"/>
  <c r="AR188" i="21"/>
  <c r="X422" i="21"/>
  <c r="AL437" i="21"/>
  <c r="Y103" i="21"/>
  <c r="AW102" i="21" s="1"/>
  <c r="AJ754" i="21"/>
  <c r="AK754" i="21" s="1"/>
  <c r="X763" i="21"/>
  <c r="Y763" i="21" s="1"/>
  <c r="AN52" i="21"/>
  <c r="BB331" i="21"/>
  <c r="AH630" i="21"/>
  <c r="AI630" i="21" s="1"/>
  <c r="G475" i="21"/>
  <c r="BA475" i="21" s="1"/>
  <c r="AF594" i="21"/>
  <c r="BB242" i="21"/>
  <c r="AF389" i="21"/>
  <c r="V389" i="21" s="1"/>
  <c r="AF413" i="21"/>
  <c r="AF420" i="21"/>
  <c r="D513" i="21"/>
  <c r="AY513" i="21" s="1"/>
  <c r="V701" i="21"/>
  <c r="W701" i="21" s="1"/>
  <c r="J735" i="21"/>
  <c r="N735" i="21" s="1"/>
  <c r="I735" i="21" s="1"/>
  <c r="AD708" i="21"/>
  <c r="AE708" i="21" s="1"/>
  <c r="AK64" i="21"/>
  <c r="AD684" i="21"/>
  <c r="AE684" i="21" s="1"/>
  <c r="AE700" i="21"/>
  <c r="AK127" i="21"/>
  <c r="H326" i="21"/>
  <c r="D438" i="21"/>
  <c r="AI627" i="21"/>
  <c r="AK638" i="21"/>
  <c r="AK684" i="21"/>
  <c r="AD720" i="21"/>
  <c r="AE720" i="21" s="1"/>
  <c r="AM127" i="21"/>
  <c r="AO127" i="21" s="1"/>
  <c r="AH548" i="21"/>
  <c r="AB54" i="21"/>
  <c r="AP64" i="21"/>
  <c r="W66" i="21" s="1"/>
  <c r="BE101" i="21"/>
  <c r="AH51" i="21"/>
  <c r="AF76" i="21"/>
  <c r="V76" i="21" s="1"/>
  <c r="AH54" i="21"/>
  <c r="AM65" i="21"/>
  <c r="AO65" i="21" s="1"/>
  <c r="AN127" i="21"/>
  <c r="AH218" i="21"/>
  <c r="H287" i="21"/>
  <c r="X414" i="21"/>
  <c r="AL459" i="21"/>
  <c r="AI548" i="21"/>
  <c r="D628" i="21"/>
  <c r="D743" i="21"/>
  <c r="E760" i="21"/>
  <c r="AJ64" i="21"/>
  <c r="G376" i="21"/>
  <c r="BA376" i="21" s="1"/>
  <c r="BB376" i="21" s="1"/>
  <c r="AH127" i="21"/>
  <c r="AN65" i="21"/>
  <c r="J122" i="21"/>
  <c r="BB159" i="21"/>
  <c r="AM230" i="21"/>
  <c r="AO230" i="21" s="1"/>
  <c r="F392" i="21"/>
  <c r="Z458" i="21"/>
  <c r="BB470" i="21"/>
  <c r="Y626" i="21"/>
  <c r="E636" i="21"/>
  <c r="D701" i="21"/>
  <c r="Y712" i="21"/>
  <c r="W287" i="21"/>
  <c r="X287" i="21" s="1"/>
  <c r="H285" i="21" s="1"/>
  <c r="BO283" i="21"/>
  <c r="AB726" i="21"/>
  <c r="AC726" i="21" s="1"/>
  <c r="AF439" i="21"/>
  <c r="AJ20" i="21"/>
  <c r="Y21" i="21" s="1"/>
  <c r="H175" i="21"/>
  <c r="H174" i="21" s="1"/>
  <c r="H343" i="21"/>
  <c r="H342" i="21" s="1"/>
  <c r="AM361" i="21"/>
  <c r="AO361" i="21" s="1"/>
  <c r="AP361" i="21" s="1"/>
  <c r="AK423" i="21"/>
  <c r="AL423" i="21" s="1"/>
  <c r="Z446" i="21"/>
  <c r="AF586" i="21"/>
  <c r="AI733" i="21"/>
  <c r="AE759" i="21"/>
  <c r="BB524" i="21"/>
  <c r="P430" i="21"/>
  <c r="I430" i="21" s="1"/>
  <c r="AK230" i="21"/>
  <c r="BB272" i="21"/>
  <c r="AE431" i="21"/>
  <c r="AF431" i="21" s="1"/>
  <c r="AH20" i="21"/>
  <c r="AH69" i="21"/>
  <c r="AK361" i="21"/>
  <c r="AI361" i="21" s="1"/>
  <c r="AH570" i="21"/>
  <c r="AK578" i="21"/>
  <c r="Y578" i="21" s="1"/>
  <c r="X720" i="21"/>
  <c r="Y720" i="21" s="1"/>
  <c r="F527" i="21"/>
  <c r="H525" i="21" s="1"/>
  <c r="H524" i="21" s="1"/>
  <c r="AI570" i="21"/>
  <c r="AM70" i="21"/>
  <c r="AO70" i="21" s="1"/>
  <c r="Y456" i="21"/>
  <c r="Z456" i="21" s="1"/>
  <c r="X456" i="21" s="1"/>
  <c r="AM570" i="21"/>
  <c r="AO570" i="21" s="1"/>
  <c r="AP570" i="21" s="1"/>
  <c r="D581" i="21"/>
  <c r="H580" i="21" s="1"/>
  <c r="Y389" i="21"/>
  <c r="Z389" i="21" s="1"/>
  <c r="AI594" i="21"/>
  <c r="V712" i="21"/>
  <c r="W712" i="21" s="1"/>
  <c r="AH361" i="21"/>
  <c r="AF123" i="21"/>
  <c r="AN70" i="21"/>
  <c r="AF590" i="21"/>
  <c r="W719" i="21"/>
  <c r="X751" i="21"/>
  <c r="Y751" i="21" s="1"/>
  <c r="AF93" i="21"/>
  <c r="V92" i="21" s="1"/>
  <c r="AM388" i="21"/>
  <c r="AO388" i="21" s="1"/>
  <c r="AJ594" i="21"/>
  <c r="BB663" i="21"/>
  <c r="AM571" i="21"/>
  <c r="AQ571" i="21" s="1"/>
  <c r="X709" i="21"/>
  <c r="Y709" i="21" s="1"/>
  <c r="AD732" i="21"/>
  <c r="AE732" i="21" s="1"/>
  <c r="AK732" i="21"/>
  <c r="V735" i="21"/>
  <c r="W735" i="21" s="1"/>
  <c r="AB754" i="21"/>
  <c r="AC754" i="21" s="1"/>
  <c r="AJ30" i="21"/>
  <c r="BK27" i="21" s="1"/>
  <c r="AF69" i="21"/>
  <c r="V70" i="21" s="1"/>
  <c r="J98" i="21"/>
  <c r="H98" i="21" s="1"/>
  <c r="AC439" i="21"/>
  <c r="AD439" i="21" s="1"/>
  <c r="AI573" i="21"/>
  <c r="Y81" i="21"/>
  <c r="Z81" i="21" s="1"/>
  <c r="Y71" i="21"/>
  <c r="Z71" i="21" s="1"/>
  <c r="AH121" i="21"/>
  <c r="AF212" i="21"/>
  <c r="AN388" i="21"/>
  <c r="R59" i="21"/>
  <c r="T59" i="21" s="1"/>
  <c r="AF85" i="21"/>
  <c r="AG117" i="21"/>
  <c r="R116" i="21" s="1"/>
  <c r="T116" i="21" s="1"/>
  <c r="AI121" i="21"/>
  <c r="AH188" i="21"/>
  <c r="AI212" i="21"/>
  <c r="AN571" i="21"/>
  <c r="AD602" i="21"/>
  <c r="AD418" i="21"/>
  <c r="AM572" i="21"/>
  <c r="AQ572" i="21" s="1"/>
  <c r="G569" i="21" s="1"/>
  <c r="BA569" i="21" s="1"/>
  <c r="BB569" i="21" s="1"/>
  <c r="BE576" i="21"/>
  <c r="AH602" i="21"/>
  <c r="Y750" i="21"/>
  <c r="AN284" i="21"/>
  <c r="AP284" i="21" s="1"/>
  <c r="Y447" i="21"/>
  <c r="Z447" i="21" s="1"/>
  <c r="X447" i="21" s="1"/>
  <c r="AG573" i="21"/>
  <c r="R573" i="21" s="1"/>
  <c r="T573" i="21" s="1"/>
  <c r="D767" i="21"/>
  <c r="AH115" i="21"/>
  <c r="AJ361" i="21"/>
  <c r="AH64" i="21"/>
  <c r="AF64" i="21"/>
  <c r="V65" i="21" s="1"/>
  <c r="AF91" i="21"/>
  <c r="BP179" i="21"/>
  <c r="G200" i="21"/>
  <c r="BA200" i="21" s="1"/>
  <c r="BB200" i="21" s="1"/>
  <c r="AJ212" i="21"/>
  <c r="BB539" i="21"/>
  <c r="D597" i="21"/>
  <c r="H596" i="21" s="1"/>
  <c r="AG644" i="21"/>
  <c r="Y684" i="21"/>
  <c r="AJ719" i="21"/>
  <c r="AK719" i="21" s="1"/>
  <c r="BB658" i="21"/>
  <c r="BB668" i="21"/>
  <c r="G517" i="21"/>
  <c r="C515" i="21" s="1"/>
  <c r="G513" i="21" s="1"/>
  <c r="BA513" i="21" s="1"/>
  <c r="BB513" i="21" s="1"/>
  <c r="AH117" i="21"/>
  <c r="V116" i="21" s="1"/>
  <c r="AJ121" i="21"/>
  <c r="Y121" i="21" s="1"/>
  <c r="AV120" i="21" s="1"/>
  <c r="AP191" i="21"/>
  <c r="AF220" i="21"/>
  <c r="AG64" i="21"/>
  <c r="R65" i="21" s="1"/>
  <c r="T65" i="21" s="1"/>
  <c r="AF129" i="21"/>
  <c r="AK212" i="21"/>
  <c r="AF218" i="21"/>
  <c r="AM31" i="21"/>
  <c r="AQ31" i="21" s="1"/>
  <c r="AB47" i="21"/>
  <c r="J86" i="21"/>
  <c r="H86" i="21" s="1"/>
  <c r="Y213" i="21"/>
  <c r="Z213" i="21" s="1"/>
  <c r="C383" i="21"/>
  <c r="G381" i="21" s="1"/>
  <c r="BA381" i="21" s="1"/>
  <c r="BB381" i="21" s="1"/>
  <c r="AK414" i="21"/>
  <c r="AL414" i="21" s="1"/>
  <c r="Z423" i="21"/>
  <c r="Z454" i="21"/>
  <c r="E531" i="21"/>
  <c r="AG548" i="21"/>
  <c r="R548" i="21" s="1"/>
  <c r="T548" i="21" s="1"/>
  <c r="AE718" i="21"/>
  <c r="X734" i="21"/>
  <c r="Y734" i="21" s="1"/>
  <c r="AE750" i="21"/>
  <c r="F770" i="21"/>
  <c r="E768" i="21" s="1"/>
  <c r="D132" i="21"/>
  <c r="E131" i="21"/>
  <c r="AX131" i="21" s="1"/>
  <c r="AH212" i="21"/>
  <c r="BB391" i="21"/>
  <c r="G497" i="21"/>
  <c r="BA497" i="21" s="1"/>
  <c r="BB497" i="21" s="1"/>
  <c r="H498" i="21"/>
  <c r="H497" i="21" s="1"/>
  <c r="AP545" i="21"/>
  <c r="AJ749" i="21"/>
  <c r="AK749" i="21" s="1"/>
  <c r="J116" i="21"/>
  <c r="H116" i="21" s="1"/>
  <c r="AY113" i="21"/>
  <c r="AJ182" i="21"/>
  <c r="BK179" i="21" s="1"/>
  <c r="AI182" i="21"/>
  <c r="BG179" i="21" s="1"/>
  <c r="J219" i="21"/>
  <c r="H219" i="21" s="1"/>
  <c r="AY216" i="21"/>
  <c r="AH753" i="21"/>
  <c r="AI753" i="21" s="1"/>
  <c r="AJ753" i="21"/>
  <c r="AK753" i="21" s="1"/>
  <c r="AH103" i="21"/>
  <c r="AK586" i="21"/>
  <c r="AI586" i="21"/>
  <c r="AJ685" i="21"/>
  <c r="AK685" i="21" s="1"/>
  <c r="AN40" i="21"/>
  <c r="AP40" i="21" s="1"/>
  <c r="AN39" i="21"/>
  <c r="AP39" i="21" s="1"/>
  <c r="AN41" i="21"/>
  <c r="AP41" i="21" s="1"/>
  <c r="AI430" i="21"/>
  <c r="AJ430" i="21" s="1"/>
  <c r="AK430" i="21"/>
  <c r="AL430" i="21" s="1"/>
  <c r="E440" i="21"/>
  <c r="D440" i="21"/>
  <c r="G485" i="21"/>
  <c r="BA485" i="21" s="1"/>
  <c r="BB485" i="21" s="1"/>
  <c r="H486" i="21"/>
  <c r="H485" i="21" s="1"/>
  <c r="AK628" i="21"/>
  <c r="Y742" i="21"/>
  <c r="AI759" i="21"/>
  <c r="H24" i="21"/>
  <c r="AF180" i="21"/>
  <c r="AH180" i="21"/>
  <c r="G506" i="21"/>
  <c r="R649" i="21"/>
  <c r="T649" i="21" s="1"/>
  <c r="AI640" i="21"/>
  <c r="AM189" i="21"/>
  <c r="AQ189" i="21" s="1"/>
  <c r="AN190" i="21"/>
  <c r="AM188" i="21"/>
  <c r="AQ188" i="21" s="1"/>
  <c r="AK188" i="21"/>
  <c r="AM190" i="21"/>
  <c r="AQ190" i="21" s="1"/>
  <c r="AK190" i="21"/>
  <c r="G252" i="21"/>
  <c r="BA252" i="21" s="1"/>
  <c r="BB252" i="21" s="1"/>
  <c r="F253" i="21"/>
  <c r="H253" i="21" s="1"/>
  <c r="H252" i="21" s="1"/>
  <c r="BB311" i="21"/>
  <c r="W455" i="21"/>
  <c r="X455" i="21" s="1"/>
  <c r="Y455" i="21"/>
  <c r="Z455" i="21" s="1"/>
  <c r="AH684" i="21"/>
  <c r="AI684" i="21" s="1"/>
  <c r="AB711" i="21"/>
  <c r="AC711" i="21" s="1"/>
  <c r="Y86" i="21"/>
  <c r="Z86" i="21" s="1"/>
  <c r="AH87" i="21"/>
  <c r="AG87" i="21"/>
  <c r="R86" i="21" s="1"/>
  <c r="T86" i="21" s="1"/>
  <c r="AF182" i="21"/>
  <c r="AD719" i="21"/>
  <c r="AE719" i="21" s="1"/>
  <c r="AB719" i="21"/>
  <c r="AC719" i="21" s="1"/>
  <c r="AJ41" i="21"/>
  <c r="AM37" i="21"/>
  <c r="AO37" i="21" s="1"/>
  <c r="AN224" i="21"/>
  <c r="AK223" i="21"/>
  <c r="AM224" i="21"/>
  <c r="AO224" i="21" s="1"/>
  <c r="AJ223" i="21"/>
  <c r="AI223" i="21"/>
  <c r="AG223" i="21"/>
  <c r="R224" i="21" s="1"/>
  <c r="T224" i="21" s="1"/>
  <c r="E637" i="21"/>
  <c r="D637" i="21"/>
  <c r="AN44" i="21"/>
  <c r="AF47" i="21"/>
  <c r="V47" i="21" s="1"/>
  <c r="AF223" i="21"/>
  <c r="E235" i="21"/>
  <c r="AX235" i="21"/>
  <c r="H311" i="21"/>
  <c r="Z436" i="21"/>
  <c r="W436" i="21"/>
  <c r="X436" i="21" s="1"/>
  <c r="AB631" i="21"/>
  <c r="AC631" i="21" s="1"/>
  <c r="AE631" i="21"/>
  <c r="W703" i="21"/>
  <c r="AB733" i="21"/>
  <c r="AC733" i="21" s="1"/>
  <c r="AD733" i="21"/>
  <c r="AE733" i="21" s="1"/>
  <c r="F367" i="21"/>
  <c r="G366" i="21"/>
  <c r="BA366" i="21" s="1"/>
  <c r="BB366" i="21" s="1"/>
  <c r="I506" i="21"/>
  <c r="E506" i="21"/>
  <c r="AX506" i="21" s="1"/>
  <c r="C505" i="21"/>
  <c r="AR44" i="21"/>
  <c r="AD47" i="21"/>
  <c r="R45" i="21" s="1"/>
  <c r="T45" i="21" s="1"/>
  <c r="AM181" i="21"/>
  <c r="AM182" i="21"/>
  <c r="AO182" i="21" s="1"/>
  <c r="AK180" i="21"/>
  <c r="AN182" i="21"/>
  <c r="AM180" i="21"/>
  <c r="AK182" i="21"/>
  <c r="G267" i="21"/>
  <c r="BA267" i="21" s="1"/>
  <c r="BB267" i="21" s="1"/>
  <c r="F268" i="21"/>
  <c r="AI91" i="21"/>
  <c r="BE89" i="21"/>
  <c r="AU120" i="21"/>
  <c r="AD121" i="21"/>
  <c r="AJ180" i="21"/>
  <c r="AI180" i="21"/>
  <c r="AF436" i="21"/>
  <c r="AH692" i="21"/>
  <c r="AI692" i="21" s="1"/>
  <c r="AJ692" i="21"/>
  <c r="AK692" i="21" s="1"/>
  <c r="AN183" i="21"/>
  <c r="AP183" i="21" s="1"/>
  <c r="AN184" i="21"/>
  <c r="AP184" i="21" s="1"/>
  <c r="AN185" i="21"/>
  <c r="AP185" i="21" s="1"/>
  <c r="W450" i="21"/>
  <c r="X450" i="21" s="1"/>
  <c r="Y450" i="21"/>
  <c r="Z450" i="21" s="1"/>
  <c r="AI754" i="21"/>
  <c r="AB25" i="21"/>
  <c r="AF38" i="21"/>
  <c r="AD41" i="21"/>
  <c r="R37" i="21" s="1"/>
  <c r="T37" i="21" s="1"/>
  <c r="AH47" i="21"/>
  <c r="G155" i="21"/>
  <c r="G151" i="21" s="1"/>
  <c r="H151" i="21" s="1"/>
  <c r="BB169" i="21"/>
  <c r="AF190" i="21"/>
  <c r="H206" i="21"/>
  <c r="H205" i="21" s="1"/>
  <c r="G316" i="21"/>
  <c r="BA316" i="21" s="1"/>
  <c r="BB316" i="21" s="1"/>
  <c r="Z419" i="21"/>
  <c r="AJ420" i="21"/>
  <c r="W446" i="21"/>
  <c r="X446" i="21" s="1"/>
  <c r="BB673" i="21"/>
  <c r="AY688" i="21"/>
  <c r="AD691" i="21"/>
  <c r="AE691" i="21" s="1"/>
  <c r="AH735" i="21"/>
  <c r="AI735" i="21" s="1"/>
  <c r="AD752" i="21"/>
  <c r="AE752" i="21" s="1"/>
  <c r="AJ758" i="21"/>
  <c r="AK758" i="21" s="1"/>
  <c r="AH762" i="21"/>
  <c r="AI762" i="21" s="1"/>
  <c r="AC710" i="21"/>
  <c r="AB718" i="21"/>
  <c r="AC718" i="21" s="1"/>
  <c r="AC732" i="21"/>
  <c r="J128" i="21"/>
  <c r="H128" i="21" s="1"/>
  <c r="AM212" i="21"/>
  <c r="AO212" i="21" s="1"/>
  <c r="W419" i="21"/>
  <c r="X419" i="21" s="1"/>
  <c r="AK420" i="21"/>
  <c r="AL420" i="21" s="1"/>
  <c r="AC423" i="21"/>
  <c r="AD423" i="21" s="1"/>
  <c r="W449" i="21"/>
  <c r="X449" i="21" s="1"/>
  <c r="AM546" i="21"/>
  <c r="AO546" i="21" s="1"/>
  <c r="J92" i="21"/>
  <c r="H92" i="21" s="1"/>
  <c r="AF99" i="21"/>
  <c r="AM109" i="21"/>
  <c r="AO109" i="21" s="1"/>
  <c r="G136" i="21"/>
  <c r="BA136" i="21" s="1"/>
  <c r="BB136" i="21" s="1"/>
  <c r="AN212" i="21"/>
  <c r="BE216" i="21"/>
  <c r="BB300" i="21"/>
  <c r="BB342" i="21"/>
  <c r="AF419" i="21"/>
  <c r="AF427" i="21"/>
  <c r="AD427" i="21" s="1"/>
  <c r="J431" i="21"/>
  <c r="P431" i="21" s="1"/>
  <c r="I431" i="21" s="1"/>
  <c r="C481" i="21"/>
  <c r="BB491" i="21"/>
  <c r="AN546" i="21"/>
  <c r="AB573" i="21"/>
  <c r="AF582" i="21"/>
  <c r="D605" i="21"/>
  <c r="H604" i="21" s="1"/>
  <c r="AK626" i="21"/>
  <c r="D639" i="21"/>
  <c r="AG649" i="21"/>
  <c r="AE694" i="21"/>
  <c r="AK742" i="21"/>
  <c r="AE761" i="21"/>
  <c r="AI22" i="21"/>
  <c r="BG19" i="21" s="1"/>
  <c r="AM25" i="21"/>
  <c r="AQ25" i="21" s="1"/>
  <c r="Y33" i="21"/>
  <c r="U33" i="21" s="1"/>
  <c r="AH38" i="21"/>
  <c r="BJ35" i="21" s="1"/>
  <c r="AI44" i="21"/>
  <c r="Y45" i="21" s="1"/>
  <c r="Z45" i="21" s="1"/>
  <c r="Y76" i="21"/>
  <c r="Z76" i="21" s="1"/>
  <c r="BP195" i="21"/>
  <c r="Y225" i="21"/>
  <c r="Z225" i="21" s="1"/>
  <c r="BE228" i="21"/>
  <c r="AI284" i="21"/>
  <c r="H349" i="21"/>
  <c r="AJ414" i="21"/>
  <c r="AJ419" i="21"/>
  <c r="AJ423" i="21"/>
  <c r="AI440" i="21"/>
  <c r="AJ440" i="21" s="1"/>
  <c r="F530" i="21"/>
  <c r="H530" i="21" s="1"/>
  <c r="H529" i="21" s="1"/>
  <c r="BB551" i="21"/>
  <c r="D627" i="21"/>
  <c r="AE637" i="21"/>
  <c r="Y649" i="21"/>
  <c r="Z649" i="21" s="1"/>
  <c r="W685" i="21"/>
  <c r="AB701" i="21"/>
  <c r="AC701" i="21" s="1"/>
  <c r="J110" i="21"/>
  <c r="H110" i="21" s="1"/>
  <c r="AP285" i="21"/>
  <c r="BB396" i="21"/>
  <c r="AF422" i="21"/>
  <c r="Z437" i="21"/>
  <c r="Q437" i="21" s="1"/>
  <c r="AC458" i="21"/>
  <c r="AD458" i="21" s="1"/>
  <c r="AI459" i="21"/>
  <c r="AJ459" i="21" s="1"/>
  <c r="H476" i="21"/>
  <c r="H475" i="21" s="1"/>
  <c r="AC731" i="21"/>
  <c r="V750" i="21"/>
  <c r="W750" i="21" s="1"/>
  <c r="AK751" i="21"/>
  <c r="V760" i="21"/>
  <c r="W760" i="21" s="1"/>
  <c r="BB557" i="21"/>
  <c r="AE731" i="21"/>
  <c r="AE760" i="21"/>
  <c r="AD721" i="21"/>
  <c r="AE721" i="21" s="1"/>
  <c r="AE745" i="21"/>
  <c r="Y218" i="21"/>
  <c r="AV217" i="21" s="1"/>
  <c r="AH586" i="21"/>
  <c r="AF598" i="21"/>
  <c r="AJ25" i="21"/>
  <c r="AG44" i="21"/>
  <c r="AH284" i="21"/>
  <c r="AK22" i="21"/>
  <c r="BH19" i="21" s="1"/>
  <c r="C516" i="21"/>
  <c r="AK636" i="21"/>
  <c r="AI38" i="21"/>
  <c r="BG35" i="21" s="1"/>
  <c r="H59" i="21"/>
  <c r="AF214" i="21"/>
  <c r="AH36" i="21"/>
  <c r="H137" i="21"/>
  <c r="H136" i="21" s="1"/>
  <c r="BB205" i="21"/>
  <c r="AG214" i="21"/>
  <c r="R213" i="21" s="1"/>
  <c r="T213" i="21" s="1"/>
  <c r="AR284" i="21"/>
  <c r="AF361" i="21"/>
  <c r="AK387" i="21"/>
  <c r="Y388" i="21" s="1"/>
  <c r="AW387" i="21" s="1"/>
  <c r="AC413" i="21"/>
  <c r="AD413" i="21" s="1"/>
  <c r="AI418" i="21"/>
  <c r="AJ418" i="21" s="1"/>
  <c r="W430" i="21"/>
  <c r="X430" i="21" s="1"/>
  <c r="W431" i="21"/>
  <c r="X431" i="21" s="1"/>
  <c r="E517" i="21"/>
  <c r="E513" i="21" s="1"/>
  <c r="AX513" i="21" s="1"/>
  <c r="AG578" i="21"/>
  <c r="R578" i="21" s="1"/>
  <c r="T578" i="21" s="1"/>
  <c r="AK594" i="21"/>
  <c r="AE629" i="21"/>
  <c r="AE630" i="21"/>
  <c r="AB685" i="21"/>
  <c r="AC685" i="21" s="1"/>
  <c r="E718" i="21"/>
  <c r="AK727" i="21"/>
  <c r="V759" i="21"/>
  <c r="W759" i="21" s="1"/>
  <c r="AB760" i="21"/>
  <c r="AC760" i="21" s="1"/>
  <c r="AF115" i="21"/>
  <c r="BB151" i="21"/>
  <c r="H47" i="21"/>
  <c r="BB187" i="21"/>
  <c r="AI230" i="21"/>
  <c r="AG361" i="21"/>
  <c r="R361" i="21" s="1"/>
  <c r="T361" i="21" s="1"/>
  <c r="W421" i="21"/>
  <c r="X421" i="21" s="1"/>
  <c r="AC437" i="21"/>
  <c r="AC438" i="21"/>
  <c r="AD438" i="21" s="1"/>
  <c r="AI458" i="21"/>
  <c r="AJ458" i="21" s="1"/>
  <c r="AI578" i="21"/>
  <c r="H678" i="21"/>
  <c r="AK700" i="21"/>
  <c r="E702" i="21"/>
  <c r="W734" i="21"/>
  <c r="AE740" i="21"/>
  <c r="AB626" i="21"/>
  <c r="AC626" i="21" s="1"/>
  <c r="AD594" i="21"/>
  <c r="AJ22" i="21"/>
  <c r="BK19" i="21" s="1"/>
  <c r="AD54" i="21"/>
  <c r="R52" i="21" s="1"/>
  <c r="T52" i="21" s="1"/>
  <c r="AG76" i="21"/>
  <c r="R76" i="21" s="1"/>
  <c r="T76" i="21" s="1"/>
  <c r="AH76" i="21"/>
  <c r="BB371" i="21"/>
  <c r="AK449" i="21"/>
  <c r="AL449" i="21" s="1"/>
  <c r="BB615" i="21"/>
  <c r="AJ230" i="21"/>
  <c r="BP283" i="21"/>
  <c r="BB321" i="21"/>
  <c r="AL413" i="21"/>
  <c r="AF430" i="21"/>
  <c r="AD431" i="21"/>
  <c r="AF548" i="21"/>
  <c r="V548" i="21" s="1"/>
  <c r="AH629" i="21"/>
  <c r="AI629" i="21" s="1"/>
  <c r="AK689" i="21"/>
  <c r="AC708" i="21"/>
  <c r="AC720" i="21"/>
  <c r="BB179" i="21"/>
  <c r="R147" i="21"/>
  <c r="T147" i="21" s="1"/>
  <c r="AF147" i="21"/>
  <c r="AG22" i="21"/>
  <c r="G257" i="21"/>
  <c r="BA257" i="21" s="1"/>
  <c r="BB257" i="21" s="1"/>
  <c r="F258" i="21"/>
  <c r="H258" i="21" s="1"/>
  <c r="H257" i="21" s="1"/>
  <c r="Z25" i="21"/>
  <c r="BO19" i="21"/>
  <c r="BP19" i="21" s="1"/>
  <c r="AN30" i="21"/>
  <c r="AM29" i="21"/>
  <c r="R30" i="21"/>
  <c r="T30" i="21" s="1"/>
  <c r="AK28" i="21"/>
  <c r="AM28" i="21"/>
  <c r="AQ28" i="21" s="1"/>
  <c r="AM30" i="21"/>
  <c r="AK30" i="21"/>
  <c r="AF30" i="21"/>
  <c r="C142" i="21"/>
  <c r="G141" i="21" s="1"/>
  <c r="BA141" i="21" s="1"/>
  <c r="BB141" i="21" s="1"/>
  <c r="C143" i="21"/>
  <c r="AC429" i="21"/>
  <c r="AD429" i="21" s="1"/>
  <c r="AE429" i="21"/>
  <c r="AF429" i="21" s="1"/>
  <c r="AI432" i="21"/>
  <c r="AJ432" i="21" s="1"/>
  <c r="AK432" i="21"/>
  <c r="AL432" i="21" s="1"/>
  <c r="AH81" i="21"/>
  <c r="AG81" i="21"/>
  <c r="R81" i="21" s="1"/>
  <c r="T81" i="21" s="1"/>
  <c r="AF105" i="21"/>
  <c r="AJ109" i="21"/>
  <c r="AG109" i="21"/>
  <c r="R109" i="21" s="1"/>
  <c r="T109" i="21" s="1"/>
  <c r="BE107" i="21"/>
  <c r="AG197" i="21"/>
  <c r="R197" i="21" s="1"/>
  <c r="T197" i="21" s="1"/>
  <c r="U197" i="21"/>
  <c r="AN196" i="21"/>
  <c r="AM196" i="21"/>
  <c r="AQ196" i="21" s="1"/>
  <c r="AN197" i="21"/>
  <c r="AH230" i="21"/>
  <c r="AF230" i="21"/>
  <c r="AH240" i="21"/>
  <c r="AM237" i="21"/>
  <c r="AO237" i="21" s="1"/>
  <c r="AN237" i="21"/>
  <c r="AG240" i="21"/>
  <c r="R238" i="21" s="1"/>
  <c r="T238" i="21" s="1"/>
  <c r="H391" i="21"/>
  <c r="Y428" i="21"/>
  <c r="Z428" i="21" s="1"/>
  <c r="W428" i="21"/>
  <c r="X428" i="21" s="1"/>
  <c r="W457" i="21"/>
  <c r="X457" i="21" s="1"/>
  <c r="Y457" i="21"/>
  <c r="Z457" i="21" s="1"/>
  <c r="Y640" i="21"/>
  <c r="V640" i="21"/>
  <c r="W640" i="21" s="1"/>
  <c r="AJ28" i="21"/>
  <c r="AI28" i="21"/>
  <c r="AK38" i="21"/>
  <c r="AN38" i="21"/>
  <c r="AO51" i="21"/>
  <c r="AP51" i="21" s="1"/>
  <c r="AF54" i="21"/>
  <c r="V54" i="21" s="1"/>
  <c r="AM75" i="21"/>
  <c r="AO75" i="21" s="1"/>
  <c r="AH99" i="21"/>
  <c r="AG99" i="21"/>
  <c r="R98" i="21" s="1"/>
  <c r="T98" i="21" s="1"/>
  <c r="Y98" i="21"/>
  <c r="Z98" i="21" s="1"/>
  <c r="Y147" i="21"/>
  <c r="AH197" i="21"/>
  <c r="AI225" i="21"/>
  <c r="AH225" i="21"/>
  <c r="AG225" i="21"/>
  <c r="R225" i="21" s="1"/>
  <c r="T225" i="21" s="1"/>
  <c r="H291" i="21"/>
  <c r="G290" i="21"/>
  <c r="BA290" i="21" s="1"/>
  <c r="BB290" i="21" s="1"/>
  <c r="H321" i="21"/>
  <c r="D446" i="21"/>
  <c r="E446" i="21"/>
  <c r="AH590" i="21"/>
  <c r="AE640" i="21"/>
  <c r="AB640" i="21"/>
  <c r="AC640" i="21" s="1"/>
  <c r="AJ694" i="21"/>
  <c r="AK694" i="21" s="1"/>
  <c r="AH694" i="21"/>
  <c r="AI694" i="21" s="1"/>
  <c r="D775" i="21"/>
  <c r="E774" i="21"/>
  <c r="AX774" i="21" s="1"/>
  <c r="U25" i="21"/>
  <c r="AM44" i="21"/>
  <c r="AN46" i="21"/>
  <c r="AI47" i="21"/>
  <c r="AN45" i="21"/>
  <c r="AM45" i="21"/>
  <c r="AH58" i="21"/>
  <c r="AH105" i="21"/>
  <c r="AH109" i="21"/>
  <c r="AF197" i="21"/>
  <c r="V197" i="21" s="1"/>
  <c r="AF240" i="21"/>
  <c r="AE628" i="21"/>
  <c r="AJ631" i="21"/>
  <c r="AK631" i="21" s="1"/>
  <c r="AJ635" i="21"/>
  <c r="AK635" i="21" s="1"/>
  <c r="E536" i="21"/>
  <c r="F535" i="21"/>
  <c r="AJ639" i="21"/>
  <c r="AK639" i="21" s="1"/>
  <c r="AD751" i="21"/>
  <c r="AE751" i="21" s="1"/>
  <c r="AB751" i="21"/>
  <c r="AC751" i="21" s="1"/>
  <c r="AI58" i="21"/>
  <c r="AJ58" i="21"/>
  <c r="E455" i="21"/>
  <c r="D455" i="21"/>
  <c r="AG545" i="21"/>
  <c r="AH44" i="21"/>
  <c r="E119" i="21"/>
  <c r="AF121" i="21"/>
  <c r="AO20" i="21"/>
  <c r="AI30" i="21"/>
  <c r="BG27" i="21" s="1"/>
  <c r="AG58" i="21"/>
  <c r="AJ79" i="21"/>
  <c r="AI79" i="21"/>
  <c r="AG79" i="21"/>
  <c r="R80" i="21" s="1"/>
  <c r="T80" i="21" s="1"/>
  <c r="AF81" i="21"/>
  <c r="V81" i="21" s="1"/>
  <c r="AN91" i="21"/>
  <c r="AM91" i="21"/>
  <c r="AO91" i="21" s="1"/>
  <c r="AG93" i="21"/>
  <c r="R92" i="21" s="1"/>
  <c r="T92" i="21" s="1"/>
  <c r="AF109" i="21"/>
  <c r="AY119" i="21"/>
  <c r="J171" i="21"/>
  <c r="I171" i="21"/>
  <c r="AJ190" i="21"/>
  <c r="BK187" i="21" s="1"/>
  <c r="AJ188" i="21"/>
  <c r="AI190" i="21"/>
  <c r="BG187" i="21" s="1"/>
  <c r="AI188" i="21"/>
  <c r="AB193" i="21"/>
  <c r="AJ193" i="21"/>
  <c r="AI197" i="21"/>
  <c r="AE457" i="21"/>
  <c r="AF457" i="21" s="1"/>
  <c r="AC457" i="21"/>
  <c r="AD457" i="21" s="1"/>
  <c r="BA463" i="21"/>
  <c r="BB463" i="21" s="1"/>
  <c r="H464" i="21"/>
  <c r="H463" i="21" s="1"/>
  <c r="AO52" i="21"/>
  <c r="AQ52" i="21"/>
  <c r="AI81" i="21"/>
  <c r="AF87" i="21"/>
  <c r="AJ97" i="21"/>
  <c r="AH97" i="21"/>
  <c r="BE95" i="21"/>
  <c r="AI109" i="21"/>
  <c r="E146" i="21"/>
  <c r="AX146" i="21" s="1"/>
  <c r="D152" i="21"/>
  <c r="AM197" i="21"/>
  <c r="AO197" i="21" s="1"/>
  <c r="H292" i="21"/>
  <c r="AK629" i="21"/>
  <c r="AK630" i="21"/>
  <c r="AQ547" i="21"/>
  <c r="G544" i="21" s="1"/>
  <c r="BA544" i="21" s="1"/>
  <c r="BB544" i="21" s="1"/>
  <c r="AO547" i="21"/>
  <c r="AP547" i="21" s="1"/>
  <c r="AJ36" i="21"/>
  <c r="AJ38" i="21"/>
  <c r="BK35" i="21" s="1"/>
  <c r="AN79" i="21"/>
  <c r="AI85" i="21"/>
  <c r="H232" i="21"/>
  <c r="AJ237" i="21"/>
  <c r="AK237" i="21"/>
  <c r="AI237" i="21"/>
  <c r="AJ284" i="21"/>
  <c r="R285" i="21"/>
  <c r="T285" i="21" s="1"/>
  <c r="Y104" i="21"/>
  <c r="Z104" i="21" s="1"/>
  <c r="AN103" i="21"/>
  <c r="BP187" i="21"/>
  <c r="AH578" i="21"/>
  <c r="AF578" i="21"/>
  <c r="Y587" i="21"/>
  <c r="Z587" i="21" s="1"/>
  <c r="AN586" i="21"/>
  <c r="AG590" i="21"/>
  <c r="AI610" i="21"/>
  <c r="AJ610" i="21"/>
  <c r="AK610" i="21"/>
  <c r="AG610" i="21"/>
  <c r="R610" i="21" s="1"/>
  <c r="T610" i="21" s="1"/>
  <c r="AF610" i="21"/>
  <c r="AN25" i="21"/>
  <c r="AM23" i="21"/>
  <c r="AH74" i="21"/>
  <c r="AN75" i="21"/>
  <c r="AI74" i="21"/>
  <c r="AK109" i="21"/>
  <c r="Y362" i="21"/>
  <c r="AH364" i="21"/>
  <c r="AF36" i="21"/>
  <c r="AF79" i="21"/>
  <c r="AH85" i="21"/>
  <c r="F122" i="21"/>
  <c r="H122" i="21" s="1"/>
  <c r="AM198" i="21"/>
  <c r="AO198" i="21" s="1"/>
  <c r="J422" i="21"/>
  <c r="P422" i="21" s="1"/>
  <c r="I422" i="21" s="1"/>
  <c r="P421" i="21"/>
  <c r="I421" i="21" s="1"/>
  <c r="J423" i="21"/>
  <c r="P423" i="21" s="1"/>
  <c r="I423" i="21" s="1"/>
  <c r="D613" i="21"/>
  <c r="H612" i="21" s="1"/>
  <c r="AN23" i="21"/>
  <c r="AM33" i="21"/>
  <c r="AQ33" i="21" s="1"/>
  <c r="AN32" i="21"/>
  <c r="AM32" i="21"/>
  <c r="AI33" i="21"/>
  <c r="AK79" i="21"/>
  <c r="AM610" i="21"/>
  <c r="AO610" i="21" s="1"/>
  <c r="AH613" i="21"/>
  <c r="AG613" i="21"/>
  <c r="Y611" i="21"/>
  <c r="Z611" i="21" s="1"/>
  <c r="AN610" i="21"/>
  <c r="AJ731" i="21"/>
  <c r="AK731" i="21" s="1"/>
  <c r="AH731" i="21"/>
  <c r="AI731" i="21" s="1"/>
  <c r="D733" i="21"/>
  <c r="E733" i="21"/>
  <c r="AD25" i="21"/>
  <c r="R21" i="21" s="1"/>
  <c r="T21" i="21" s="1"/>
  <c r="AR20" i="21"/>
  <c r="AN22" i="21"/>
  <c r="R22" i="21"/>
  <c r="T22" i="21" s="1"/>
  <c r="AB33" i="21"/>
  <c r="AI36" i="21"/>
  <c r="AG47" i="21"/>
  <c r="R47" i="21" s="1"/>
  <c r="T47" i="21" s="1"/>
  <c r="AF74" i="21"/>
  <c r="AM79" i="21"/>
  <c r="AO79" i="21" s="1"/>
  <c r="AG85" i="21"/>
  <c r="AH91" i="21"/>
  <c r="AK97" i="21"/>
  <c r="AM223" i="21"/>
  <c r="AO223" i="21" s="1"/>
  <c r="AP223" i="21" s="1"/>
  <c r="D235" i="21"/>
  <c r="AY235" i="21" s="1"/>
  <c r="AC237" i="21"/>
  <c r="AH237" i="21" s="1"/>
  <c r="AF25" i="21"/>
  <c r="V25" i="21" s="1"/>
  <c r="AJ91" i="21"/>
  <c r="AM97" i="21"/>
  <c r="AO97" i="21" s="1"/>
  <c r="E151" i="21"/>
  <c r="AX151" i="21" s="1"/>
  <c r="AG25" i="21"/>
  <c r="R25" i="21" s="1"/>
  <c r="T25" i="21" s="1"/>
  <c r="AR28" i="21"/>
  <c r="AK36" i="21"/>
  <c r="AM38" i="21"/>
  <c r="H54" i="21"/>
  <c r="AJ74" i="21"/>
  <c r="AK85" i="21"/>
  <c r="Y85" i="21" s="1"/>
  <c r="AV84" i="21" s="1"/>
  <c r="AK91" i="21"/>
  <c r="AN97" i="21"/>
  <c r="F104" i="21"/>
  <c r="Y122" i="21"/>
  <c r="Z122" i="21" s="1"/>
  <c r="AN121" i="21"/>
  <c r="AM121" i="21"/>
  <c r="AO121" i="21" s="1"/>
  <c r="AH129" i="21"/>
  <c r="AG129" i="21"/>
  <c r="R128" i="21" s="1"/>
  <c r="T128" i="21" s="1"/>
  <c r="AC422" i="21"/>
  <c r="AD422" i="21" s="1"/>
  <c r="AE446" i="21"/>
  <c r="AF446" i="21" s="1"/>
  <c r="AG602" i="21"/>
  <c r="BE600" i="21"/>
  <c r="AK602" i="21"/>
  <c r="Y602" i="21" s="1"/>
  <c r="AF602" i="21"/>
  <c r="AI602" i="21"/>
  <c r="AJ712" i="21"/>
  <c r="AK712" i="21" s="1"/>
  <c r="AH712" i="21"/>
  <c r="AI712" i="21" s="1"/>
  <c r="R189" i="21"/>
  <c r="AG237" i="21"/>
  <c r="R237" i="21" s="1"/>
  <c r="T237" i="21" s="1"/>
  <c r="F263" i="21"/>
  <c r="G262" i="21"/>
  <c r="BA262" i="21" s="1"/>
  <c r="BB262" i="21" s="1"/>
  <c r="AN286" i="21"/>
  <c r="AP286" i="21" s="1"/>
  <c r="AL440" i="21"/>
  <c r="AL441" i="21"/>
  <c r="X445" i="21"/>
  <c r="AI446" i="21"/>
  <c r="AJ446" i="21" s="1"/>
  <c r="AK446" i="21"/>
  <c r="AL446" i="21" s="1"/>
  <c r="G534" i="21"/>
  <c r="BA534" i="21" s="1"/>
  <c r="BB534" i="21" s="1"/>
  <c r="AM586" i="21"/>
  <c r="AO586" i="21" s="1"/>
  <c r="Y595" i="21"/>
  <c r="R595" i="21" s="1"/>
  <c r="T595" i="21" s="1"/>
  <c r="AM594" i="21"/>
  <c r="AO594" i="21" s="1"/>
  <c r="AN594" i="21"/>
  <c r="AH598" i="21"/>
  <c r="BE608" i="21"/>
  <c r="AF20" i="21"/>
  <c r="AF22" i="21"/>
  <c r="AM24" i="21"/>
  <c r="AI25" i="21"/>
  <c r="AG33" i="21"/>
  <c r="R33" i="21" s="1"/>
  <c r="T33" i="21" s="1"/>
  <c r="AM53" i="21"/>
  <c r="AO53" i="21" s="1"/>
  <c r="AP53" i="21" s="1"/>
  <c r="AG54" i="21"/>
  <c r="R54" i="21" s="1"/>
  <c r="T54" i="21" s="1"/>
  <c r="AI69" i="21"/>
  <c r="AP69" i="21"/>
  <c r="AK69" i="21"/>
  <c r="Y70" i="21" s="1"/>
  <c r="Z70" i="21" s="1"/>
  <c r="AG69" i="21"/>
  <c r="R70" i="21" s="1"/>
  <c r="T70" i="21" s="1"/>
  <c r="AN80" i="21"/>
  <c r="AY83" i="21"/>
  <c r="AN85" i="21"/>
  <c r="J104" i="21"/>
  <c r="AG111" i="21"/>
  <c r="R110" i="21" s="1"/>
  <c r="T110" i="21" s="1"/>
  <c r="Y110" i="21"/>
  <c r="Z110" i="21" s="1"/>
  <c r="AN109" i="21"/>
  <c r="AK115" i="21"/>
  <c r="AI115" i="21" s="1"/>
  <c r="AJ115" i="21"/>
  <c r="BE113" i="21"/>
  <c r="AG115" i="21"/>
  <c r="R115" i="21" s="1"/>
  <c r="T115" i="21" s="1"/>
  <c r="AG123" i="21"/>
  <c r="R122" i="21" s="1"/>
  <c r="T122" i="21" s="1"/>
  <c r="BB164" i="21"/>
  <c r="I170" i="21"/>
  <c r="R182" i="21"/>
  <c r="T182" i="21" s="1"/>
  <c r="AJ185" i="21"/>
  <c r="E339" i="21"/>
  <c r="E338" i="21"/>
  <c r="G337" i="21"/>
  <c r="BA337" i="21" s="1"/>
  <c r="BB337" i="21" s="1"/>
  <c r="AG387" i="21"/>
  <c r="R388" i="21" s="1"/>
  <c r="T388" i="21" s="1"/>
  <c r="AI387" i="21"/>
  <c r="BB401" i="21"/>
  <c r="Z421" i="21"/>
  <c r="Z429" i="21"/>
  <c r="AC432" i="21"/>
  <c r="AD432" i="21" s="1"/>
  <c r="AE432" i="21"/>
  <c r="AF432" i="21" s="1"/>
  <c r="AF438" i="21"/>
  <c r="AE449" i="21"/>
  <c r="AF449" i="21" s="1"/>
  <c r="AC449" i="21"/>
  <c r="AD449" i="21" s="1"/>
  <c r="BB475" i="21"/>
  <c r="D589" i="21"/>
  <c r="H588" i="21" s="1"/>
  <c r="AY584" i="21"/>
  <c r="AJ708" i="21"/>
  <c r="AK708" i="21" s="1"/>
  <c r="AH708" i="21"/>
  <c r="AI708" i="21" s="1"/>
  <c r="AN192" i="21"/>
  <c r="AP192" i="21" s="1"/>
  <c r="AN193" i="21"/>
  <c r="AP193" i="21" s="1"/>
  <c r="AH28" i="21"/>
  <c r="AA59" i="21"/>
  <c r="AM103" i="21"/>
  <c r="AO103" i="21" s="1"/>
  <c r="AF188" i="21"/>
  <c r="AN198" i="21"/>
  <c r="Y219" i="21"/>
  <c r="AM218" i="21"/>
  <c r="AO218" i="21" s="1"/>
  <c r="AP218" i="21" s="1"/>
  <c r="AG220" i="21"/>
  <c r="R219" i="21" s="1"/>
  <c r="T219" i="21" s="1"/>
  <c r="AF364" i="21"/>
  <c r="E420" i="21"/>
  <c r="D420" i="21"/>
  <c r="BP544" i="21"/>
  <c r="AH25" i="21"/>
  <c r="AF33" i="21"/>
  <c r="V33" i="21" s="1"/>
  <c r="AM36" i="21"/>
  <c r="AK74" i="21"/>
  <c r="AM80" i="21"/>
  <c r="AO80" i="21" s="1"/>
  <c r="AM85" i="21"/>
  <c r="AO85" i="21" s="1"/>
  <c r="AN24" i="21"/>
  <c r="AH30" i="21"/>
  <c r="BJ27" i="21" s="1"/>
  <c r="AH33" i="21"/>
  <c r="AM46" i="21"/>
  <c r="AQ46" i="21" s="1"/>
  <c r="AJ127" i="21"/>
  <c r="AI127" i="21"/>
  <c r="AG127" i="21"/>
  <c r="R127" i="21" s="1"/>
  <c r="T127" i="21" s="1"/>
  <c r="Y238" i="21"/>
  <c r="Z238" i="21" s="1"/>
  <c r="J354" i="21"/>
  <c r="G353" i="21"/>
  <c r="BA353" i="21" s="1"/>
  <c r="BB353" i="21" s="1"/>
  <c r="H354" i="21"/>
  <c r="H353" i="21" s="1"/>
  <c r="AF437" i="21"/>
  <c r="Y448" i="21"/>
  <c r="Z448" i="21" s="1"/>
  <c r="W448" i="21"/>
  <c r="X448" i="21" s="1"/>
  <c r="W743" i="21"/>
  <c r="G277" i="21"/>
  <c r="BA277" i="21" s="1"/>
  <c r="BB277" i="21" s="1"/>
  <c r="E279" i="21"/>
  <c r="H278" i="21" s="1"/>
  <c r="H277" i="21" s="1"/>
  <c r="AG284" i="21"/>
  <c r="H348" i="21"/>
  <c r="G347" i="21"/>
  <c r="BA347" i="21" s="1"/>
  <c r="BB347" i="21" s="1"/>
  <c r="AE414" i="21"/>
  <c r="AF414" i="21" s="1"/>
  <c r="AC414" i="21"/>
  <c r="AD414" i="21" s="1"/>
  <c r="AF428" i="21"/>
  <c r="AL431" i="21"/>
  <c r="V710" i="21"/>
  <c r="W710" i="21" s="1"/>
  <c r="X710" i="21"/>
  <c r="Y710" i="21" s="1"/>
  <c r="J694" i="21"/>
  <c r="N694" i="21" s="1"/>
  <c r="I694" i="21" s="1"/>
  <c r="J693" i="21"/>
  <c r="N693" i="21" s="1"/>
  <c r="I693" i="21" s="1"/>
  <c r="N692" i="21"/>
  <c r="I692" i="21" s="1"/>
  <c r="X693" i="21"/>
  <c r="Y693" i="21" s="1"/>
  <c r="V693" i="21"/>
  <c r="W693" i="21" s="1"/>
  <c r="AJ707" i="21"/>
  <c r="AK707" i="21" s="1"/>
  <c r="AH707" i="21"/>
  <c r="AI707" i="21" s="1"/>
  <c r="X744" i="21"/>
  <c r="Y744" i="21" s="1"/>
  <c r="AP115" i="21"/>
  <c r="W116" i="21" s="1"/>
  <c r="AU217" i="21"/>
  <c r="AD218" i="21"/>
  <c r="AF237" i="21"/>
  <c r="J250" i="21"/>
  <c r="G247" i="21"/>
  <c r="BA247" i="21" s="1"/>
  <c r="BB247" i="21" s="1"/>
  <c r="AI389" i="21"/>
  <c r="AN387" i="21"/>
  <c r="AP387" i="21" s="1"/>
  <c r="AF418" i="21"/>
  <c r="AL450" i="21"/>
  <c r="AD455" i="21"/>
  <c r="BE584" i="21"/>
  <c r="AJ586" i="21"/>
  <c r="AC684" i="21"/>
  <c r="Y700" i="21"/>
  <c r="E741" i="21"/>
  <c r="D741" i="21"/>
  <c r="AF454" i="21"/>
  <c r="E691" i="21"/>
  <c r="D691" i="21"/>
  <c r="E699" i="21"/>
  <c r="AI719" i="21"/>
  <c r="AK735" i="21"/>
  <c r="AD742" i="21"/>
  <c r="AB742" i="21" s="1"/>
  <c r="AC742" i="21" s="1"/>
  <c r="Y743" i="21"/>
  <c r="AI545" i="21"/>
  <c r="AB548" i="21"/>
  <c r="AJ545" i="21"/>
  <c r="AM74" i="21"/>
  <c r="AO74" i="21" s="1"/>
  <c r="AP74" i="21" s="1"/>
  <c r="AG147" i="21"/>
  <c r="AF225" i="21"/>
  <c r="V225" i="21" s="1"/>
  <c r="W441" i="21"/>
  <c r="X441" i="21" s="1"/>
  <c r="AI454" i="21"/>
  <c r="AJ454" i="21" s="1"/>
  <c r="AK454" i="21"/>
  <c r="AL454" i="21" s="1"/>
  <c r="E502" i="21"/>
  <c r="AX502" i="21" s="1"/>
  <c r="U548" i="21"/>
  <c r="Z548" i="21"/>
  <c r="AG606" i="21"/>
  <c r="AN602" i="21"/>
  <c r="Y603" i="21"/>
  <c r="Z603" i="21" s="1"/>
  <c r="AM602" i="21"/>
  <c r="AO602" i="21" s="1"/>
  <c r="AD692" i="21"/>
  <c r="AE692" i="21" s="1"/>
  <c r="AB692" i="21"/>
  <c r="AC692" i="21" s="1"/>
  <c r="E751" i="21"/>
  <c r="D751" i="21"/>
  <c r="X758" i="21"/>
  <c r="V758" i="21" s="1"/>
  <c r="W758" i="21" s="1"/>
  <c r="Y52" i="21"/>
  <c r="AK419" i="21"/>
  <c r="AL419" i="21" s="1"/>
  <c r="AF97" i="21"/>
  <c r="AF127" i="21"/>
  <c r="AF233" i="21"/>
  <c r="I250" i="21"/>
  <c r="G295" i="21"/>
  <c r="BA295" i="21" s="1"/>
  <c r="BB295" i="21" s="1"/>
  <c r="H296" i="21"/>
  <c r="H295" i="21" s="1"/>
  <c r="AF387" i="21"/>
  <c r="AI448" i="21"/>
  <c r="AJ448" i="21" s="1"/>
  <c r="AK448" i="21"/>
  <c r="AL448" i="21" s="1"/>
  <c r="AF573" i="21"/>
  <c r="V573" i="21" s="1"/>
  <c r="AG582" i="21"/>
  <c r="Y579" i="21"/>
  <c r="Z579" i="21" s="1"/>
  <c r="AN578" i="21"/>
  <c r="AM578" i="21"/>
  <c r="AO578" i="21" s="1"/>
  <c r="AG586" i="21"/>
  <c r="AF606" i="21"/>
  <c r="AH606" i="21"/>
  <c r="AD709" i="21"/>
  <c r="AE709" i="21" s="1"/>
  <c r="AB709" i="21"/>
  <c r="AC709" i="21" s="1"/>
  <c r="Y721" i="21"/>
  <c r="W731" i="21"/>
  <c r="J245" i="21"/>
  <c r="I245" i="21"/>
  <c r="Z287" i="21"/>
  <c r="BB306" i="21"/>
  <c r="H363" i="21"/>
  <c r="R389" i="21"/>
  <c r="T389" i="21" s="1"/>
  <c r="Z432" i="21"/>
  <c r="AF440" i="21"/>
  <c r="AB628" i="21"/>
  <c r="AC628" i="21" s="1"/>
  <c r="AH717" i="21"/>
  <c r="AI717" i="21" s="1"/>
  <c r="AL458" i="21"/>
  <c r="BB529" i="21"/>
  <c r="AH610" i="21"/>
  <c r="Y716" i="21"/>
  <c r="W726" i="21"/>
  <c r="V753" i="21"/>
  <c r="W753" i="21" s="1"/>
  <c r="X753" i="21"/>
  <c r="Y753" i="21" s="1"/>
  <c r="G778" i="21"/>
  <c r="G774" i="21" s="1"/>
  <c r="H774" i="21" s="1"/>
  <c r="G757" i="21"/>
  <c r="BA757" i="21" s="1"/>
  <c r="BB757" i="21" s="1"/>
  <c r="F763" i="21"/>
  <c r="R181" i="21"/>
  <c r="AH233" i="21"/>
  <c r="AN230" i="21"/>
  <c r="F273" i="21"/>
  <c r="H273" i="21" s="1"/>
  <c r="H272" i="21" s="1"/>
  <c r="AC447" i="21"/>
  <c r="AE447" i="21"/>
  <c r="AF447" i="21" s="1"/>
  <c r="AH594" i="21"/>
  <c r="AB702" i="21"/>
  <c r="AC702" i="21" s="1"/>
  <c r="AE702" i="21"/>
  <c r="AE711" i="21"/>
  <c r="AD753" i="21"/>
  <c r="AE753" i="21" s="1"/>
  <c r="AB753" i="21"/>
  <c r="AC753" i="21" s="1"/>
  <c r="Y631" i="21"/>
  <c r="AJ711" i="21"/>
  <c r="AK711" i="21" s="1"/>
  <c r="AH711" i="21"/>
  <c r="AI711" i="21" s="1"/>
  <c r="AE726" i="21"/>
  <c r="AJ691" i="21"/>
  <c r="AK691" i="21" s="1"/>
  <c r="AH691" i="21"/>
  <c r="AI691" i="21" s="1"/>
  <c r="AB763" i="21"/>
  <c r="AC763" i="21" s="1"/>
  <c r="AD763" i="21"/>
  <c r="AE763" i="21" s="1"/>
  <c r="Z427" i="21"/>
  <c r="X699" i="21"/>
  <c r="Y699" i="21" s="1"/>
  <c r="G770" i="21"/>
  <c r="G766" i="21" s="1"/>
  <c r="H766" i="21" s="1"/>
  <c r="AL421" i="21"/>
  <c r="AL422" i="21"/>
  <c r="AJ429" i="21"/>
  <c r="AI636" i="21"/>
  <c r="Y644" i="21"/>
  <c r="V644" i="21" s="1"/>
  <c r="AJ710" i="21"/>
  <c r="AK710" i="21" s="1"/>
  <c r="AH710" i="21"/>
  <c r="AI710" i="21" s="1"/>
  <c r="E638" i="21"/>
  <c r="D638" i="21"/>
  <c r="BB678" i="21"/>
  <c r="X685" i="21"/>
  <c r="Y685" i="21" s="1"/>
  <c r="AH736" i="21"/>
  <c r="AI736" i="21" s="1"/>
  <c r="AJ736" i="21"/>
  <c r="AK736" i="21" s="1"/>
  <c r="AJ759" i="21"/>
  <c r="AK759" i="21" s="1"/>
  <c r="H306" i="21"/>
  <c r="H377" i="21"/>
  <c r="H376" i="21" s="1"/>
  <c r="Z420" i="21"/>
  <c r="AL427" i="21"/>
  <c r="X459" i="21"/>
  <c r="F778" i="21"/>
  <c r="E776" i="21" s="1"/>
  <c r="D759" i="21"/>
  <c r="AC689" i="21"/>
  <c r="W720" i="21"/>
  <c r="AK709" i="21"/>
  <c r="Y760" i="21"/>
  <c r="R644" i="21"/>
  <c r="T644" i="21" s="1"/>
  <c r="AF458" i="21"/>
  <c r="Y628" i="21"/>
  <c r="X719" i="21"/>
  <c r="Y719" i="21" s="1"/>
  <c r="AK721" i="21"/>
  <c r="AB744" i="21"/>
  <c r="AC744" i="21" s="1"/>
  <c r="AB761" i="21"/>
  <c r="AC761" i="21" s="1"/>
  <c r="X726" i="21"/>
  <c r="Y726" i="21" s="1"/>
  <c r="Y731" i="21"/>
  <c r="D744" i="21"/>
  <c r="W751" i="21"/>
  <c r="AC752" i="21"/>
  <c r="AK640" i="21"/>
  <c r="V684" i="21"/>
  <c r="W684" i="21" s="1"/>
  <c r="AB717" i="21"/>
  <c r="AC717" i="21" s="1"/>
  <c r="AK761" i="21"/>
  <c r="Y707" i="21"/>
  <c r="AK716" i="21"/>
  <c r="AH761" i="21"/>
  <c r="AI761" i="21" s="1"/>
  <c r="AB630" i="21"/>
  <c r="AC630" i="21" s="1"/>
  <c r="V707" i="21"/>
  <c r="W707" i="21" s="1"/>
  <c r="AH716" i="21"/>
  <c r="AI716" i="21" s="1"/>
  <c r="AH732" i="21"/>
  <c r="AI732" i="21" s="1"/>
  <c r="W709" i="21"/>
  <c r="AJ733" i="21"/>
  <c r="AK733" i="21" s="1"/>
  <c r="AI749" i="21"/>
  <c r="W763" i="21"/>
  <c r="J1" i="36"/>
  <c r="M3" i="35"/>
  <c r="M3" i="34"/>
  <c r="L1" i="34"/>
  <c r="F15" i="18"/>
  <c r="G15" i="18" s="1" a="1"/>
  <c r="L1" i="35"/>
  <c r="A1" i="35" s="1"/>
  <c r="B5" i="37"/>
  <c r="L43" i="21"/>
  <c r="AF445" i="21"/>
  <c r="AD735" i="21"/>
  <c r="AE735" i="21" s="1"/>
  <c r="AB735" i="21"/>
  <c r="AC735" i="21" s="1"/>
  <c r="D731" i="21"/>
  <c r="D689" i="21"/>
  <c r="AK436" i="21"/>
  <c r="AL436" i="21" s="1"/>
  <c r="W423" i="21"/>
  <c r="X423" i="21" s="1"/>
  <c r="AK438" i="21"/>
  <c r="AL438" i="21" s="1"/>
  <c r="AI456" i="21"/>
  <c r="AJ456" i="21" s="1"/>
  <c r="AK456" i="21"/>
  <c r="AL456" i="21" s="1"/>
  <c r="F700" i="21"/>
  <c r="AC450" i="21"/>
  <c r="AD450" i="21" s="1"/>
  <c r="AE450" i="21"/>
  <c r="AF450" i="21" s="1"/>
  <c r="AK457" i="21"/>
  <c r="AL457" i="21" s="1"/>
  <c r="AI457" i="21"/>
  <c r="AJ457" i="21" s="1"/>
  <c r="X754" i="21"/>
  <c r="Y754" i="21" s="1"/>
  <c r="V754" i="21"/>
  <c r="W754" i="21" s="1"/>
  <c r="X638" i="21"/>
  <c r="Y638" i="21" s="1"/>
  <c r="F751" i="21"/>
  <c r="X752" i="21"/>
  <c r="Y752" i="21" s="1"/>
  <c r="V752" i="21"/>
  <c r="W752" i="21" s="1"/>
  <c r="X418" i="21"/>
  <c r="X690" i="21"/>
  <c r="Y690" i="21" s="1"/>
  <c r="V690" i="21"/>
  <c r="W690" i="21" s="1"/>
  <c r="AS180" i="21"/>
  <c r="AR180" i="21"/>
  <c r="AI447" i="21"/>
  <c r="AJ447" i="21" s="1"/>
  <c r="AK447" i="21"/>
  <c r="AL447" i="21" s="1"/>
  <c r="AJ449" i="21"/>
  <c r="AD586" i="21"/>
  <c r="AU585" i="21"/>
  <c r="AF441" i="21"/>
  <c r="AC441" i="21"/>
  <c r="AD441" i="21" s="1"/>
  <c r="AD716" i="21"/>
  <c r="AE716" i="21" s="1"/>
  <c r="AB637" i="21"/>
  <c r="AC637" i="21" s="1"/>
  <c r="AC94" i="8"/>
  <c r="AG594" i="21"/>
  <c r="AD743" i="21"/>
  <c r="AE743" i="21" s="1"/>
  <c r="Y439" i="21"/>
  <c r="Z445" i="21"/>
  <c r="D447" i="21"/>
  <c r="D456" i="21"/>
  <c r="F419" i="21"/>
  <c r="AI422" i="21"/>
  <c r="AJ422" i="21" s="1"/>
  <c r="AJ718" i="21"/>
  <c r="AK718" i="21" s="1"/>
  <c r="AH718" i="21"/>
  <c r="AI718" i="21" s="1"/>
  <c r="F413" i="21"/>
  <c r="G412" i="21"/>
  <c r="BA412" i="21" s="1"/>
  <c r="BB412" i="21" s="1"/>
  <c r="Z438" i="21"/>
  <c r="AJ637" i="21"/>
  <c r="AK637" i="21" s="1"/>
  <c r="AD707" i="21"/>
  <c r="AE707" i="21" s="1"/>
  <c r="F432" i="21"/>
  <c r="AI437" i="21"/>
  <c r="AJ437" i="21" s="1"/>
  <c r="AD638" i="21"/>
  <c r="AE638" i="21" s="1"/>
  <c r="AD639" i="21"/>
  <c r="AE639" i="21" s="1"/>
  <c r="Y413" i="21"/>
  <c r="Z413" i="21" s="1"/>
  <c r="W413" i="21"/>
  <c r="X413" i="21" s="1"/>
  <c r="AU577" i="21"/>
  <c r="F702" i="21"/>
  <c r="F750" i="21"/>
  <c r="AK445" i="21"/>
  <c r="AL445" i="21" s="1"/>
  <c r="AI445" i="21"/>
  <c r="AJ445" i="21" s="1"/>
  <c r="AC421" i="21"/>
  <c r="AD421" i="21" s="1"/>
  <c r="G683" i="21"/>
  <c r="BA683" i="21" s="1"/>
  <c r="BB683" i="21" s="1"/>
  <c r="F684" i="21"/>
  <c r="Y414" i="21"/>
  <c r="Z414" i="21" s="1"/>
  <c r="AE455" i="21"/>
  <c r="AF455" i="21" s="1"/>
  <c r="X630" i="21"/>
  <c r="Y630" i="21" s="1"/>
  <c r="AD749" i="21"/>
  <c r="AE749" i="21" s="1"/>
  <c r="F420" i="21"/>
  <c r="AI441" i="21"/>
  <c r="AJ441" i="21" s="1"/>
  <c r="BO569" i="21"/>
  <c r="BP569" i="21" s="1"/>
  <c r="U573" i="21"/>
  <c r="AH626" i="21"/>
  <c r="AI626" i="21" s="1"/>
  <c r="V635" i="21"/>
  <c r="W635" i="21" s="1"/>
  <c r="F694" i="21"/>
  <c r="BO43" i="21"/>
  <c r="BP43" i="21" s="1"/>
  <c r="U47" i="21"/>
  <c r="AO21" i="21"/>
  <c r="Z47" i="21"/>
  <c r="AC419" i="21"/>
  <c r="AD419" i="21" s="1"/>
  <c r="F423" i="21"/>
  <c r="AC436" i="21"/>
  <c r="AD436" i="21" s="1"/>
  <c r="AI455" i="21"/>
  <c r="AJ455" i="21" s="1"/>
  <c r="AK455" i="21"/>
  <c r="AL455" i="21" s="1"/>
  <c r="V694" i="21"/>
  <c r="W694" i="21" s="1"/>
  <c r="X694" i="21"/>
  <c r="Y694" i="21" s="1"/>
  <c r="F708" i="21"/>
  <c r="G706" i="21"/>
  <c r="BA706" i="21" s="1"/>
  <c r="BB706" i="21" s="1"/>
  <c r="AJ726" i="21"/>
  <c r="AK726" i="21" s="1"/>
  <c r="AH726" i="21"/>
  <c r="AI726" i="21" s="1"/>
  <c r="AD627" i="21"/>
  <c r="AE627" i="21" s="1"/>
  <c r="V749" i="21"/>
  <c r="W749" i="21" s="1"/>
  <c r="I201" i="21"/>
  <c r="AI427" i="21"/>
  <c r="AJ427" i="21" s="1"/>
  <c r="AC428" i="21"/>
  <c r="AD428" i="21" s="1"/>
  <c r="W437" i="21"/>
  <c r="F438" i="21"/>
  <c r="AC440" i="21"/>
  <c r="AD440" i="21" s="1"/>
  <c r="W458" i="21"/>
  <c r="X458" i="21" s="1"/>
  <c r="AR570" i="21"/>
  <c r="AD573" i="21"/>
  <c r="R571" i="21" s="1"/>
  <c r="AD635" i="21"/>
  <c r="AE635" i="21" s="1"/>
  <c r="AE626" i="21"/>
  <c r="X736" i="21"/>
  <c r="Y736" i="21" s="1"/>
  <c r="V736" i="21"/>
  <c r="W736" i="21" s="1"/>
  <c r="AK439" i="21"/>
  <c r="AL439" i="21" s="1"/>
  <c r="F458" i="21"/>
  <c r="Z573" i="21"/>
  <c r="V628" i="21"/>
  <c r="W628" i="21" s="1"/>
  <c r="W454" i="21"/>
  <c r="X454" i="21" s="1"/>
  <c r="V631" i="21"/>
  <c r="W631" i="21" s="1"/>
  <c r="V637" i="21"/>
  <c r="W637" i="21" s="1"/>
  <c r="F639" i="21"/>
  <c r="V721" i="21"/>
  <c r="W721" i="21" s="1"/>
  <c r="Z418" i="21"/>
  <c r="X732" i="21"/>
  <c r="Y732" i="21" s="1"/>
  <c r="V732" i="21"/>
  <c r="W732" i="21" s="1"/>
  <c r="Z440" i="21"/>
  <c r="F454" i="21"/>
  <c r="AU84" i="21"/>
  <c r="AD85" i="21"/>
  <c r="AI413" i="21"/>
  <c r="AJ413" i="21" s="1"/>
  <c r="W420" i="21"/>
  <c r="X420" i="21" s="1"/>
  <c r="BO50" i="21"/>
  <c r="BP50" i="21" s="1"/>
  <c r="U54" i="21"/>
  <c r="Z54" i="21"/>
  <c r="AK429" i="21"/>
  <c r="AL429" i="21" s="1"/>
  <c r="F439" i="21"/>
  <c r="AC448" i="21"/>
  <c r="AD448" i="21" s="1"/>
  <c r="AE448" i="21"/>
  <c r="AF448" i="21" s="1"/>
  <c r="G453" i="21"/>
  <c r="BA453" i="21" s="1"/>
  <c r="BB453" i="21" s="1"/>
  <c r="AB693" i="21"/>
  <c r="AC693" i="21" s="1"/>
  <c r="AD693" i="21"/>
  <c r="AE693" i="21" s="1"/>
  <c r="AJ703" i="21"/>
  <c r="AK703" i="21" s="1"/>
  <c r="J181" i="8"/>
  <c r="J182" i="8"/>
  <c r="AJ693" i="21"/>
  <c r="AK693" i="21" s="1"/>
  <c r="AH693" i="21"/>
  <c r="AI693" i="21" s="1"/>
  <c r="V702" i="21"/>
  <c r="W702" i="21" s="1"/>
  <c r="X745" i="21"/>
  <c r="Y745" i="21" s="1"/>
  <c r="AJ752" i="21"/>
  <c r="AK752" i="21" s="1"/>
  <c r="AH752" i="21"/>
  <c r="AI752" i="21" s="1"/>
  <c r="X636" i="21"/>
  <c r="Y636" i="21" s="1"/>
  <c r="AE689" i="21"/>
  <c r="AD454" i="21"/>
  <c r="X629" i="21"/>
  <c r="Y629" i="21" s="1"/>
  <c r="E655" i="21"/>
  <c r="H654" i="21" s="1"/>
  <c r="H653" i="21" s="1"/>
  <c r="G653" i="21"/>
  <c r="BA653" i="21" s="1"/>
  <c r="BB653" i="21" s="1"/>
  <c r="AS188" i="21"/>
  <c r="AC420" i="21"/>
  <c r="AD420" i="21" s="1"/>
  <c r="W429" i="21"/>
  <c r="X429" i="21" s="1"/>
  <c r="AC430" i="21"/>
  <c r="AD430" i="21" s="1"/>
  <c r="W432" i="21"/>
  <c r="X432" i="21" s="1"/>
  <c r="AK627" i="21"/>
  <c r="F717" i="21"/>
  <c r="AH700" i="21"/>
  <c r="AI700" i="21" s="1"/>
  <c r="AC92" i="8"/>
  <c r="AG218" i="21"/>
  <c r="AG97" i="21"/>
  <c r="R97" i="21" s="1"/>
  <c r="T97" i="21" s="1"/>
  <c r="AO22" i="21"/>
  <c r="AI421" i="21"/>
  <c r="AJ421" i="21" s="1"/>
  <c r="Y422" i="21"/>
  <c r="Z422" i="21" s="1"/>
  <c r="AI428" i="21"/>
  <c r="AJ428" i="21" s="1"/>
  <c r="AI431" i="21"/>
  <c r="AJ431" i="21" s="1"/>
  <c r="G444" i="21"/>
  <c r="BA444" i="21" s="1"/>
  <c r="BB444" i="21" s="1"/>
  <c r="AI450" i="21"/>
  <c r="AJ450" i="21" s="1"/>
  <c r="Y459" i="21"/>
  <c r="Z459" i="21" s="1"/>
  <c r="V626" i="21"/>
  <c r="W626" i="21" s="1"/>
  <c r="AH689" i="21"/>
  <c r="AI689" i="21" s="1"/>
  <c r="AC690" i="21"/>
  <c r="F698" i="21"/>
  <c r="V691" i="21"/>
  <c r="W691" i="21" s="1"/>
  <c r="X691" i="21"/>
  <c r="Y691" i="21" s="1"/>
  <c r="AJ701" i="21"/>
  <c r="AK701" i="21" s="1"/>
  <c r="AD734" i="21"/>
  <c r="AE734" i="21" s="1"/>
  <c r="AB734" i="21"/>
  <c r="AC734" i="21" s="1"/>
  <c r="X741" i="21"/>
  <c r="Y741" i="21" s="1"/>
  <c r="F743" i="21"/>
  <c r="AJ744" i="21"/>
  <c r="AK744" i="21" s="1"/>
  <c r="AG121" i="21"/>
  <c r="AE459" i="21"/>
  <c r="AF459" i="21" s="1"/>
  <c r="AC459" i="21"/>
  <c r="AD459" i="21" s="1"/>
  <c r="AG91" i="21"/>
  <c r="R91" i="21" s="1"/>
  <c r="T91" i="21" s="1"/>
  <c r="AD548" i="21"/>
  <c r="R546" i="21" s="1"/>
  <c r="AS545" i="21"/>
  <c r="AR545" i="21"/>
  <c r="AH628" i="21"/>
  <c r="AI628" i="21" s="1"/>
  <c r="AB629" i="21"/>
  <c r="AC629" i="21" s="1"/>
  <c r="AD690" i="21"/>
  <c r="AE690" i="21" s="1"/>
  <c r="X692" i="21"/>
  <c r="Y692" i="21" s="1"/>
  <c r="V692" i="21"/>
  <c r="W692" i="21" s="1"/>
  <c r="F718" i="21"/>
  <c r="AB740" i="21"/>
  <c r="AC740" i="21" s="1"/>
  <c r="AC745" i="21"/>
  <c r="AH751" i="21"/>
  <c r="AI751" i="21" s="1"/>
  <c r="AB759" i="21"/>
  <c r="AC759" i="21" s="1"/>
  <c r="V762" i="21"/>
  <c r="W762" i="21" s="1"/>
  <c r="X762" i="21"/>
  <c r="Y762" i="21" s="1"/>
  <c r="AJ699" i="21"/>
  <c r="AK699" i="21" s="1"/>
  <c r="F727" i="21"/>
  <c r="D717" i="21"/>
  <c r="D708" i="21"/>
  <c r="D750" i="21"/>
  <c r="AG212" i="21"/>
  <c r="R212" i="21" s="1"/>
  <c r="T212" i="21" s="1"/>
  <c r="AC456" i="21"/>
  <c r="AD456" i="21" s="1"/>
  <c r="V627" i="21"/>
  <c r="W627" i="21" s="1"/>
  <c r="AJ690" i="21"/>
  <c r="AK690" i="21" s="1"/>
  <c r="AH690" i="21"/>
  <c r="AI690" i="21" s="1"/>
  <c r="V698" i="21"/>
  <c r="W698" i="21" s="1"/>
  <c r="Y703" i="21"/>
  <c r="AH734" i="21"/>
  <c r="AI734" i="21" s="1"/>
  <c r="AJ734" i="21"/>
  <c r="AK734" i="21" s="1"/>
  <c r="X740" i="21"/>
  <c r="Y740" i="21" s="1"/>
  <c r="AE717" i="21"/>
  <c r="V708" i="21"/>
  <c r="W708" i="21" s="1"/>
  <c r="AD712" i="21"/>
  <c r="AE712" i="21" s="1"/>
  <c r="AB712" i="21"/>
  <c r="AC712" i="21" s="1"/>
  <c r="F721" i="21"/>
  <c r="AE727" i="21"/>
  <c r="X639" i="21"/>
  <c r="Y639" i="21" s="1"/>
  <c r="AD736" i="21"/>
  <c r="AE736" i="21" s="1"/>
  <c r="AB736" i="21"/>
  <c r="AC736" i="21" s="1"/>
  <c r="AK741" i="21"/>
  <c r="AD762" i="21"/>
  <c r="AE762" i="21" s="1"/>
  <c r="AB762" i="21"/>
  <c r="AC762" i="21" s="1"/>
  <c r="AE636" i="21"/>
  <c r="AH638" i="21"/>
  <c r="AI638" i="21" s="1"/>
  <c r="AD699" i="21"/>
  <c r="AE699" i="21" s="1"/>
  <c r="V700" i="21"/>
  <c r="W700" i="21" s="1"/>
  <c r="AH702" i="21"/>
  <c r="AI702" i="21" s="1"/>
  <c r="AB727" i="21"/>
  <c r="AC727" i="21" s="1"/>
  <c r="AH742" i="21"/>
  <c r="AI742" i="21" s="1"/>
  <c r="AE754" i="21"/>
  <c r="AJ720" i="21"/>
  <c r="AK720" i="21" s="1"/>
  <c r="AH720" i="21"/>
  <c r="AI720" i="21" s="1"/>
  <c r="F712" i="21"/>
  <c r="AB698" i="21"/>
  <c r="AC698" i="21" s="1"/>
  <c r="X711" i="21"/>
  <c r="Y711" i="21" s="1"/>
  <c r="V711" i="21"/>
  <c r="W711" i="21" s="1"/>
  <c r="G715" i="21"/>
  <c r="BA715" i="21" s="1"/>
  <c r="BB715" i="21" s="1"/>
  <c r="V718" i="21"/>
  <c r="W718" i="21" s="1"/>
  <c r="G725" i="21"/>
  <c r="BA725" i="21" s="1"/>
  <c r="BB725" i="21" s="1"/>
  <c r="V733" i="21"/>
  <c r="W733" i="21" s="1"/>
  <c r="AH740" i="21"/>
  <c r="AI740" i="21" s="1"/>
  <c r="AB750" i="21"/>
  <c r="AC750" i="21" s="1"/>
  <c r="AB694" i="21"/>
  <c r="AC694" i="21" s="1"/>
  <c r="AB700" i="21"/>
  <c r="AC700" i="21" s="1"/>
  <c r="AH709" i="21"/>
  <c r="AI709" i="21" s="1"/>
  <c r="AH721" i="21"/>
  <c r="AI721" i="21" s="1"/>
  <c r="AH727" i="21"/>
  <c r="AI727" i="21" s="1"/>
  <c r="F734" i="21"/>
  <c r="AD741" i="21"/>
  <c r="AE741" i="21" s="1"/>
  <c r="V742" i="21"/>
  <c r="W742" i="21" s="1"/>
  <c r="AJ743" i="21"/>
  <c r="AK743" i="21" s="1"/>
  <c r="AK745" i="21"/>
  <c r="G748" i="21"/>
  <c r="BA748" i="21" s="1"/>
  <c r="BB748" i="21" s="1"/>
  <c r="AJ763" i="21"/>
  <c r="AK763" i="21" s="1"/>
  <c r="AH763" i="21"/>
  <c r="AI763" i="21" s="1"/>
  <c r="AD710" i="21"/>
  <c r="AE710" i="21" s="1"/>
  <c r="V716" i="21"/>
  <c r="W716" i="21" s="1"/>
  <c r="AE698" i="21"/>
  <c r="AH741" i="21"/>
  <c r="AI741" i="21" s="1"/>
  <c r="AJ750" i="21"/>
  <c r="AK750" i="21" s="1"/>
  <c r="AH750" i="21"/>
  <c r="AI750" i="21" s="1"/>
  <c r="X761" i="21"/>
  <c r="Y761" i="21" s="1"/>
  <c r="V761" i="21"/>
  <c r="W761" i="21" s="1"/>
  <c r="F740" i="21"/>
  <c r="F709" i="21"/>
  <c r="AD758" i="21"/>
  <c r="AE758" i="21" s="1"/>
  <c r="Y689" i="21"/>
  <c r="V689" i="21"/>
  <c r="W689" i="21" s="1"/>
  <c r="AH698" i="21"/>
  <c r="AI698" i="21" s="1"/>
  <c r="AD703" i="21"/>
  <c r="AE703" i="21" s="1"/>
  <c r="X717" i="21"/>
  <c r="Y717" i="21" s="1"/>
  <c r="V717" i="21"/>
  <c r="W717" i="21" s="1"/>
  <c r="X727" i="21"/>
  <c r="Y727" i="21" s="1"/>
  <c r="V727" i="21"/>
  <c r="W727" i="21" s="1"/>
  <c r="AH760" i="21"/>
  <c r="AI760" i="21" s="1"/>
  <c r="E283" i="21"/>
  <c r="D184" i="21"/>
  <c r="C184" i="21" s="1"/>
  <c r="L19" i="21"/>
  <c r="E23" i="21"/>
  <c r="E24" i="21" s="1"/>
  <c r="L57" i="21"/>
  <c r="E46" i="21"/>
  <c r="F46" i="21" s="1"/>
  <c r="D192" i="21"/>
  <c r="C187" i="21" s="1"/>
  <c r="C192" i="21" s="1"/>
  <c r="L35" i="21"/>
  <c r="E35" i="21"/>
  <c r="C183" i="21"/>
  <c r="V66" i="21"/>
  <c r="Z66" i="21"/>
  <c r="U66" i="21"/>
  <c r="E27" i="21"/>
  <c r="L27" i="21"/>
  <c r="E15" i="18"/>
  <c r="A16" i="18" s="1"/>
  <c r="A10" i="35"/>
  <c r="C10" i="35"/>
  <c r="C3" i="18"/>
  <c r="C5" i="18" s="1"/>
  <c r="A5" i="37"/>
  <c r="A2" i="35"/>
  <c r="G435" i="21" l="1"/>
  <c r="BA435" i="21" s="1"/>
  <c r="BB435" i="21" s="1"/>
  <c r="F437" i="21"/>
  <c r="Z439" i="21"/>
  <c r="W439" i="21"/>
  <c r="X439" i="21" s="1"/>
  <c r="G15" i="18"/>
  <c r="AB703" i="21"/>
  <c r="AC703" i="21" s="1"/>
  <c r="AO572" i="21"/>
  <c r="AP572" i="21" s="1"/>
  <c r="Z103" i="21"/>
  <c r="S446" i="21"/>
  <c r="T446" i="21" s="1"/>
  <c r="AP230" i="21"/>
  <c r="AQ570" i="21"/>
  <c r="AQ546" i="21"/>
  <c r="U71" i="21"/>
  <c r="Y586" i="21"/>
  <c r="Y584" i="21" s="1"/>
  <c r="BL179" i="21"/>
  <c r="R594" i="21"/>
  <c r="T594" i="21" s="1"/>
  <c r="X437" i="21"/>
  <c r="U52" i="21"/>
  <c r="R708" i="21"/>
  <c r="S708" i="21" s="1"/>
  <c r="H708" i="21" s="1"/>
  <c r="AP80" i="21"/>
  <c r="Y224" i="21"/>
  <c r="AW223" i="21" s="1"/>
  <c r="AP602" i="21"/>
  <c r="W603" i="21" s="1"/>
  <c r="Y109" i="21"/>
  <c r="AW108" i="21" s="1"/>
  <c r="AH639" i="21"/>
  <c r="AI639" i="21" s="1"/>
  <c r="R685" i="21"/>
  <c r="S685" i="21" s="1"/>
  <c r="E685" i="21" s="1"/>
  <c r="H685" i="21" s="1"/>
  <c r="Y230" i="21"/>
  <c r="AW229" i="21" s="1"/>
  <c r="U103" i="21"/>
  <c r="AO571" i="21"/>
  <c r="AP571" i="21" s="1"/>
  <c r="AP85" i="21"/>
  <c r="W86" i="21" s="1"/>
  <c r="W362" i="21"/>
  <c r="P731" i="21"/>
  <c r="F731" i="21" s="1"/>
  <c r="R85" i="21"/>
  <c r="T85" i="21" s="1"/>
  <c r="P627" i="21"/>
  <c r="F627" i="21" s="1"/>
  <c r="AP127" i="21"/>
  <c r="W128" i="21" s="1"/>
  <c r="R121" i="21"/>
  <c r="T121" i="21" s="1"/>
  <c r="V103" i="21"/>
  <c r="Y127" i="21"/>
  <c r="AW126" i="21" s="1"/>
  <c r="S431" i="21"/>
  <c r="T431" i="21" s="1"/>
  <c r="H431" i="21" s="1"/>
  <c r="Y65" i="21"/>
  <c r="Y63" i="21" s="1"/>
  <c r="V71" i="21"/>
  <c r="AO31" i="21"/>
  <c r="AP31" i="21" s="1"/>
  <c r="Y361" i="21"/>
  <c r="AW360" i="21" s="1"/>
  <c r="AP52" i="21"/>
  <c r="W54" i="21" s="1"/>
  <c r="X54" i="21" s="1"/>
  <c r="H52" i="21" s="1"/>
  <c r="W76" i="21"/>
  <c r="V98" i="21"/>
  <c r="AP224" i="21"/>
  <c r="AP546" i="21"/>
  <c r="W548" i="21" s="1"/>
  <c r="X548" i="21" s="1"/>
  <c r="H546" i="21" s="1"/>
  <c r="H544" i="21" s="1"/>
  <c r="V231" i="21"/>
  <c r="AP388" i="21"/>
  <c r="W388" i="21" s="1"/>
  <c r="P741" i="21"/>
  <c r="F741" i="21" s="1"/>
  <c r="AH703" i="21"/>
  <c r="AI703" i="21" s="1"/>
  <c r="R703" i="21" s="1"/>
  <c r="S703" i="21" s="1"/>
  <c r="H703" i="21" s="1"/>
  <c r="Y212" i="21"/>
  <c r="V212" i="21" s="1"/>
  <c r="AP70" i="21"/>
  <c r="W70" i="21" s="1"/>
  <c r="Y101" i="21"/>
  <c r="G101" i="21" s="1"/>
  <c r="BA101" i="21" s="1"/>
  <c r="BB101" i="21" s="1"/>
  <c r="Y22" i="21"/>
  <c r="G19" i="21" s="1"/>
  <c r="V45" i="21"/>
  <c r="R602" i="21"/>
  <c r="T602" i="21" s="1"/>
  <c r="AE742" i="21"/>
  <c r="W389" i="21"/>
  <c r="Y80" i="21"/>
  <c r="AW79" i="21" s="1"/>
  <c r="V362" i="21"/>
  <c r="AH743" i="21"/>
  <c r="AI743" i="21" s="1"/>
  <c r="V21" i="21"/>
  <c r="E516" i="21"/>
  <c r="H514" i="21" s="1"/>
  <c r="H513" i="21" s="1"/>
  <c r="U218" i="21"/>
  <c r="V128" i="21"/>
  <c r="Y285" i="21"/>
  <c r="Z285" i="21" s="1"/>
  <c r="Q418" i="21"/>
  <c r="F418" i="21" s="1"/>
  <c r="U121" i="21"/>
  <c r="H201" i="21"/>
  <c r="H200" i="21" s="1"/>
  <c r="R691" i="21"/>
  <c r="S691" i="21" s="1"/>
  <c r="H691" i="21" s="1"/>
  <c r="W225" i="21"/>
  <c r="AS51" i="21"/>
  <c r="R759" i="21"/>
  <c r="S759" i="21" s="1"/>
  <c r="H759" i="21" s="1"/>
  <c r="Z362" i="21"/>
  <c r="AH631" i="21"/>
  <c r="AI631" i="21" s="1"/>
  <c r="R631" i="21" s="1"/>
  <c r="S631" i="21" s="1"/>
  <c r="H631" i="21" s="1"/>
  <c r="BA517" i="21"/>
  <c r="BB517" i="21" s="1"/>
  <c r="Y758" i="21"/>
  <c r="U389" i="21"/>
  <c r="AD437" i="21"/>
  <c r="AP65" i="21"/>
  <c r="H535" i="21"/>
  <c r="H534" i="21" s="1"/>
  <c r="AO189" i="21"/>
  <c r="AP189" i="21" s="1"/>
  <c r="R587" i="21"/>
  <c r="T587" i="21" s="1"/>
  <c r="AG30" i="21"/>
  <c r="V649" i="21"/>
  <c r="H268" i="21"/>
  <c r="H267" i="21" s="1"/>
  <c r="S455" i="21"/>
  <c r="T455" i="21" s="1"/>
  <c r="H455" i="21" s="1"/>
  <c r="S441" i="21"/>
  <c r="T441" i="21" s="1"/>
  <c r="H441" i="21" s="1"/>
  <c r="BA19" i="21"/>
  <c r="BB19" i="21" s="1"/>
  <c r="Z21" i="21"/>
  <c r="U21" i="21"/>
  <c r="AS20" i="21"/>
  <c r="Y576" i="21"/>
  <c r="G576" i="21" s="1"/>
  <c r="BA576" i="21" s="1"/>
  <c r="BB576" i="21" s="1"/>
  <c r="Z578" i="21"/>
  <c r="S414" i="21"/>
  <c r="T414" i="21" s="1"/>
  <c r="E414" i="21" s="1"/>
  <c r="H414" i="21" s="1"/>
  <c r="V122" i="21"/>
  <c r="V579" i="21"/>
  <c r="R579" i="21"/>
  <c r="T579" i="21" s="1"/>
  <c r="H338" i="21"/>
  <c r="H337" i="21" s="1"/>
  <c r="BL27" i="21"/>
  <c r="BM27" i="21" s="1"/>
  <c r="H367" i="21"/>
  <c r="H366" i="21" s="1"/>
  <c r="R710" i="21"/>
  <c r="S710" i="21" s="1"/>
  <c r="H710" i="21" s="1"/>
  <c r="Y119" i="21"/>
  <c r="S457" i="21"/>
  <c r="T457" i="21" s="1"/>
  <c r="H457" i="21" s="1"/>
  <c r="Z121" i="21"/>
  <c r="Y237" i="21"/>
  <c r="U237" i="21" s="1"/>
  <c r="H347" i="21"/>
  <c r="Y75" i="21"/>
  <c r="AW74" i="21" s="1"/>
  <c r="R763" i="21"/>
  <c r="S763" i="21" s="1"/>
  <c r="H763" i="21" s="1"/>
  <c r="AH744" i="21"/>
  <c r="AI744" i="21" s="1"/>
  <c r="AH637" i="21"/>
  <c r="AI637" i="21" s="1"/>
  <c r="R637" i="21" s="1"/>
  <c r="S637" i="21" s="1"/>
  <c r="H637" i="21" s="1"/>
  <c r="AP79" i="21"/>
  <c r="W81" i="21" s="1"/>
  <c r="V121" i="21"/>
  <c r="Y594" i="21"/>
  <c r="U594" i="21" s="1"/>
  <c r="AP182" i="21"/>
  <c r="R218" i="21"/>
  <c r="T218" i="21" s="1"/>
  <c r="R733" i="21"/>
  <c r="S733" i="21" s="1"/>
  <c r="H733" i="21" s="1"/>
  <c r="BH187" i="21"/>
  <c r="G43" i="21"/>
  <c r="Y216" i="21"/>
  <c r="W216" i="21" s="1"/>
  <c r="H446" i="21"/>
  <c r="U81" i="21"/>
  <c r="AP212" i="21"/>
  <c r="W213" i="21" s="1"/>
  <c r="V578" i="21"/>
  <c r="S430" i="21"/>
  <c r="T430" i="21" s="1"/>
  <c r="H430" i="21" s="1"/>
  <c r="V213" i="21"/>
  <c r="AP198" i="21"/>
  <c r="AP75" i="21"/>
  <c r="AP237" i="21"/>
  <c r="W238" i="21" s="1"/>
  <c r="BA43" i="21"/>
  <c r="BB43" i="21" s="1"/>
  <c r="H290" i="21"/>
  <c r="R712" i="21"/>
  <c r="S712" i="21" s="1"/>
  <c r="H712" i="21" s="1"/>
  <c r="AQ198" i="21"/>
  <c r="G195" i="21" s="1"/>
  <c r="BA195" i="21" s="1"/>
  <c r="BB195" i="21" s="1"/>
  <c r="Z595" i="21"/>
  <c r="V238" i="21"/>
  <c r="V52" i="21"/>
  <c r="E383" i="21"/>
  <c r="H382" i="21" s="1"/>
  <c r="H381" i="21" s="1"/>
  <c r="R586" i="21"/>
  <c r="T586" i="21" s="1"/>
  <c r="U76" i="21"/>
  <c r="H170" i="21"/>
  <c r="H169" i="21" s="1"/>
  <c r="Z52" i="21"/>
  <c r="S449" i="21"/>
  <c r="T449" i="21" s="1"/>
  <c r="H449" i="21" s="1"/>
  <c r="Z218" i="21"/>
  <c r="S423" i="21"/>
  <c r="T423" i="21" s="1"/>
  <c r="H423" i="21" s="1"/>
  <c r="P699" i="21"/>
  <c r="G697" i="21" s="1"/>
  <c r="BA697" i="21" s="1"/>
  <c r="BB697" i="21" s="1"/>
  <c r="AX517" i="21"/>
  <c r="AP91" i="21"/>
  <c r="W92" i="21" s="1"/>
  <c r="X92" i="21" s="1"/>
  <c r="Y59" i="21"/>
  <c r="Y57" i="21" s="1"/>
  <c r="W71" i="21"/>
  <c r="U45" i="21"/>
  <c r="V218" i="21"/>
  <c r="S440" i="21"/>
  <c r="T440" i="21" s="1"/>
  <c r="H440" i="21" s="1"/>
  <c r="BA50" i="21"/>
  <c r="BB50" i="21" s="1"/>
  <c r="AI436" i="21"/>
  <c r="AJ436" i="21" s="1"/>
  <c r="S436" i="21" s="1"/>
  <c r="T436" i="21" s="1"/>
  <c r="H436" i="21" s="1"/>
  <c r="V104" i="21"/>
  <c r="R753" i="21"/>
  <c r="S753" i="21" s="1"/>
  <c r="H753" i="21" s="1"/>
  <c r="AQ181" i="21"/>
  <c r="AO181" i="21"/>
  <c r="AP181" i="21" s="1"/>
  <c r="U70" i="21"/>
  <c r="H243" i="21"/>
  <c r="H242" i="21" s="1"/>
  <c r="S428" i="21"/>
  <c r="T428" i="21" s="1"/>
  <c r="H428" i="21" s="1"/>
  <c r="S421" i="21"/>
  <c r="T421" i="21" s="1"/>
  <c r="H421" i="21" s="1"/>
  <c r="BH179" i="21"/>
  <c r="R684" i="21"/>
  <c r="S684" i="21" s="1"/>
  <c r="E684" i="21" s="1"/>
  <c r="H684" i="21" s="1"/>
  <c r="R731" i="21"/>
  <c r="V744" i="21"/>
  <c r="W744" i="21" s="1"/>
  <c r="Z33" i="21"/>
  <c r="S448" i="21"/>
  <c r="T448" i="21" s="1"/>
  <c r="H448" i="21" s="1"/>
  <c r="S419" i="21"/>
  <c r="T419" i="21" s="1"/>
  <c r="H419" i="21" s="1"/>
  <c r="Y50" i="21"/>
  <c r="T50" i="21" s="1"/>
  <c r="BS50" i="21" s="1"/>
  <c r="AO188" i="21"/>
  <c r="AP188" i="21" s="1"/>
  <c r="U578" i="21"/>
  <c r="G648" i="21"/>
  <c r="BA648" i="21" s="1"/>
  <c r="BB648" i="21" s="1"/>
  <c r="AV577" i="21"/>
  <c r="V388" i="21"/>
  <c r="Y68" i="21"/>
  <c r="T68" i="21" s="1"/>
  <c r="BS68" i="21" s="1"/>
  <c r="AP109" i="21"/>
  <c r="U649" i="21"/>
  <c r="V85" i="21"/>
  <c r="AW69" i="21"/>
  <c r="BO27" i="21"/>
  <c r="BP27" i="21" s="1"/>
  <c r="Q427" i="21"/>
  <c r="G426" i="21" s="1"/>
  <c r="BA426" i="21" s="1"/>
  <c r="BB426" i="21" s="1"/>
  <c r="R720" i="21"/>
  <c r="S720" i="21" s="1"/>
  <c r="H720" i="21" s="1"/>
  <c r="AO25" i="21"/>
  <c r="AP25" i="21" s="1"/>
  <c r="R736" i="21"/>
  <c r="S736" i="21" s="1"/>
  <c r="H736" i="21" s="1"/>
  <c r="AQ182" i="21"/>
  <c r="U586" i="21"/>
  <c r="AP121" i="21"/>
  <c r="W122" i="21" s="1"/>
  <c r="V86" i="21"/>
  <c r="R640" i="21"/>
  <c r="S640" i="21" s="1"/>
  <c r="H640" i="21" s="1"/>
  <c r="BA506" i="21"/>
  <c r="BB506" i="21" s="1"/>
  <c r="C504" i="21"/>
  <c r="AO190" i="21"/>
  <c r="AP190" i="21" s="1"/>
  <c r="X116" i="21"/>
  <c r="AP22" i="21"/>
  <c r="AQ37" i="21"/>
  <c r="U225" i="21"/>
  <c r="BH27" i="21"/>
  <c r="AB639" i="21"/>
  <c r="AC639" i="21" s="1"/>
  <c r="AI438" i="21"/>
  <c r="AJ438" i="21" s="1"/>
  <c r="S438" i="21" s="1"/>
  <c r="T438" i="21" s="1"/>
  <c r="H438" i="21" s="1"/>
  <c r="J143" i="21"/>
  <c r="H141" i="21" s="1"/>
  <c r="W219" i="21"/>
  <c r="H104" i="21"/>
  <c r="V595" i="21"/>
  <c r="AG38" i="21"/>
  <c r="R751" i="21"/>
  <c r="S751" i="21" s="1"/>
  <c r="H751" i="21" s="1"/>
  <c r="R693" i="21"/>
  <c r="S693" i="21" s="1"/>
  <c r="H693" i="21" s="1"/>
  <c r="S459" i="21"/>
  <c r="T459" i="21" s="1"/>
  <c r="H459" i="21" s="1"/>
  <c r="R719" i="21"/>
  <c r="S719" i="21" s="1"/>
  <c r="H719" i="21" s="1"/>
  <c r="BL19" i="21"/>
  <c r="BM19" i="21" s="1"/>
  <c r="R750" i="21"/>
  <c r="S750" i="21" s="1"/>
  <c r="H750" i="21" s="1"/>
  <c r="R626" i="21"/>
  <c r="S626" i="21" s="1"/>
  <c r="H626" i="21" s="1"/>
  <c r="H625" i="21" s="1"/>
  <c r="H316" i="21"/>
  <c r="AO180" i="21"/>
  <c r="AP180" i="21" s="1"/>
  <c r="AQ180" i="21"/>
  <c r="S432" i="21"/>
  <c r="T432" i="21" s="1"/>
  <c r="H432" i="21" s="1"/>
  <c r="P689" i="21"/>
  <c r="G688" i="21" s="1"/>
  <c r="BA688" i="21" s="1"/>
  <c r="BB688" i="21" s="1"/>
  <c r="S418" i="21"/>
  <c r="AO33" i="21"/>
  <c r="AP33" i="21" s="1"/>
  <c r="Y97" i="21"/>
  <c r="AW96" i="21" s="1"/>
  <c r="Y610" i="21"/>
  <c r="Z610" i="21" s="1"/>
  <c r="AP197" i="21"/>
  <c r="F481" i="21"/>
  <c r="G480" i="21"/>
  <c r="BA480" i="21" s="1"/>
  <c r="BB480" i="21" s="1"/>
  <c r="J134" i="21"/>
  <c r="H132" i="21" s="1"/>
  <c r="H131" i="21" s="1"/>
  <c r="G131" i="21"/>
  <c r="BA131" i="21" s="1"/>
  <c r="BB131" i="21" s="1"/>
  <c r="H248" i="21"/>
  <c r="H247" i="21" s="1"/>
  <c r="R611" i="21"/>
  <c r="T611" i="21" s="1"/>
  <c r="AO44" i="21"/>
  <c r="AP44" i="21" s="1"/>
  <c r="AQ44" i="21"/>
  <c r="U388" i="21"/>
  <c r="AD447" i="21"/>
  <c r="S447" i="21" s="1"/>
  <c r="T447" i="21" s="1"/>
  <c r="H447" i="21" s="1"/>
  <c r="V611" i="21"/>
  <c r="V587" i="21"/>
  <c r="V147" i="21"/>
  <c r="AO196" i="21"/>
  <c r="AP196" i="21" s="1"/>
  <c r="BH35" i="21"/>
  <c r="AO46" i="21"/>
  <c r="AP46" i="21" s="1"/>
  <c r="V638" i="21"/>
  <c r="W638" i="21" s="1"/>
  <c r="U644" i="21"/>
  <c r="G643" i="21"/>
  <c r="BA643" i="21" s="1"/>
  <c r="BB643" i="21" s="1"/>
  <c r="Z644" i="21"/>
  <c r="AQ24" i="21"/>
  <c r="AO24" i="21"/>
  <c r="AP24" i="21" s="1"/>
  <c r="AP586" i="21"/>
  <c r="W587" i="21" s="1"/>
  <c r="R735" i="21"/>
  <c r="S735" i="21" s="1"/>
  <c r="H735" i="21" s="1"/>
  <c r="AQ36" i="21"/>
  <c r="AO36" i="21"/>
  <c r="Y37" i="21"/>
  <c r="V219" i="21"/>
  <c r="AH699" i="21"/>
  <c r="AI699" i="21" s="1"/>
  <c r="V741" i="21"/>
  <c r="W741" i="21" s="1"/>
  <c r="AB749" i="21"/>
  <c r="AC749" i="21" s="1"/>
  <c r="R749" i="21" s="1"/>
  <c r="S749" i="21" s="1"/>
  <c r="H749" i="21" s="1"/>
  <c r="AQ197" i="21"/>
  <c r="R754" i="21"/>
  <c r="S754" i="21" s="1"/>
  <c r="H754" i="21" s="1"/>
  <c r="V603" i="21"/>
  <c r="AP97" i="21"/>
  <c r="W98" i="21" s="1"/>
  <c r="AO32" i="21"/>
  <c r="AP32" i="21" s="1"/>
  <c r="AQ32" i="21"/>
  <c r="X644" i="21"/>
  <c r="AI439" i="21"/>
  <c r="AJ439" i="21" s="1"/>
  <c r="S439" i="21" s="1"/>
  <c r="T439" i="21" s="1"/>
  <c r="H439" i="21" s="1"/>
  <c r="AQ53" i="21"/>
  <c r="G50" i="21" s="1"/>
  <c r="Z219" i="21"/>
  <c r="AO28" i="21"/>
  <c r="AP578" i="21"/>
  <c r="W579" i="21" s="1"/>
  <c r="AP103" i="21"/>
  <c r="W104" i="21" s="1"/>
  <c r="Y600" i="21"/>
  <c r="G600" i="21" s="1"/>
  <c r="BA600" i="21" s="1"/>
  <c r="BB600" i="21" s="1"/>
  <c r="Z602" i="21"/>
  <c r="AN29" i="21"/>
  <c r="AN28" i="21"/>
  <c r="BF27" i="21"/>
  <c r="R603" i="21"/>
  <c r="T603" i="21" s="1"/>
  <c r="S450" i="21"/>
  <c r="T450" i="21" s="1"/>
  <c r="H450" i="21" s="1"/>
  <c r="R762" i="21"/>
  <c r="S762" i="21" s="1"/>
  <c r="H762" i="21" s="1"/>
  <c r="AH701" i="21"/>
  <c r="AI701" i="21" s="1"/>
  <c r="R701" i="21" s="1"/>
  <c r="S701" i="21" s="1"/>
  <c r="H701" i="21" s="1"/>
  <c r="S420" i="21"/>
  <c r="T420" i="21" s="1"/>
  <c r="H420" i="21" s="1"/>
  <c r="R721" i="21"/>
  <c r="S721" i="21" s="1"/>
  <c r="H721" i="21" s="1"/>
  <c r="Y115" i="21"/>
  <c r="AW114" i="21" s="1"/>
  <c r="S422" i="21"/>
  <c r="T422" i="21" s="1"/>
  <c r="H422" i="21" s="1"/>
  <c r="X427" i="21"/>
  <c r="S427" i="21" s="1"/>
  <c r="Y30" i="21"/>
  <c r="U30" i="21" s="1"/>
  <c r="H263" i="21"/>
  <c r="H262" i="21" s="1"/>
  <c r="AP594" i="21"/>
  <c r="R700" i="21"/>
  <c r="S700" i="21" s="1"/>
  <c r="H700" i="21" s="1"/>
  <c r="AV601" i="21"/>
  <c r="R734" i="21"/>
  <c r="S734" i="21" s="1"/>
  <c r="H734" i="21" s="1"/>
  <c r="R709" i="21"/>
  <c r="S709" i="21" s="1"/>
  <c r="H709" i="21" s="1"/>
  <c r="R726" i="21"/>
  <c r="S726" i="21" s="1"/>
  <c r="E726" i="21" s="1"/>
  <c r="H726" i="21" s="1"/>
  <c r="S445" i="21"/>
  <c r="T445" i="21" s="1"/>
  <c r="H445" i="21" s="1"/>
  <c r="AB743" i="21"/>
  <c r="AC743" i="21" s="1"/>
  <c r="AQ23" i="21"/>
  <c r="AO23" i="21"/>
  <c r="AP23" i="21" s="1"/>
  <c r="BL35" i="21"/>
  <c r="BM35" i="21" s="1"/>
  <c r="AQ29" i="21"/>
  <c r="AO29" i="21"/>
  <c r="AP29" i="21" s="1"/>
  <c r="AS44" i="21"/>
  <c r="Y43" i="21"/>
  <c r="R692" i="21"/>
  <c r="S692" i="21" s="1"/>
  <c r="H692" i="21" s="1"/>
  <c r="R694" i="21"/>
  <c r="S694" i="21" s="1"/>
  <c r="H694" i="21" s="1"/>
  <c r="AO38" i="21"/>
  <c r="AP38" i="21" s="1"/>
  <c r="AQ38" i="21"/>
  <c r="AN21" i="21"/>
  <c r="AP21" i="21" s="1"/>
  <c r="AN20" i="21"/>
  <c r="AP20" i="21" s="1"/>
  <c r="BF19" i="21"/>
  <c r="BI19" i="21" s="1"/>
  <c r="Z388" i="21"/>
  <c r="AP610" i="21"/>
  <c r="U147" i="21"/>
  <c r="G146" i="21"/>
  <c r="BA146" i="21" s="1"/>
  <c r="BB146" i="21" s="1"/>
  <c r="Z147" i="21"/>
  <c r="Y386" i="21"/>
  <c r="T386" i="21" s="1"/>
  <c r="AQ30" i="21"/>
  <c r="AO30" i="21"/>
  <c r="AP30" i="21" s="1"/>
  <c r="V639" i="21"/>
  <c r="W639" i="21" s="1"/>
  <c r="Y91" i="21"/>
  <c r="U91" i="21" s="1"/>
  <c r="AH635" i="21"/>
  <c r="AI635" i="21" s="1"/>
  <c r="V602" i="21"/>
  <c r="R717" i="21"/>
  <c r="S717" i="21" s="1"/>
  <c r="H717" i="21" s="1"/>
  <c r="V740" i="21"/>
  <c r="W740" i="21" s="1"/>
  <c r="R740" i="21" s="1"/>
  <c r="S740" i="21" s="1"/>
  <c r="H740" i="21" s="1"/>
  <c r="H739" i="21" s="1"/>
  <c r="V636" i="21"/>
  <c r="W636" i="21" s="1"/>
  <c r="R636" i="21" s="1"/>
  <c r="V699" i="21"/>
  <c r="W699" i="21" s="1"/>
  <c r="BL187" i="21"/>
  <c r="AO45" i="21"/>
  <c r="AP45" i="21" s="1"/>
  <c r="AQ45" i="21"/>
  <c r="Y29" i="21"/>
  <c r="U602" i="21"/>
  <c r="V110" i="21"/>
  <c r="O6" i="36"/>
  <c r="V629" i="21"/>
  <c r="W629" i="21" s="1"/>
  <c r="R629" i="21" s="1"/>
  <c r="S629" i="21" s="1"/>
  <c r="H629" i="21" s="1"/>
  <c r="R718" i="21"/>
  <c r="S718" i="21" s="1"/>
  <c r="H718" i="21" s="1"/>
  <c r="AB638" i="21"/>
  <c r="AC638" i="21" s="1"/>
  <c r="AB758" i="21"/>
  <c r="AC758" i="21" s="1"/>
  <c r="R758" i="21" s="1"/>
  <c r="S758" i="21" s="1"/>
  <c r="H758" i="21" s="1"/>
  <c r="AB741" i="21"/>
  <c r="AC741" i="21" s="1"/>
  <c r="Y83" i="21"/>
  <c r="Z85" i="21"/>
  <c r="U85" i="21"/>
  <c r="S413" i="21"/>
  <c r="T413" i="21" s="1"/>
  <c r="E413" i="21" s="1"/>
  <c r="H413" i="21" s="1"/>
  <c r="W231" i="21"/>
  <c r="R689" i="21"/>
  <c r="R690" i="21"/>
  <c r="S690" i="21" s="1"/>
  <c r="H690" i="21" s="1"/>
  <c r="R742" i="21"/>
  <c r="S742" i="21" s="1"/>
  <c r="H742" i="21" s="1"/>
  <c r="P636" i="21"/>
  <c r="AB716" i="21"/>
  <c r="AC716" i="21" s="1"/>
  <c r="R716" i="21" s="1"/>
  <c r="S716" i="21" s="1"/>
  <c r="H716" i="21" s="1"/>
  <c r="R727" i="21"/>
  <c r="S727" i="21" s="1"/>
  <c r="E727" i="21" s="1"/>
  <c r="H727" i="21" s="1"/>
  <c r="AB699" i="21"/>
  <c r="AC699" i="21" s="1"/>
  <c r="V745" i="21"/>
  <c r="W745" i="21" s="1"/>
  <c r="R745" i="21" s="1"/>
  <c r="S745" i="21" s="1"/>
  <c r="H745" i="21" s="1"/>
  <c r="R752" i="21"/>
  <c r="S752" i="21" s="1"/>
  <c r="H752" i="21" s="1"/>
  <c r="R761" i="21"/>
  <c r="S761" i="21" s="1"/>
  <c r="H761" i="21" s="1"/>
  <c r="S458" i="21"/>
  <c r="T458" i="21" s="1"/>
  <c r="H458" i="21" s="1"/>
  <c r="V630" i="21"/>
  <c r="W630" i="21" s="1"/>
  <c r="R630" i="21" s="1"/>
  <c r="S630" i="21" s="1"/>
  <c r="H630" i="21" s="1"/>
  <c r="R732" i="21"/>
  <c r="S732" i="21" s="1"/>
  <c r="H732" i="21" s="1"/>
  <c r="R711" i="21"/>
  <c r="S711" i="21" s="1"/>
  <c r="H711" i="21" s="1"/>
  <c r="S429" i="21"/>
  <c r="T429" i="21" s="1"/>
  <c r="H429" i="21" s="1"/>
  <c r="R698" i="21"/>
  <c r="S698" i="21" s="1"/>
  <c r="H698" i="21" s="1"/>
  <c r="H697" i="21" s="1"/>
  <c r="S454" i="21"/>
  <c r="T454" i="21" s="1"/>
  <c r="H454" i="21" s="1"/>
  <c r="AB635" i="21"/>
  <c r="AC635" i="21" s="1"/>
  <c r="R628" i="21"/>
  <c r="S628" i="21" s="1"/>
  <c r="H628" i="21" s="1"/>
  <c r="R760" i="21"/>
  <c r="S760" i="21" s="1"/>
  <c r="H760" i="21" s="1"/>
  <c r="R702" i="21"/>
  <c r="S702" i="21" s="1"/>
  <c r="H702" i="21" s="1"/>
  <c r="AB627" i="21"/>
  <c r="AC627" i="21" s="1"/>
  <c r="R627" i="21" s="1"/>
  <c r="S456" i="21"/>
  <c r="T456" i="21" s="1"/>
  <c r="H456" i="21" s="1"/>
  <c r="AB707" i="21"/>
  <c r="AC707" i="21" s="1"/>
  <c r="R707" i="21" s="1"/>
  <c r="S707" i="21" s="1"/>
  <c r="H707" i="21" s="1"/>
  <c r="C191" i="21"/>
  <c r="AD191" i="21" s="1"/>
  <c r="Q5" i="34"/>
  <c r="N6" i="36"/>
  <c r="Q6" i="35"/>
  <c r="X66" i="21"/>
  <c r="AD183" i="21"/>
  <c r="AG182" i="21"/>
  <c r="AH182" i="21"/>
  <c r="BJ179" i="21" s="1"/>
  <c r="AE183" i="21"/>
  <c r="AH190" i="21"/>
  <c r="BJ187" i="21" s="1"/>
  <c r="AE191" i="21"/>
  <c r="X362" i="21" l="1"/>
  <c r="W573" i="21"/>
  <c r="X573" i="21" s="1"/>
  <c r="H571" i="21" s="1"/>
  <c r="H569" i="21" s="1"/>
  <c r="S437" i="21"/>
  <c r="T437" i="21" s="1"/>
  <c r="H437" i="21" s="1"/>
  <c r="H435" i="21" s="1"/>
  <c r="M436" i="21" s="1"/>
  <c r="S627" i="21"/>
  <c r="H627" i="21" s="1"/>
  <c r="G625" i="21"/>
  <c r="BA625" i="21" s="1"/>
  <c r="BB625" i="21" s="1"/>
  <c r="U97" i="21"/>
  <c r="Y210" i="21"/>
  <c r="W210" i="21" s="1"/>
  <c r="X103" i="21"/>
  <c r="V285" i="21"/>
  <c r="AS284" i="21"/>
  <c r="U285" i="21"/>
  <c r="AV585" i="21"/>
  <c r="X649" i="21"/>
  <c r="H648" i="21" s="1"/>
  <c r="W63" i="21"/>
  <c r="Y73" i="21"/>
  <c r="G73" i="21" s="1"/>
  <c r="BA73" i="21" s="1"/>
  <c r="BB73" i="21" s="1"/>
  <c r="W75" i="21"/>
  <c r="V586" i="21"/>
  <c r="X586" i="21" s="1"/>
  <c r="BM179" i="21"/>
  <c r="Z586" i="21"/>
  <c r="X81" i="21"/>
  <c r="X231" i="21"/>
  <c r="S731" i="21"/>
  <c r="H731" i="21" s="1"/>
  <c r="H730" i="21" s="1"/>
  <c r="G730" i="21"/>
  <c r="BA730" i="21" s="1"/>
  <c r="BB730" i="21" s="1"/>
  <c r="T576" i="21"/>
  <c r="Z230" i="21"/>
  <c r="Z127" i="21"/>
  <c r="Y125" i="21"/>
  <c r="T125" i="21" s="1"/>
  <c r="BS125" i="21" s="1"/>
  <c r="Y107" i="21"/>
  <c r="T107" i="21" s="1"/>
  <c r="BS107" i="21" s="1"/>
  <c r="Y283" i="21"/>
  <c r="T283" i="21" s="1"/>
  <c r="X21" i="21"/>
  <c r="H20" i="21" s="1"/>
  <c r="BA283" i="21"/>
  <c r="BB283" i="21" s="1"/>
  <c r="G283" i="21"/>
  <c r="W224" i="21"/>
  <c r="Z109" i="21"/>
  <c r="Y222" i="21"/>
  <c r="T222" i="21" s="1"/>
  <c r="U230" i="21"/>
  <c r="V22" i="21"/>
  <c r="U65" i="21"/>
  <c r="U63" i="21" s="1"/>
  <c r="BT63" i="21" s="1"/>
  <c r="G417" i="21"/>
  <c r="BA417" i="21" s="1"/>
  <c r="BB417" i="21" s="1"/>
  <c r="X389" i="21"/>
  <c r="U109" i="21"/>
  <c r="H683" i="21"/>
  <c r="M684" i="21" s="1"/>
  <c r="Z75" i="21"/>
  <c r="U386" i="21"/>
  <c r="Z224" i="21"/>
  <c r="U224" i="21"/>
  <c r="U50" i="21"/>
  <c r="BT50" i="21" s="1"/>
  <c r="W50" i="21"/>
  <c r="V230" i="21"/>
  <c r="V224" i="21"/>
  <c r="V109" i="21"/>
  <c r="X45" i="21"/>
  <c r="H44" i="21" s="1"/>
  <c r="G739" i="21"/>
  <c r="BA739" i="21" s="1"/>
  <c r="BB739" i="21" s="1"/>
  <c r="Z97" i="21"/>
  <c r="BI27" i="21"/>
  <c r="X128" i="21"/>
  <c r="F427" i="21"/>
  <c r="X121" i="21"/>
  <c r="U361" i="21"/>
  <c r="V75" i="21"/>
  <c r="V73" i="21" s="1"/>
  <c r="X71" i="21"/>
  <c r="T427" i="21"/>
  <c r="U75" i="21"/>
  <c r="U73" i="21" s="1"/>
  <c r="BT73" i="21" s="1"/>
  <c r="Y228" i="21"/>
  <c r="W228" i="21" s="1"/>
  <c r="T119" i="21"/>
  <c r="BS119" i="21" s="1"/>
  <c r="Z65" i="21"/>
  <c r="AW64" i="21"/>
  <c r="Y95" i="21"/>
  <c r="T95" i="21" s="1"/>
  <c r="BS95" i="21" s="1"/>
  <c r="W65" i="21"/>
  <c r="T63" i="21"/>
  <c r="BS63" i="21" s="1"/>
  <c r="AW211" i="21"/>
  <c r="X76" i="21"/>
  <c r="U212" i="21"/>
  <c r="Y359" i="21"/>
  <c r="Z361" i="21"/>
  <c r="Z212" i="21"/>
  <c r="V361" i="21"/>
  <c r="V50" i="21"/>
  <c r="BU50" i="21" s="1"/>
  <c r="U576" i="21"/>
  <c r="AT20" i="21"/>
  <c r="Z59" i="21"/>
  <c r="Z22" i="21"/>
  <c r="X98" i="21"/>
  <c r="V63" i="21"/>
  <c r="G57" i="21"/>
  <c r="BA57" i="21" s="1"/>
  <c r="BB57" i="21" s="1"/>
  <c r="H412" i="21"/>
  <c r="M413" i="21" s="1"/>
  <c r="V97" i="21"/>
  <c r="X97" i="21" s="1"/>
  <c r="T584" i="21"/>
  <c r="Y19" i="21"/>
  <c r="U22" i="21"/>
  <c r="U43" i="21"/>
  <c r="BT43" i="21" s="1"/>
  <c r="U127" i="21"/>
  <c r="U125" i="21" s="1"/>
  <c r="BT125" i="21" s="1"/>
  <c r="H725" i="21"/>
  <c r="M726" i="21" s="1"/>
  <c r="X104" i="21"/>
  <c r="V127" i="21"/>
  <c r="G63" i="21"/>
  <c r="BA63" i="21" s="1"/>
  <c r="BB63" i="21" s="1"/>
  <c r="Y27" i="21"/>
  <c r="T27" i="21" s="1"/>
  <c r="BS27" i="21" s="1"/>
  <c r="V576" i="21"/>
  <c r="X86" i="21"/>
  <c r="X122" i="21"/>
  <c r="U216" i="21"/>
  <c r="X213" i="21"/>
  <c r="T101" i="21"/>
  <c r="BS101" i="21" s="1"/>
  <c r="W197" i="21"/>
  <c r="X197" i="21" s="1"/>
  <c r="H196" i="21" s="1"/>
  <c r="H195" i="21" s="1"/>
  <c r="T418" i="21"/>
  <c r="H418" i="21" s="1"/>
  <c r="H417" i="21" s="1"/>
  <c r="V101" i="21"/>
  <c r="AW609" i="21"/>
  <c r="U101" i="21"/>
  <c r="BT101" i="21" s="1"/>
  <c r="V610" i="21"/>
  <c r="R744" i="21"/>
  <c r="S744" i="21" s="1"/>
  <c r="H744" i="21" s="1"/>
  <c r="U80" i="21"/>
  <c r="X218" i="21"/>
  <c r="W33" i="21"/>
  <c r="X33" i="21" s="1"/>
  <c r="H30" i="21" s="1"/>
  <c r="AW236" i="21"/>
  <c r="X52" i="21"/>
  <c r="H51" i="21" s="1"/>
  <c r="H50" i="21" s="1"/>
  <c r="R743" i="21"/>
  <c r="S743" i="21" s="1"/>
  <c r="H743" i="21" s="1"/>
  <c r="BM187" i="21"/>
  <c r="X578" i="21"/>
  <c r="Z80" i="21"/>
  <c r="G216" i="21"/>
  <c r="BA216" i="21" s="1"/>
  <c r="BB216" i="21" s="1"/>
  <c r="V80" i="21"/>
  <c r="V59" i="21"/>
  <c r="V57" i="21" s="1"/>
  <c r="W80" i="21"/>
  <c r="X238" i="21"/>
  <c r="W73" i="21"/>
  <c r="V237" i="21"/>
  <c r="Y235" i="21"/>
  <c r="Z237" i="21"/>
  <c r="Y78" i="21"/>
  <c r="T78" i="21" s="1"/>
  <c r="BS78" i="21" s="1"/>
  <c r="G386" i="21"/>
  <c r="BA386" i="21" s="1"/>
  <c r="BB386" i="21" s="1"/>
  <c r="U59" i="21"/>
  <c r="U57" i="21" s="1"/>
  <c r="BT57" i="21" s="1"/>
  <c r="W386" i="21"/>
  <c r="V216" i="21"/>
  <c r="X147" i="21"/>
  <c r="H146" i="21" s="1"/>
  <c r="Z594" i="21"/>
  <c r="AV593" i="21"/>
  <c r="Y592" i="21"/>
  <c r="W592" i="21" s="1"/>
  <c r="V594" i="21"/>
  <c r="X594" i="21" s="1"/>
  <c r="X85" i="21"/>
  <c r="V119" i="21"/>
  <c r="T216" i="21"/>
  <c r="F699" i="21"/>
  <c r="Y608" i="21"/>
  <c r="G608" i="21" s="1"/>
  <c r="BA608" i="21" s="1"/>
  <c r="BB608" i="21" s="1"/>
  <c r="X579" i="21"/>
  <c r="U68" i="21"/>
  <c r="BT68" i="21" s="1"/>
  <c r="G119" i="21"/>
  <c r="BA119" i="21" s="1"/>
  <c r="BB119" i="21" s="1"/>
  <c r="R635" i="21"/>
  <c r="S635" i="21" s="1"/>
  <c r="H635" i="21" s="1"/>
  <c r="H634" i="21" s="1"/>
  <c r="U600" i="21"/>
  <c r="X219" i="21"/>
  <c r="R639" i="21"/>
  <c r="S639" i="21" s="1"/>
  <c r="H639" i="21" s="1"/>
  <c r="U610" i="21"/>
  <c r="U119" i="21"/>
  <c r="BT119" i="21" s="1"/>
  <c r="R741" i="21"/>
  <c r="S741" i="21" s="1"/>
  <c r="H741" i="21" s="1"/>
  <c r="T600" i="21"/>
  <c r="W101" i="21"/>
  <c r="W22" i="21"/>
  <c r="X587" i="21"/>
  <c r="X225" i="21"/>
  <c r="V83" i="21"/>
  <c r="AN37" i="21"/>
  <c r="AP37" i="21" s="1"/>
  <c r="AN36" i="21"/>
  <c r="AP36" i="21" s="1"/>
  <c r="BF35" i="21"/>
  <c r="BI35" i="21" s="1"/>
  <c r="W68" i="21"/>
  <c r="Y113" i="21"/>
  <c r="G113" i="21" s="1"/>
  <c r="BA113" i="21" s="1"/>
  <c r="BB113" i="21" s="1"/>
  <c r="F689" i="21"/>
  <c r="X70" i="21"/>
  <c r="H480" i="21"/>
  <c r="W110" i="21"/>
  <c r="X110" i="21" s="1"/>
  <c r="Z115" i="21"/>
  <c r="V68" i="21"/>
  <c r="BU68" i="21" s="1"/>
  <c r="AP28" i="21"/>
  <c r="W30" i="21" s="1"/>
  <c r="H444" i="21"/>
  <c r="M445" i="21" s="1"/>
  <c r="Y38" i="21"/>
  <c r="U115" i="21"/>
  <c r="X388" i="21"/>
  <c r="V115" i="21"/>
  <c r="S689" i="21"/>
  <c r="G502" i="21"/>
  <c r="BA502" i="21" s="1"/>
  <c r="BB502" i="21" s="1"/>
  <c r="E505" i="21"/>
  <c r="H503" i="21" s="1"/>
  <c r="H502" i="21" s="1"/>
  <c r="H748" i="21"/>
  <c r="M749" i="21" s="1"/>
  <c r="G68" i="21"/>
  <c r="BA68" i="21" s="1"/>
  <c r="BB68" i="21" s="1"/>
  <c r="W119" i="21"/>
  <c r="W25" i="21"/>
  <c r="X25" i="21" s="1"/>
  <c r="H22" i="21" s="1"/>
  <c r="R699" i="21"/>
  <c r="S699" i="21" s="1"/>
  <c r="AS28" i="21"/>
  <c r="Z29" i="21"/>
  <c r="V29" i="21"/>
  <c r="BA27" i="21"/>
  <c r="BB27" i="21" s="1"/>
  <c r="V600" i="21"/>
  <c r="W611" i="21"/>
  <c r="X611" i="21" s="1"/>
  <c r="W43" i="21"/>
  <c r="T43" i="21"/>
  <c r="BS43" i="21" s="1"/>
  <c r="W576" i="21"/>
  <c r="X602" i="21"/>
  <c r="U29" i="21"/>
  <c r="AW90" i="21"/>
  <c r="Z91" i="21"/>
  <c r="Y89" i="21"/>
  <c r="V91" i="21"/>
  <c r="X91" i="21" s="1"/>
  <c r="W47" i="21"/>
  <c r="X47" i="21" s="1"/>
  <c r="H45" i="21" s="1"/>
  <c r="V386" i="21"/>
  <c r="H757" i="21"/>
  <c r="M758" i="21" s="1"/>
  <c r="X603" i="21"/>
  <c r="V43" i="21"/>
  <c r="BU43" i="21" s="1"/>
  <c r="M698" i="21"/>
  <c r="V30" i="21"/>
  <c r="AT28" i="21"/>
  <c r="R638" i="21"/>
  <c r="S638" i="21" s="1"/>
  <c r="H638" i="21" s="1"/>
  <c r="BA35" i="21"/>
  <c r="BB35" i="21" s="1"/>
  <c r="AS36" i="21"/>
  <c r="U37" i="21"/>
  <c r="Z37" i="21"/>
  <c r="V37" i="21"/>
  <c r="W595" i="21"/>
  <c r="X595" i="21" s="1"/>
  <c r="W600" i="21"/>
  <c r="X646" i="21"/>
  <c r="H643" i="21"/>
  <c r="G27" i="21"/>
  <c r="Z30" i="21"/>
  <c r="R5" i="34"/>
  <c r="R7" i="35"/>
  <c r="R6" i="35"/>
  <c r="H715" i="21"/>
  <c r="M716" i="21" s="1"/>
  <c r="U235" i="21"/>
  <c r="X237" i="21"/>
  <c r="T57" i="21"/>
  <c r="BS57" i="21" s="1"/>
  <c r="G210" i="21"/>
  <c r="BA210" i="21" s="1"/>
  <c r="BB210" i="21" s="1"/>
  <c r="T210" i="21"/>
  <c r="X212" i="21"/>
  <c r="H706" i="21"/>
  <c r="M707" i="21" s="1"/>
  <c r="T19" i="21"/>
  <c r="BS19" i="21" s="1"/>
  <c r="G584" i="21"/>
  <c r="BA584" i="21" s="1"/>
  <c r="BB584" i="21" s="1"/>
  <c r="W584" i="21"/>
  <c r="W57" i="21"/>
  <c r="G83" i="21"/>
  <c r="BA83" i="21" s="1"/>
  <c r="BB83" i="21" s="1"/>
  <c r="T83" i="21"/>
  <c r="BS83" i="21" s="1"/>
  <c r="U584" i="21"/>
  <c r="F636" i="21"/>
  <c r="H636" i="21" s="1"/>
  <c r="G634" i="21"/>
  <c r="BA634" i="21" s="1"/>
  <c r="BB634" i="21" s="1"/>
  <c r="W83" i="21"/>
  <c r="H453" i="21"/>
  <c r="M454" i="21" s="1"/>
  <c r="S636" i="21"/>
  <c r="U83" i="21"/>
  <c r="BT83" i="21" s="1"/>
  <c r="AG190" i="21"/>
  <c r="BF187" i="21" s="1"/>
  <c r="BI187" i="21" s="1"/>
  <c r="BF179" i="21"/>
  <c r="BI179" i="21" s="1"/>
  <c r="D179" i="21"/>
  <c r="Y182" i="21"/>
  <c r="U182" i="21" s="1"/>
  <c r="B4" i="29"/>
  <c r="C16" i="18"/>
  <c r="C17" i="18" s="1"/>
  <c r="C18" i="18" s="1"/>
  <c r="C19" i="18" s="1"/>
  <c r="C20" i="18" s="1"/>
  <c r="C21" i="18" s="1"/>
  <c r="C22" i="18" s="1"/>
  <c r="C23" i="18" s="1"/>
  <c r="C24" i="18" s="1"/>
  <c r="C25" i="18" s="1"/>
  <c r="C26" i="18" s="1"/>
  <c r="C27" i="18" s="1"/>
  <c r="C28" i="18" s="1"/>
  <c r="C29" i="18" s="1"/>
  <c r="B15" i="35"/>
  <c r="B14" i="34"/>
  <c r="B15" i="36"/>
  <c r="G235" i="21" l="1"/>
  <c r="BA235" i="21" s="1"/>
  <c r="BB235" i="21" s="1"/>
  <c r="W235" i="21"/>
  <c r="BU83" i="21"/>
  <c r="BU101" i="21"/>
  <c r="BU57" i="21"/>
  <c r="BU119" i="21"/>
  <c r="BU73" i="21"/>
  <c r="BU63" i="21"/>
  <c r="M626" i="21"/>
  <c r="V210" i="21"/>
  <c r="U210" i="21"/>
  <c r="X285" i="21"/>
  <c r="H284" i="21" s="1"/>
  <c r="H283" i="21" s="1"/>
  <c r="G107" i="21"/>
  <c r="BA107" i="21" s="1"/>
  <c r="BB107" i="21" s="1"/>
  <c r="W283" i="21"/>
  <c r="G125" i="21"/>
  <c r="BA125" i="21" s="1"/>
  <c r="BB125" i="21" s="1"/>
  <c r="V222" i="21"/>
  <c r="V125" i="21"/>
  <c r="U107" i="21"/>
  <c r="BT107" i="21" s="1"/>
  <c r="V283" i="21"/>
  <c r="W125" i="21"/>
  <c r="X651" i="21"/>
  <c r="M731" i="21"/>
  <c r="V19" i="21"/>
  <c r="X224" i="21"/>
  <c r="X230" i="21"/>
  <c r="V584" i="21"/>
  <c r="X584" i="21" s="1"/>
  <c r="W19" i="21"/>
  <c r="T73" i="21"/>
  <c r="V107" i="21"/>
  <c r="W107" i="21"/>
  <c r="U222" i="21"/>
  <c r="U283" i="21"/>
  <c r="G222" i="21"/>
  <c r="BA222" i="21" s="1"/>
  <c r="BB222" i="21" s="1"/>
  <c r="X50" i="21"/>
  <c r="W222" i="21"/>
  <c r="H43" i="21"/>
  <c r="H427" i="21"/>
  <c r="H426" i="21" s="1"/>
  <c r="M427" i="21" s="1"/>
  <c r="H689" i="21"/>
  <c r="H688" i="21" s="1"/>
  <c r="M689" i="21" s="1"/>
  <c r="X65" i="21"/>
  <c r="M418" i="21"/>
  <c r="X109" i="21"/>
  <c r="V359" i="21"/>
  <c r="Q4" i="35"/>
  <c r="Q8" i="35" s="1"/>
  <c r="N4" i="36"/>
  <c r="N8" i="36" s="1"/>
  <c r="Q3" i="34"/>
  <c r="Q7" i="34" s="1"/>
  <c r="W95" i="21"/>
  <c r="U95" i="21"/>
  <c r="BT95" i="21" s="1"/>
  <c r="X361" i="21"/>
  <c r="G95" i="21"/>
  <c r="BA95" i="21" s="1"/>
  <c r="BB95" i="21" s="1"/>
  <c r="M740" i="21"/>
  <c r="V95" i="21"/>
  <c r="BU95" i="21" s="1"/>
  <c r="X75" i="21"/>
  <c r="V228" i="21"/>
  <c r="G228" i="21"/>
  <c r="BA228" i="21" s="1"/>
  <c r="BB228" i="21" s="1"/>
  <c r="T228" i="21"/>
  <c r="V235" i="21"/>
  <c r="X386" i="21"/>
  <c r="H386" i="21" s="1"/>
  <c r="U19" i="21"/>
  <c r="BT19" i="21" s="1"/>
  <c r="U228" i="21"/>
  <c r="X63" i="21"/>
  <c r="H63" i="21" s="1"/>
  <c r="X59" i="21"/>
  <c r="H58" i="21" s="1"/>
  <c r="H57" i="21" s="1"/>
  <c r="W27" i="21"/>
  <c r="W359" i="21"/>
  <c r="G359" i="21"/>
  <c r="BA359" i="21" s="1"/>
  <c r="BB359" i="21" s="1"/>
  <c r="X127" i="21"/>
  <c r="U359" i="21"/>
  <c r="T608" i="21"/>
  <c r="G78" i="21"/>
  <c r="BA78" i="21" s="1"/>
  <c r="BB78" i="21" s="1"/>
  <c r="X576" i="21"/>
  <c r="T359" i="21"/>
  <c r="X101" i="21"/>
  <c r="H101" i="21" s="1"/>
  <c r="W78" i="21"/>
  <c r="X119" i="21"/>
  <c r="H119" i="21" s="1"/>
  <c r="U608" i="21"/>
  <c r="X216" i="21"/>
  <c r="H216" i="21" s="1"/>
  <c r="V78" i="21"/>
  <c r="BU78" i="21" s="1"/>
  <c r="T235" i="21"/>
  <c r="W38" i="21"/>
  <c r="X115" i="21"/>
  <c r="X80" i="21"/>
  <c r="X149" i="21"/>
  <c r="U78" i="21"/>
  <c r="BT78" i="21" s="1"/>
  <c r="V608" i="21"/>
  <c r="X22" i="21"/>
  <c r="H21" i="21" s="1"/>
  <c r="H19" i="21" s="1"/>
  <c r="X610" i="21"/>
  <c r="T592" i="21"/>
  <c r="G592" i="21"/>
  <c r="BA592" i="21" s="1"/>
  <c r="BB592" i="21" s="1"/>
  <c r="W608" i="21"/>
  <c r="V592" i="21"/>
  <c r="H699" i="21"/>
  <c r="X68" i="21"/>
  <c r="H68" i="21" s="1"/>
  <c r="U592" i="21"/>
  <c r="V38" i="21"/>
  <c r="AT36" i="21"/>
  <c r="U38" i="21"/>
  <c r="Z38" i="21"/>
  <c r="U113" i="21"/>
  <c r="BT113" i="21" s="1"/>
  <c r="T113" i="21"/>
  <c r="BS113" i="21" s="1"/>
  <c r="X43" i="21"/>
  <c r="W113" i="21"/>
  <c r="V27" i="21"/>
  <c r="X600" i="21"/>
  <c r="H600" i="21" s="1"/>
  <c r="X30" i="21"/>
  <c r="H29" i="21" s="1"/>
  <c r="X57" i="21"/>
  <c r="V113" i="21"/>
  <c r="BU113" i="21" s="1"/>
  <c r="Y35" i="21"/>
  <c r="G35" i="21"/>
  <c r="X83" i="21"/>
  <c r="H83" i="21" s="1"/>
  <c r="X37" i="21"/>
  <c r="H36" i="21" s="1"/>
  <c r="U89" i="21"/>
  <c r="BT89" i="21" s="1"/>
  <c r="W89" i="21"/>
  <c r="T89" i="21"/>
  <c r="BS89" i="21" s="1"/>
  <c r="G89" i="21"/>
  <c r="BA89" i="21" s="1"/>
  <c r="BB89" i="21" s="1"/>
  <c r="X210" i="21"/>
  <c r="X214" i="21" s="1"/>
  <c r="X29" i="21"/>
  <c r="H28" i="21" s="1"/>
  <c r="U27" i="21"/>
  <c r="BT27" i="21" s="1"/>
  <c r="V89" i="21"/>
  <c r="BU89" i="21" s="1"/>
  <c r="L14" i="34"/>
  <c r="O5" i="36"/>
  <c r="R6" i="34"/>
  <c r="O7" i="36"/>
  <c r="Y190" i="21"/>
  <c r="U190" i="21" s="1"/>
  <c r="D187" i="21"/>
  <c r="M635" i="21"/>
  <c r="L15" i="35"/>
  <c r="V182" i="21"/>
  <c r="Q4" i="29"/>
  <c r="J5" i="29" s="1"/>
  <c r="O4" i="36"/>
  <c r="R4" i="35"/>
  <c r="R3" i="34"/>
  <c r="J4" i="29"/>
  <c r="Z182" i="21"/>
  <c r="Y179" i="21"/>
  <c r="U179" i="21" s="1"/>
  <c r="AT180" i="21"/>
  <c r="G179" i="21"/>
  <c r="W182" i="21"/>
  <c r="C15" i="35"/>
  <c r="E15" i="35"/>
  <c r="K15" i="35"/>
  <c r="G15" i="35"/>
  <c r="R15" i="35"/>
  <c r="B16" i="35"/>
  <c r="D15" i="35"/>
  <c r="F15" i="35"/>
  <c r="M4" i="29"/>
  <c r="H4" i="29"/>
  <c r="V4" i="29"/>
  <c r="H7" i="29" s="1"/>
  <c r="B8" i="29"/>
  <c r="X4" i="29"/>
  <c r="J7" i="29" s="1"/>
  <c r="C4" i="29"/>
  <c r="E4" i="29"/>
  <c r="G4" i="29"/>
  <c r="K4" i="29"/>
  <c r="L4" i="29"/>
  <c r="F7" i="29" s="1"/>
  <c r="D4" i="29"/>
  <c r="O4" i="29"/>
  <c r="G5" i="29" s="1"/>
  <c r="W4" i="29"/>
  <c r="I7" i="29" s="1"/>
  <c r="R4" i="29"/>
  <c r="H6" i="29" s="1"/>
  <c r="S4" i="29"/>
  <c r="G6" i="29" s="1"/>
  <c r="F4" i="29"/>
  <c r="I4" i="29"/>
  <c r="U4" i="29"/>
  <c r="J6" i="29" s="1"/>
  <c r="N4" i="29"/>
  <c r="H5" i="29" s="1"/>
  <c r="T4" i="29"/>
  <c r="I6" i="29" s="1"/>
  <c r="P4" i="29"/>
  <c r="I5" i="29" s="1"/>
  <c r="B16" i="36"/>
  <c r="D15" i="36"/>
  <c r="G15" i="36"/>
  <c r="C15" i="36"/>
  <c r="F15" i="36"/>
  <c r="E15" i="36"/>
  <c r="J14" i="34"/>
  <c r="F14" i="34"/>
  <c r="C14" i="34"/>
  <c r="E14" i="34"/>
  <c r="B15" i="34"/>
  <c r="D14" i="34"/>
  <c r="G14" i="34"/>
  <c r="BU107" i="21" l="1"/>
  <c r="BU27" i="21"/>
  <c r="BU19" i="21"/>
  <c r="BU125" i="21"/>
  <c r="X73" i="21"/>
  <c r="H73" i="21" s="1"/>
  <c r="BS73" i="21"/>
  <c r="X125" i="21"/>
  <c r="H125" i="21" s="1"/>
  <c r="X19" i="21"/>
  <c r="X283" i="21"/>
  <c r="X222" i="21"/>
  <c r="H222" i="21" s="1"/>
  <c r="X107" i="21"/>
  <c r="H107" i="21" s="1"/>
  <c r="H584" i="21"/>
  <c r="X590" i="21"/>
  <c r="X95" i="21"/>
  <c r="H95" i="21" s="1"/>
  <c r="X228" i="21"/>
  <c r="H228" i="21" s="1"/>
  <c r="X235" i="21"/>
  <c r="H235" i="21" s="1"/>
  <c r="W35" i="21"/>
  <c r="F5" i="37"/>
  <c r="X38" i="21"/>
  <c r="H37" i="21" s="1"/>
  <c r="H35" i="21" s="1"/>
  <c r="X359" i="21"/>
  <c r="X78" i="21"/>
  <c r="H78" i="21" s="1"/>
  <c r="H576" i="21"/>
  <c r="X582" i="21"/>
  <c r="X608" i="21"/>
  <c r="H608" i="21" s="1"/>
  <c r="V35" i="21"/>
  <c r="BU35" i="21" s="1"/>
  <c r="T35" i="21"/>
  <c r="BS35" i="21" s="1"/>
  <c r="X592" i="21"/>
  <c r="U35" i="21"/>
  <c r="BT35" i="21" s="1"/>
  <c r="X27" i="21"/>
  <c r="X113" i="21"/>
  <c r="H113" i="21" s="1"/>
  <c r="X606" i="21"/>
  <c r="H27" i="21"/>
  <c r="H210" i="21"/>
  <c r="X89" i="21"/>
  <c r="H89" i="21" s="1"/>
  <c r="R4" i="34"/>
  <c r="R7" i="34" s="1"/>
  <c r="R5" i="35"/>
  <c r="R8" i="35" s="1"/>
  <c r="V190" i="21"/>
  <c r="G187" i="21"/>
  <c r="Y187" i="21"/>
  <c r="T187" i="21" s="1"/>
  <c r="Z190" i="21"/>
  <c r="AT188" i="21"/>
  <c r="W190" i="21"/>
  <c r="V179" i="21"/>
  <c r="H15" i="36"/>
  <c r="I15" i="36" s="1"/>
  <c r="W179" i="21"/>
  <c r="M15" i="34"/>
  <c r="X182" i="21"/>
  <c r="H181" i="21" s="1"/>
  <c r="H179" i="21" s="1"/>
  <c r="O8" i="36"/>
  <c r="H16" i="36"/>
  <c r="F16" i="36"/>
  <c r="G16" i="36"/>
  <c r="B17" i="36"/>
  <c r="E16" i="36"/>
  <c r="D16" i="36"/>
  <c r="C16" i="36"/>
  <c r="G16" i="35"/>
  <c r="F16" i="35"/>
  <c r="D16" i="35"/>
  <c r="L16" i="35"/>
  <c r="B17" i="35"/>
  <c r="M16" i="35"/>
  <c r="K16" i="35"/>
  <c r="C16" i="35"/>
  <c r="R16" i="35"/>
  <c r="E16" i="35"/>
  <c r="F15" i="34"/>
  <c r="C15" i="34"/>
  <c r="G15" i="34"/>
  <c r="E15" i="34"/>
  <c r="D15" i="34"/>
  <c r="B16" i="34"/>
  <c r="J15" i="34"/>
  <c r="L15" i="34"/>
  <c r="E8" i="29"/>
  <c r="D8" i="29"/>
  <c r="C8" i="29"/>
  <c r="B12" i="29"/>
  <c r="Q8" i="29"/>
  <c r="J9" i="29" s="1"/>
  <c r="L8" i="29"/>
  <c r="F11" i="29" s="1"/>
  <c r="P8" i="29"/>
  <c r="I9" i="29" s="1"/>
  <c r="N8" i="29"/>
  <c r="H9" i="29" s="1"/>
  <c r="U8" i="29"/>
  <c r="J10" i="29" s="1"/>
  <c r="V8" i="29"/>
  <c r="H11" i="29" s="1"/>
  <c r="O8" i="29"/>
  <c r="G9" i="29" s="1"/>
  <c r="G8" i="29"/>
  <c r="F8" i="29"/>
  <c r="M8" i="29"/>
  <c r="K8" i="29"/>
  <c r="X8" i="29"/>
  <c r="J11" i="29" s="1"/>
  <c r="S8" i="29"/>
  <c r="G10" i="29" s="1"/>
  <c r="H8" i="29"/>
  <c r="W8" i="29"/>
  <c r="I11" i="29" s="1"/>
  <c r="R8" i="29"/>
  <c r="H10" i="29" s="1"/>
  <c r="J8" i="29"/>
  <c r="I8" i="29"/>
  <c r="T8" i="29"/>
  <c r="I10" i="29" s="1"/>
  <c r="F6" i="29"/>
  <c r="F5" i="29"/>
  <c r="T179" i="21"/>
  <c r="K14" i="34"/>
  <c r="N14" i="34"/>
  <c r="M15" i="35"/>
  <c r="M14" i="34"/>
  <c r="J15" i="35"/>
  <c r="N15" i="35"/>
  <c r="H359" i="21" l="1"/>
  <c r="X364" i="21"/>
  <c r="X240" i="21"/>
  <c r="X233" i="21"/>
  <c r="X35" i="21"/>
  <c r="X613" i="21"/>
  <c r="H592" i="21"/>
  <c r="X598" i="21"/>
  <c r="V187" i="21"/>
  <c r="X190" i="21"/>
  <c r="H189" i="21" s="1"/>
  <c r="H187" i="21" s="1"/>
  <c r="W187" i="21"/>
  <c r="U187" i="21"/>
  <c r="X179" i="21"/>
  <c r="X183" i="21" s="1"/>
  <c r="I16" i="36"/>
  <c r="P16" i="35"/>
  <c r="Q16" i="35" s="1"/>
  <c r="H16" i="35" s="1" a="1"/>
  <c r="H16" i="35" s="1"/>
  <c r="O16" i="35"/>
  <c r="D17" i="35"/>
  <c r="C17" i="35"/>
  <c r="L17" i="35"/>
  <c r="M17" i="35"/>
  <c r="G17" i="35"/>
  <c r="R17" i="35"/>
  <c r="B18" i="35"/>
  <c r="E17" i="35"/>
  <c r="F17" i="35"/>
  <c r="K17" i="35"/>
  <c r="F9" i="29"/>
  <c r="F10" i="29"/>
  <c r="K15" i="34"/>
  <c r="N15" i="34"/>
  <c r="N16" i="35"/>
  <c r="J16" i="35"/>
  <c r="C16" i="34"/>
  <c r="E16" i="34"/>
  <c r="D16" i="34"/>
  <c r="L16" i="34"/>
  <c r="G16" i="34"/>
  <c r="M16" i="34"/>
  <c r="F16" i="34"/>
  <c r="J16" i="34"/>
  <c r="B17" i="34"/>
  <c r="O15" i="34"/>
  <c r="P15" i="34"/>
  <c r="Q15" i="34" s="1"/>
  <c r="H15" i="34" s="1"/>
  <c r="D17" i="36"/>
  <c r="F17" i="36"/>
  <c r="E17" i="36"/>
  <c r="G17" i="36"/>
  <c r="B18" i="36"/>
  <c r="H17" i="36"/>
  <c r="C17" i="36"/>
  <c r="H12" i="29"/>
  <c r="G12" i="29"/>
  <c r="W12" i="29"/>
  <c r="D12" i="29"/>
  <c r="C12" i="29"/>
  <c r="O12" i="29"/>
  <c r="N12" i="29"/>
  <c r="J12" i="29"/>
  <c r="L12" i="29"/>
  <c r="X12" i="29"/>
  <c r="V12" i="29"/>
  <c r="U12" i="29"/>
  <c r="I12" i="29"/>
  <c r="T12" i="29"/>
  <c r="S12" i="29"/>
  <c r="Q12" i="29"/>
  <c r="P12" i="29"/>
  <c r="R12" i="29"/>
  <c r="K12" i="29"/>
  <c r="M12" i="29"/>
  <c r="E12" i="29"/>
  <c r="B13" i="29"/>
  <c r="F12" i="29"/>
  <c r="P14" i="34"/>
  <c r="Q14" i="34" s="1"/>
  <c r="H14" i="34" s="1"/>
  <c r="O14" i="34"/>
  <c r="P15" i="35"/>
  <c r="Q15" i="35" s="1"/>
  <c r="H15" i="35" s="1" a="1"/>
  <c r="H15" i="35" s="1"/>
  <c r="O15" i="35"/>
  <c r="X187" i="21" l="1"/>
  <c r="X191" i="21" s="1"/>
  <c r="D18" i="35"/>
  <c r="C18" i="35"/>
  <c r="L18" i="35"/>
  <c r="B19" i="35"/>
  <c r="R18" i="35"/>
  <c r="M18" i="35"/>
  <c r="F18" i="35"/>
  <c r="E18" i="35"/>
  <c r="K18" i="35"/>
  <c r="G18" i="35"/>
  <c r="P16" i="34"/>
  <c r="Q16" i="34" s="1"/>
  <c r="H16" i="34" s="1"/>
  <c r="O16" i="34"/>
  <c r="K16" i="34"/>
  <c r="N16" i="34"/>
  <c r="O17" i="35"/>
  <c r="P17" i="35"/>
  <c r="Q17" i="35" s="1"/>
  <c r="H17" i="35" s="1" a="1"/>
  <c r="H17" i="35" s="1"/>
  <c r="N17" i="35"/>
  <c r="J17" i="35"/>
  <c r="J13" i="29"/>
  <c r="C13" i="29"/>
  <c r="B14" i="29"/>
  <c r="P13" i="29"/>
  <c r="K13" i="29"/>
  <c r="W13" i="29"/>
  <c r="S13" i="29"/>
  <c r="I13" i="29"/>
  <c r="F13" i="29"/>
  <c r="U13" i="29"/>
  <c r="O13" i="29"/>
  <c r="N13" i="29"/>
  <c r="M13" i="29"/>
  <c r="H13" i="29"/>
  <c r="G13" i="29"/>
  <c r="E13" i="29"/>
  <c r="X13" i="29"/>
  <c r="L13" i="29"/>
  <c r="T13" i="29"/>
  <c r="V13" i="29"/>
  <c r="R13" i="29"/>
  <c r="Q13" i="29"/>
  <c r="D13" i="29"/>
  <c r="I17" i="36"/>
  <c r="S15" i="34"/>
  <c r="I15" i="34"/>
  <c r="G18" i="36"/>
  <c r="H18" i="36"/>
  <c r="C18" i="36"/>
  <c r="F18" i="36"/>
  <c r="E18" i="36"/>
  <c r="D18" i="36"/>
  <c r="B19" i="36"/>
  <c r="D17" i="34"/>
  <c r="F17" i="34"/>
  <c r="C17" i="34"/>
  <c r="E17" i="34"/>
  <c r="J17" i="34"/>
  <c r="M17" i="34"/>
  <c r="G17" i="34"/>
  <c r="L17" i="34"/>
  <c r="B18" i="34"/>
  <c r="S16" i="35"/>
  <c r="I16" i="35"/>
  <c r="S15" i="35"/>
  <c r="I15" i="35"/>
  <c r="I14" i="34"/>
  <c r="S14" i="34"/>
  <c r="I18" i="36" l="1"/>
  <c r="S16" i="34"/>
  <c r="I16" i="34"/>
  <c r="O18" i="35"/>
  <c r="P18" i="35"/>
  <c r="Q18" i="35" s="1"/>
  <c r="H18" i="35" s="1" a="1"/>
  <c r="H18" i="35" s="1"/>
  <c r="K17" i="34"/>
  <c r="N17" i="34"/>
  <c r="H14" i="29"/>
  <c r="K14" i="29"/>
  <c r="W14" i="29"/>
  <c r="G14" i="29"/>
  <c r="B15" i="29"/>
  <c r="T14" i="29"/>
  <c r="V14" i="29"/>
  <c r="S14" i="29"/>
  <c r="U14" i="29"/>
  <c r="L14" i="29"/>
  <c r="C14" i="29"/>
  <c r="M14" i="29"/>
  <c r="Q14" i="29"/>
  <c r="E14" i="29"/>
  <c r="P14" i="29"/>
  <c r="D14" i="29"/>
  <c r="O14" i="29"/>
  <c r="J14" i="29"/>
  <c r="N14" i="29"/>
  <c r="I14" i="29"/>
  <c r="X14" i="29"/>
  <c r="R14" i="29"/>
  <c r="F14" i="29"/>
  <c r="P17" i="34"/>
  <c r="Q17" i="34" s="1"/>
  <c r="H17" i="34" s="1"/>
  <c r="O17" i="34"/>
  <c r="L19" i="35"/>
  <c r="B20" i="35"/>
  <c r="R19" i="35"/>
  <c r="C19" i="35"/>
  <c r="M19" i="35"/>
  <c r="D19" i="35"/>
  <c r="K19" i="35"/>
  <c r="G19" i="35"/>
  <c r="F19" i="35"/>
  <c r="E19" i="35"/>
  <c r="E18" i="34"/>
  <c r="D18" i="34"/>
  <c r="G18" i="34"/>
  <c r="M18" i="34"/>
  <c r="C18" i="34"/>
  <c r="B19" i="34"/>
  <c r="L18" i="34"/>
  <c r="J18" i="34"/>
  <c r="F18" i="34"/>
  <c r="D19" i="36"/>
  <c r="B20" i="36"/>
  <c r="E19" i="36"/>
  <c r="H19" i="36"/>
  <c r="C19" i="36"/>
  <c r="G19" i="36"/>
  <c r="F19" i="36"/>
  <c r="N18" i="35"/>
  <c r="J18" i="35"/>
  <c r="I17" i="35"/>
  <c r="S17" i="35"/>
  <c r="I19" i="36" l="1"/>
  <c r="J19" i="34"/>
  <c r="E19" i="34"/>
  <c r="C19" i="34"/>
  <c r="F19" i="34"/>
  <c r="L19" i="34"/>
  <c r="B20" i="34"/>
  <c r="D19" i="34"/>
  <c r="M19" i="34"/>
  <c r="G19" i="34"/>
  <c r="S17" i="34"/>
  <c r="I17" i="34"/>
  <c r="F20" i="36"/>
  <c r="E20" i="36"/>
  <c r="H20" i="36"/>
  <c r="C20" i="36"/>
  <c r="D20" i="36"/>
  <c r="G20" i="36"/>
  <c r="B21" i="36"/>
  <c r="O19" i="35"/>
  <c r="P19" i="35"/>
  <c r="Q19" i="35" s="1"/>
  <c r="H19" i="35" s="1" a="1"/>
  <c r="H19" i="35" s="1"/>
  <c r="I18" i="35"/>
  <c r="S18" i="35"/>
  <c r="K18" i="34"/>
  <c r="N18" i="34"/>
  <c r="H15" i="29"/>
  <c r="R15" i="29"/>
  <c r="N15" i="29"/>
  <c r="J15" i="29"/>
  <c r="E15" i="29"/>
  <c r="W15" i="29"/>
  <c r="T15" i="29"/>
  <c r="K15" i="29"/>
  <c r="G15" i="29"/>
  <c r="Q15" i="29"/>
  <c r="U15" i="29"/>
  <c r="L15" i="29"/>
  <c r="O15" i="29"/>
  <c r="S15" i="29"/>
  <c r="P15" i="29"/>
  <c r="I15" i="29"/>
  <c r="D15" i="29"/>
  <c r="F15" i="29"/>
  <c r="X15" i="29"/>
  <c r="C15" i="29"/>
  <c r="V15" i="29"/>
  <c r="M15" i="29"/>
  <c r="B16" i="29"/>
  <c r="N19" i="35"/>
  <c r="J19" i="35"/>
  <c r="P18" i="34"/>
  <c r="Q18" i="34" s="1"/>
  <c r="H18" i="34" s="1"/>
  <c r="O18" i="34"/>
  <c r="G20" i="35"/>
  <c r="R20" i="35"/>
  <c r="C20" i="35"/>
  <c r="M20" i="35"/>
  <c r="D20" i="35"/>
  <c r="B21" i="35"/>
  <c r="L20" i="35"/>
  <c r="E20" i="35"/>
  <c r="F20" i="35"/>
  <c r="K20" i="35"/>
  <c r="I20" i="36" l="1"/>
  <c r="O20" i="35"/>
  <c r="P20" i="35"/>
  <c r="Q20" i="35" s="1"/>
  <c r="H20" i="35" s="1" a="1"/>
  <c r="H20" i="35" s="1"/>
  <c r="F20" i="34"/>
  <c r="L20" i="34"/>
  <c r="B21" i="34"/>
  <c r="J20" i="34"/>
  <c r="M20" i="34"/>
  <c r="C20" i="34"/>
  <c r="G20" i="34"/>
  <c r="E20" i="34"/>
  <c r="D20" i="34"/>
  <c r="T16" i="29"/>
  <c r="X16" i="29"/>
  <c r="D16" i="29"/>
  <c r="W16" i="29"/>
  <c r="S16" i="29"/>
  <c r="V16" i="29"/>
  <c r="L16" i="29"/>
  <c r="H16" i="29"/>
  <c r="C16" i="29"/>
  <c r="O16" i="29"/>
  <c r="M16" i="29"/>
  <c r="G16" i="29"/>
  <c r="R16" i="29"/>
  <c r="N16" i="29"/>
  <c r="Q16" i="29"/>
  <c r="P16" i="29"/>
  <c r="B17" i="29"/>
  <c r="F16" i="29"/>
  <c r="E16" i="29"/>
  <c r="U16" i="29"/>
  <c r="J16" i="29"/>
  <c r="I16" i="29"/>
  <c r="K16" i="29"/>
  <c r="P19" i="34"/>
  <c r="Q19" i="34" s="1"/>
  <c r="H19" i="34" s="1"/>
  <c r="O19" i="34"/>
  <c r="N19" i="34"/>
  <c r="K19" i="34"/>
  <c r="J20" i="35"/>
  <c r="N20" i="35"/>
  <c r="S19" i="35"/>
  <c r="I19" i="35"/>
  <c r="L21" i="35"/>
  <c r="K21" i="35"/>
  <c r="F21" i="35"/>
  <c r="B22" i="35"/>
  <c r="D21" i="35"/>
  <c r="M21" i="35"/>
  <c r="G21" i="35"/>
  <c r="E21" i="35"/>
  <c r="R21" i="35"/>
  <c r="C21" i="35"/>
  <c r="I18" i="34"/>
  <c r="S18" i="34"/>
  <c r="F21" i="36"/>
  <c r="G21" i="36"/>
  <c r="C21" i="36"/>
  <c r="H21" i="36"/>
  <c r="B22" i="36"/>
  <c r="E21" i="36"/>
  <c r="D21" i="36"/>
  <c r="I21" i="36" l="1"/>
  <c r="D22" i="35"/>
  <c r="C22" i="35"/>
  <c r="M22" i="35"/>
  <c r="F22" i="35"/>
  <c r="B23" i="35"/>
  <c r="B24" i="35" s="1"/>
  <c r="G22" i="35"/>
  <c r="R22" i="35"/>
  <c r="L22" i="35"/>
  <c r="E22" i="35"/>
  <c r="K22" i="35"/>
  <c r="P20" i="34"/>
  <c r="Q20" i="34" s="1"/>
  <c r="H20" i="34" s="1"/>
  <c r="O20" i="34"/>
  <c r="Q17" i="29"/>
  <c r="G17" i="29"/>
  <c r="O17" i="29"/>
  <c r="C17" i="29"/>
  <c r="R17" i="29"/>
  <c r="U17" i="29"/>
  <c r="K17" i="29"/>
  <c r="J17" i="29"/>
  <c r="N17" i="29"/>
  <c r="P17" i="29"/>
  <c r="M17" i="29"/>
  <c r="X17" i="29"/>
  <c r="B18" i="29"/>
  <c r="D17" i="29"/>
  <c r="S17" i="29"/>
  <c r="F17" i="29"/>
  <c r="W17" i="29"/>
  <c r="L17" i="29"/>
  <c r="H17" i="29"/>
  <c r="E17" i="29"/>
  <c r="I17" i="29"/>
  <c r="T17" i="29"/>
  <c r="V17" i="29"/>
  <c r="G21" i="34"/>
  <c r="E21" i="34"/>
  <c r="D21" i="34"/>
  <c r="J21" i="34"/>
  <c r="L21" i="34"/>
  <c r="B22" i="34"/>
  <c r="M21" i="34"/>
  <c r="F21" i="34"/>
  <c r="C21" i="34"/>
  <c r="J21" i="35"/>
  <c r="N21" i="35"/>
  <c r="N20" i="34"/>
  <c r="K20" i="34"/>
  <c r="I19" i="34"/>
  <c r="S19" i="34"/>
  <c r="F22" i="36"/>
  <c r="E22" i="36"/>
  <c r="D22" i="36"/>
  <c r="H22" i="36"/>
  <c r="G22" i="36"/>
  <c r="C22" i="36"/>
  <c r="B23" i="36"/>
  <c r="I20" i="35"/>
  <c r="S20" i="35"/>
  <c r="O21" i="35"/>
  <c r="P21" i="35"/>
  <c r="Q21" i="35" s="1"/>
  <c r="H21" i="35" s="1" a="1"/>
  <c r="H21" i="35" s="1"/>
  <c r="C24" i="35" l="1"/>
  <c r="G24" i="35"/>
  <c r="L24" i="35"/>
  <c r="M24" i="35"/>
  <c r="K24" i="35"/>
  <c r="F24" i="35"/>
  <c r="B25" i="35"/>
  <c r="D24" i="35"/>
  <c r="R24" i="35"/>
  <c r="E24" i="35"/>
  <c r="I20" i="34"/>
  <c r="S20" i="34"/>
  <c r="B24" i="36"/>
  <c r="E23" i="36"/>
  <c r="F23" i="36"/>
  <c r="H23" i="36"/>
  <c r="D23" i="36"/>
  <c r="C23" i="36"/>
  <c r="G23" i="36"/>
  <c r="J22" i="35"/>
  <c r="N22" i="35"/>
  <c r="I22" i="36"/>
  <c r="P21" i="34"/>
  <c r="Q21" i="34" s="1"/>
  <c r="H21" i="34" s="1"/>
  <c r="O21" i="34"/>
  <c r="N21" i="34"/>
  <c r="K21" i="34"/>
  <c r="M23" i="35"/>
  <c r="D23" i="35"/>
  <c r="C23" i="35"/>
  <c r="F23" i="35"/>
  <c r="L23" i="35"/>
  <c r="G23" i="35"/>
  <c r="R23" i="35"/>
  <c r="K23" i="35"/>
  <c r="E23" i="35"/>
  <c r="D22" i="34"/>
  <c r="B23" i="34"/>
  <c r="J22" i="34"/>
  <c r="F22" i="34"/>
  <c r="L22" i="34"/>
  <c r="G22" i="34"/>
  <c r="M22" i="34"/>
  <c r="E22" i="34"/>
  <c r="C22" i="34"/>
  <c r="E18" i="29"/>
  <c r="N18" i="29"/>
  <c r="M18" i="29"/>
  <c r="D18" i="29"/>
  <c r="B19" i="29"/>
  <c r="G18" i="29"/>
  <c r="X18" i="29"/>
  <c r="T18" i="29"/>
  <c r="K18" i="29"/>
  <c r="I18" i="29"/>
  <c r="H18" i="29"/>
  <c r="P18" i="29"/>
  <c r="V18" i="29"/>
  <c r="S18" i="29"/>
  <c r="J18" i="29"/>
  <c r="F18" i="29"/>
  <c r="C18" i="29"/>
  <c r="Q18" i="29"/>
  <c r="W18" i="29"/>
  <c r="R18" i="29"/>
  <c r="O18" i="29"/>
  <c r="L18" i="29"/>
  <c r="U18" i="29"/>
  <c r="O22" i="35"/>
  <c r="P22" i="35"/>
  <c r="Q22" i="35" s="1"/>
  <c r="H22" i="35" s="1" a="1"/>
  <c r="H22" i="35" s="1"/>
  <c r="S21" i="35"/>
  <c r="I21" i="35"/>
  <c r="F25" i="35" l="1"/>
  <c r="G25" i="35"/>
  <c r="B26" i="35"/>
  <c r="E25" i="35"/>
  <c r="C25" i="35"/>
  <c r="R25" i="35"/>
  <c r="D25" i="35"/>
  <c r="L25" i="35"/>
  <c r="K25" i="35"/>
  <c r="M25" i="35"/>
  <c r="P24" i="35"/>
  <c r="Q24" i="35" s="1"/>
  <c r="H24" i="35" s="1" a="1"/>
  <c r="H24" i="35" s="1"/>
  <c r="O24" i="35"/>
  <c r="N24" i="35"/>
  <c r="J24" i="35"/>
  <c r="I23" i="36"/>
  <c r="N22" i="34"/>
  <c r="K22" i="34"/>
  <c r="N23" i="35"/>
  <c r="J23" i="35"/>
  <c r="B24" i="34"/>
  <c r="C23" i="34"/>
  <c r="E23" i="34"/>
  <c r="G23" i="34"/>
  <c r="D23" i="34"/>
  <c r="F23" i="34"/>
  <c r="M23" i="34"/>
  <c r="J23" i="34"/>
  <c r="L23" i="34"/>
  <c r="B25" i="36"/>
  <c r="E24" i="36"/>
  <c r="H24" i="36"/>
  <c r="G24" i="36"/>
  <c r="F24" i="36"/>
  <c r="C24" i="36"/>
  <c r="D24" i="36"/>
  <c r="I22" i="35"/>
  <c r="S22" i="35"/>
  <c r="D19" i="29"/>
  <c r="S19" i="29"/>
  <c r="M19" i="29"/>
  <c r="J19" i="29"/>
  <c r="K19" i="29"/>
  <c r="E19" i="29"/>
  <c r="H19" i="29"/>
  <c r="X19" i="29"/>
  <c r="P19" i="29"/>
  <c r="B20" i="29"/>
  <c r="G19" i="29"/>
  <c r="C19" i="29"/>
  <c r="Q19" i="29"/>
  <c r="I19" i="29"/>
  <c r="V19" i="29"/>
  <c r="W19" i="29"/>
  <c r="T19" i="29"/>
  <c r="O19" i="29"/>
  <c r="R19" i="29"/>
  <c r="U19" i="29"/>
  <c r="F19" i="29"/>
  <c r="N19" i="29"/>
  <c r="L19" i="29"/>
  <c r="I21" i="34"/>
  <c r="S21" i="34"/>
  <c r="O22" i="34"/>
  <c r="P22" i="34"/>
  <c r="Q22" i="34" s="1"/>
  <c r="H22" i="34" s="1"/>
  <c r="P23" i="35"/>
  <c r="Q23" i="35" s="1"/>
  <c r="H23" i="35" s="1" a="1"/>
  <c r="H23" i="35" s="1"/>
  <c r="O23" i="35"/>
  <c r="I24" i="35" l="1"/>
  <c r="S24" i="35"/>
  <c r="P25" i="35"/>
  <c r="Q25" i="35" s="1"/>
  <c r="H25" i="35" s="1" a="1"/>
  <c r="H25" i="35" s="1"/>
  <c r="O25" i="35"/>
  <c r="J25" i="35"/>
  <c r="N25" i="35"/>
  <c r="M26" i="35"/>
  <c r="R26" i="35"/>
  <c r="B27" i="35"/>
  <c r="K26" i="35"/>
  <c r="G26" i="35"/>
  <c r="E26" i="35"/>
  <c r="F26" i="35"/>
  <c r="C26" i="35"/>
  <c r="D26" i="35"/>
  <c r="L26" i="35"/>
  <c r="I24" i="36"/>
  <c r="G25" i="36"/>
  <c r="F25" i="36"/>
  <c r="E25" i="36"/>
  <c r="D25" i="36"/>
  <c r="C25" i="36"/>
  <c r="H25" i="36"/>
  <c r="B26" i="36"/>
  <c r="N23" i="34"/>
  <c r="K23" i="34"/>
  <c r="S22" i="34"/>
  <c r="I22" i="34"/>
  <c r="I23" i="35"/>
  <c r="S23" i="35"/>
  <c r="M24" i="34"/>
  <c r="F24" i="34"/>
  <c r="E24" i="34"/>
  <c r="J24" i="34"/>
  <c r="G24" i="34"/>
  <c r="C24" i="34"/>
  <c r="D24" i="34"/>
  <c r="L24" i="34"/>
  <c r="X20" i="29"/>
  <c r="J20" i="29"/>
  <c r="I20" i="29"/>
  <c r="H20" i="29"/>
  <c r="L20" i="29"/>
  <c r="W20" i="29"/>
  <c r="S20" i="29"/>
  <c r="R20" i="29"/>
  <c r="C20" i="29"/>
  <c r="K20" i="29"/>
  <c r="V20" i="29"/>
  <c r="F20" i="29"/>
  <c r="E20" i="29"/>
  <c r="O20" i="29"/>
  <c r="G20" i="29"/>
  <c r="D20" i="29"/>
  <c r="M20" i="29"/>
  <c r="B21" i="29"/>
  <c r="U20" i="29"/>
  <c r="T20" i="29"/>
  <c r="N20" i="29"/>
  <c r="P20" i="29"/>
  <c r="Q20" i="29"/>
  <c r="P23" i="34"/>
  <c r="Q23" i="34" s="1"/>
  <c r="H23" i="34" s="1"/>
  <c r="O23" i="34"/>
  <c r="I25" i="35" l="1"/>
  <c r="S25" i="35"/>
  <c r="E27" i="35"/>
  <c r="G27" i="35"/>
  <c r="B28" i="35"/>
  <c r="C27" i="35"/>
  <c r="L27" i="35"/>
  <c r="F27" i="35"/>
  <c r="K27" i="35"/>
  <c r="M27" i="35"/>
  <c r="R27" i="35"/>
  <c r="D27" i="35"/>
  <c r="P26" i="35"/>
  <c r="Q26" i="35" s="1"/>
  <c r="H26" i="35" s="1" a="1"/>
  <c r="H26" i="35" s="1"/>
  <c r="O26" i="35"/>
  <c r="N26" i="35"/>
  <c r="J26" i="35"/>
  <c r="I25" i="36"/>
  <c r="S23" i="34"/>
  <c r="I23" i="34"/>
  <c r="O24" i="34"/>
  <c r="P24" i="34"/>
  <c r="Q24" i="34" s="1"/>
  <c r="H24" i="34" s="1"/>
  <c r="E26" i="36"/>
  <c r="D26" i="36"/>
  <c r="B27" i="36"/>
  <c r="H26" i="36"/>
  <c r="G26" i="36"/>
  <c r="F26" i="36"/>
  <c r="C26" i="36"/>
  <c r="W21" i="29"/>
  <c r="H21" i="29"/>
  <c r="U21" i="29"/>
  <c r="I21" i="29"/>
  <c r="G21" i="29"/>
  <c r="V21" i="29"/>
  <c r="B22" i="29"/>
  <c r="D21" i="29"/>
  <c r="F21" i="29"/>
  <c r="R21" i="29"/>
  <c r="Q21" i="29"/>
  <c r="T21" i="29"/>
  <c r="N21" i="29"/>
  <c r="E21" i="29"/>
  <c r="C21" i="29"/>
  <c r="M21" i="29"/>
  <c r="O21" i="29"/>
  <c r="J21" i="29"/>
  <c r="X21" i="29"/>
  <c r="K21" i="29"/>
  <c r="L21" i="29"/>
  <c r="S21" i="29"/>
  <c r="P21" i="29"/>
  <c r="N24" i="34"/>
  <c r="K24" i="34"/>
  <c r="O28" i="34"/>
  <c r="N28" i="34"/>
  <c r="O27" i="35" l="1"/>
  <c r="P27" i="35"/>
  <c r="Q27" i="35" s="1"/>
  <c r="H27" i="35" s="1" a="1"/>
  <c r="H27" i="35" s="1"/>
  <c r="I26" i="35"/>
  <c r="S26" i="35"/>
  <c r="D28" i="35"/>
  <c r="L28" i="35"/>
  <c r="C28" i="35"/>
  <c r="R28" i="35"/>
  <c r="G28" i="35"/>
  <c r="E28" i="35"/>
  <c r="B29" i="35"/>
  <c r="F28" i="35"/>
  <c r="K28" i="35"/>
  <c r="M28" i="35"/>
  <c r="J27" i="35"/>
  <c r="N27" i="35"/>
  <c r="M30" i="34"/>
  <c r="K28" i="34"/>
  <c r="B28" i="36"/>
  <c r="H27" i="36"/>
  <c r="D27" i="36"/>
  <c r="F27" i="36"/>
  <c r="C27" i="36"/>
  <c r="E27" i="36"/>
  <c r="G27" i="36"/>
  <c r="I26" i="36"/>
  <c r="S24" i="34"/>
  <c r="I24" i="34"/>
  <c r="G22" i="29"/>
  <c r="T22" i="29"/>
  <c r="K22" i="29"/>
  <c r="N22" i="29"/>
  <c r="M22" i="29"/>
  <c r="V22" i="29"/>
  <c r="F22" i="29"/>
  <c r="P22" i="29"/>
  <c r="U22" i="29"/>
  <c r="X22" i="29"/>
  <c r="C22" i="29"/>
  <c r="O22" i="29"/>
  <c r="E22" i="29"/>
  <c r="W22" i="29"/>
  <c r="B23" i="29"/>
  <c r="Q22" i="29"/>
  <c r="S22" i="29"/>
  <c r="L22" i="29"/>
  <c r="D22" i="29"/>
  <c r="R22" i="29"/>
  <c r="J22" i="29"/>
  <c r="I22" i="29"/>
  <c r="H22" i="29"/>
  <c r="I25" i="34"/>
  <c r="I27" i="35" l="1"/>
  <c r="S27" i="35"/>
  <c r="F29" i="35"/>
  <c r="B30" i="35"/>
  <c r="B31" i="35" s="1"/>
  <c r="G29" i="35"/>
  <c r="M29" i="35"/>
  <c r="K29" i="35"/>
  <c r="E29" i="35"/>
  <c r="L29" i="35"/>
  <c r="C29" i="35"/>
  <c r="D29" i="35"/>
  <c r="R29" i="35"/>
  <c r="J28" i="35"/>
  <c r="N28" i="35"/>
  <c r="P28" i="35"/>
  <c r="Q28" i="35" s="1"/>
  <c r="H28" i="35" s="1" a="1"/>
  <c r="H28" i="35" s="1"/>
  <c r="O28" i="35"/>
  <c r="X23" i="29"/>
  <c r="P23" i="29"/>
  <c r="M23" i="29"/>
  <c r="O23" i="29"/>
  <c r="H23" i="29"/>
  <c r="L23" i="29"/>
  <c r="K23" i="29"/>
  <c r="S23" i="29"/>
  <c r="W23" i="29"/>
  <c r="R23" i="29"/>
  <c r="V23" i="29"/>
  <c r="Q23" i="29"/>
  <c r="J23" i="29"/>
  <c r="G23" i="29"/>
  <c r="U23" i="29"/>
  <c r="N23" i="29"/>
  <c r="I23" i="29"/>
  <c r="F23" i="29"/>
  <c r="B24" i="29"/>
  <c r="T23" i="29"/>
  <c r="D23" i="29"/>
  <c r="E23" i="29"/>
  <c r="C23" i="29"/>
  <c r="I27" i="36"/>
  <c r="B29" i="36"/>
  <c r="C28" i="36"/>
  <c r="D28" i="36"/>
  <c r="E28" i="36"/>
  <c r="H28" i="36"/>
  <c r="G28" i="36"/>
  <c r="F28" i="36"/>
  <c r="I28" i="34"/>
  <c r="C31" i="35" l="1"/>
  <c r="G31" i="35"/>
  <c r="K31" i="35"/>
  <c r="L31" i="35"/>
  <c r="M31" i="35"/>
  <c r="F31" i="35"/>
  <c r="D31" i="35"/>
  <c r="R31" i="35"/>
  <c r="B32" i="35"/>
  <c r="E31" i="35"/>
  <c r="I28" i="35"/>
  <c r="S28" i="35"/>
  <c r="P29" i="35"/>
  <c r="Q29" i="35" s="1"/>
  <c r="H29" i="35" s="1" a="1"/>
  <c r="H29" i="35" s="1"/>
  <c r="O29" i="35"/>
  <c r="N29" i="35"/>
  <c r="J29" i="35"/>
  <c r="M30" i="35"/>
  <c r="L30" i="35"/>
  <c r="K30" i="35"/>
  <c r="E30" i="35"/>
  <c r="F30" i="35"/>
  <c r="C30" i="35"/>
  <c r="R30" i="35"/>
  <c r="D30" i="35"/>
  <c r="G30" i="35"/>
  <c r="W30" i="34"/>
  <c r="U28" i="34" s="1"/>
  <c r="M31" i="34" s="1"/>
  <c r="I28" i="36"/>
  <c r="F29" i="36"/>
  <c r="B30" i="36"/>
  <c r="H29" i="36"/>
  <c r="G29" i="36"/>
  <c r="E29" i="36"/>
  <c r="D29" i="36"/>
  <c r="C29" i="36"/>
  <c r="B25" i="29"/>
  <c r="D24" i="29"/>
  <c r="I24" i="29"/>
  <c r="C24" i="29"/>
  <c r="X24" i="29"/>
  <c r="R24" i="29"/>
  <c r="E24" i="29"/>
  <c r="J24" i="29"/>
  <c r="V24" i="29"/>
  <c r="U24" i="29"/>
  <c r="T24" i="29"/>
  <c r="F24" i="29"/>
  <c r="O24" i="29"/>
  <c r="H24" i="29"/>
  <c r="N24" i="29"/>
  <c r="S24" i="29"/>
  <c r="L24" i="29"/>
  <c r="Q24" i="29"/>
  <c r="K24" i="29"/>
  <c r="G24" i="29"/>
  <c r="M24" i="29"/>
  <c r="P24" i="29"/>
  <c r="W24" i="29"/>
  <c r="D32" i="35" l="1"/>
  <c r="G32" i="35"/>
  <c r="R32" i="35"/>
  <c r="K32" i="35"/>
  <c r="M32" i="35"/>
  <c r="E32" i="35"/>
  <c r="F32" i="35"/>
  <c r="L32" i="35"/>
  <c r="C32" i="35"/>
  <c r="O31" i="35"/>
  <c r="P31" i="35"/>
  <c r="Q31" i="35" s="1"/>
  <c r="H31" i="35" s="1" a="1"/>
  <c r="H31" i="35" s="1"/>
  <c r="J31" i="35"/>
  <c r="N31" i="35"/>
  <c r="O30" i="35"/>
  <c r="P30" i="35"/>
  <c r="Q30" i="35" s="1"/>
  <c r="H30" i="35" s="1" a="1"/>
  <c r="H30" i="35" s="1"/>
  <c r="S29" i="35"/>
  <c r="I29" i="35"/>
  <c r="J30" i="35"/>
  <c r="N30" i="35"/>
  <c r="C30" i="36"/>
  <c r="B31" i="36"/>
  <c r="H30" i="36"/>
  <c r="G30" i="36"/>
  <c r="F30" i="36"/>
  <c r="E30" i="36"/>
  <c r="D30" i="36"/>
  <c r="S25" i="29"/>
  <c r="L25" i="29"/>
  <c r="C25" i="29"/>
  <c r="Q25" i="29"/>
  <c r="O25" i="29"/>
  <c r="V25" i="29"/>
  <c r="U25" i="29"/>
  <c r="T25" i="29"/>
  <c r="D25" i="29"/>
  <c r="M25" i="29"/>
  <c r="R25" i="29"/>
  <c r="J25" i="29"/>
  <c r="N25" i="29"/>
  <c r="B26" i="29"/>
  <c r="I25" i="29"/>
  <c r="K25" i="29"/>
  <c r="P25" i="29"/>
  <c r="E25" i="29"/>
  <c r="H25" i="29"/>
  <c r="F25" i="29"/>
  <c r="X25" i="29"/>
  <c r="W25" i="29"/>
  <c r="G25" i="29"/>
  <c r="I29" i="36"/>
  <c r="X30" i="34"/>
  <c r="V30" i="34" s="1"/>
  <c r="I31" i="35" l="1"/>
  <c r="S31" i="35"/>
  <c r="N32" i="35"/>
  <c r="J32" i="35"/>
  <c r="O32" i="35"/>
  <c r="P32" i="35"/>
  <c r="Q32" i="35" s="1"/>
  <c r="H32" i="35" s="1" a="1"/>
  <c r="H32" i="35" s="1"/>
  <c r="I30" i="35"/>
  <c r="S30" i="35"/>
  <c r="X28" i="34"/>
  <c r="R12" i="34"/>
  <c r="I30" i="36"/>
  <c r="F31" i="36"/>
  <c r="C31" i="36"/>
  <c r="E31" i="36"/>
  <c r="D31" i="36"/>
  <c r="H31" i="36"/>
  <c r="B32" i="36"/>
  <c r="G31" i="36"/>
  <c r="X26" i="29"/>
  <c r="X28" i="29" s="1"/>
  <c r="J26" i="29"/>
  <c r="J28" i="29" s="1"/>
  <c r="S26" i="29"/>
  <c r="F26" i="29"/>
  <c r="E26" i="29"/>
  <c r="R26" i="29"/>
  <c r="R28" i="29" s="1"/>
  <c r="U26" i="29"/>
  <c r="U28" i="29" s="1"/>
  <c r="O26" i="29"/>
  <c r="Q26" i="29"/>
  <c r="Q28" i="29" s="1"/>
  <c r="N26" i="29"/>
  <c r="N28" i="29" s="1"/>
  <c r="P26" i="29"/>
  <c r="M26" i="29"/>
  <c r="I26" i="29"/>
  <c r="H26" i="29"/>
  <c r="H28" i="29" s="1"/>
  <c r="G26" i="29"/>
  <c r="L26" i="29"/>
  <c r="V26" i="29"/>
  <c r="V28" i="29" s="1"/>
  <c r="T26" i="29"/>
  <c r="C26" i="29"/>
  <c r="K26" i="29"/>
  <c r="D26" i="29"/>
  <c r="W26" i="29"/>
  <c r="S32" i="35" l="1"/>
  <c r="I32" i="35"/>
  <c r="I31" i="36"/>
  <c r="F32" i="36"/>
  <c r="E32" i="36"/>
  <c r="H32" i="36"/>
  <c r="D32" i="36"/>
  <c r="C32" i="36"/>
  <c r="B33" i="36"/>
  <c r="G32" i="36"/>
  <c r="E33" i="36" l="1"/>
  <c r="H33" i="36"/>
  <c r="C33" i="36"/>
  <c r="F33" i="36"/>
  <c r="G33" i="36"/>
  <c r="D33" i="36"/>
  <c r="B34" i="36"/>
  <c r="I32" i="36"/>
  <c r="H34" i="36" l="1"/>
  <c r="G34" i="36"/>
  <c r="E34" i="36"/>
  <c r="C34" i="36"/>
  <c r="F34" i="36"/>
  <c r="D34" i="36"/>
  <c r="B35" i="36"/>
  <c r="I33" i="36"/>
  <c r="F35" i="36" l="1"/>
  <c r="D35" i="36"/>
  <c r="B36" i="36"/>
  <c r="E35" i="36"/>
  <c r="H35" i="36"/>
  <c r="C35" i="36"/>
  <c r="G35" i="36"/>
  <c r="I34" i="36"/>
  <c r="I35" i="36" l="1"/>
  <c r="B37" i="36"/>
  <c r="H36" i="36"/>
  <c r="E36" i="36"/>
  <c r="D36" i="36"/>
  <c r="G36" i="36"/>
  <c r="F36" i="36"/>
  <c r="C36" i="36"/>
  <c r="I36" i="36" l="1"/>
  <c r="D37" i="36"/>
  <c r="C37" i="36"/>
  <c r="F37" i="36"/>
  <c r="B38" i="36"/>
  <c r="E37" i="36"/>
  <c r="H37" i="36"/>
  <c r="G37" i="36"/>
  <c r="D38" i="36" l="1"/>
  <c r="B39" i="36"/>
  <c r="C38" i="36"/>
  <c r="G38" i="36"/>
  <c r="E38" i="36"/>
  <c r="H38" i="36"/>
  <c r="F38" i="36"/>
  <c r="I37" i="36"/>
  <c r="D39" i="36" l="1"/>
  <c r="E39" i="36"/>
  <c r="B40" i="36"/>
  <c r="H39" i="36"/>
  <c r="F39" i="36"/>
  <c r="G39" i="36"/>
  <c r="C39" i="36"/>
  <c r="I38" i="36"/>
  <c r="I39" i="36" l="1"/>
  <c r="H40" i="36"/>
  <c r="G40" i="36"/>
  <c r="B41" i="36"/>
  <c r="C40" i="36"/>
  <c r="D40" i="36"/>
  <c r="F40" i="36"/>
  <c r="E40" i="36"/>
  <c r="G41" i="36" l="1"/>
  <c r="F41" i="36"/>
  <c r="E41" i="36"/>
  <c r="C41" i="36"/>
  <c r="D41" i="36"/>
  <c r="B42" i="36"/>
  <c r="H41" i="36"/>
  <c r="I40" i="36"/>
  <c r="I41" i="36" l="1"/>
  <c r="B43" i="36"/>
  <c r="G42" i="36"/>
  <c r="F42" i="36"/>
  <c r="H42" i="36"/>
  <c r="C42" i="36"/>
  <c r="D42" i="36"/>
  <c r="E42" i="36"/>
  <c r="I42" i="36" l="1"/>
  <c r="E43" i="36"/>
  <c r="D43" i="36"/>
  <c r="C43" i="36"/>
  <c r="H43" i="36"/>
  <c r="G43" i="36"/>
  <c r="F43" i="36"/>
  <c r="I43" i="36" l="1"/>
  <c r="N36" i="35"/>
  <c r="I47" i="36"/>
  <c r="O36" i="35"/>
  <c r="M38" i="35" l="1"/>
  <c r="J36" i="35"/>
  <c r="I33" i="35"/>
  <c r="Q36" i="35" l="1"/>
  <c r="S36" i="35"/>
  <c r="R36" i="35"/>
  <c r="P36" i="35"/>
  <c r="G36" i="35"/>
  <c r="I36" i="35"/>
  <c r="W38" i="35" l="1"/>
  <c r="U36" i="35" s="1"/>
  <c r="X38" i="35" s="1"/>
  <c r="V38" i="35" s="1"/>
  <c r="C1" i="35"/>
  <c r="M39" i="35" l="1"/>
  <c r="R13" i="35"/>
  <c r="X36" i="3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Kevin She</author>
  </authors>
  <commentList>
    <comment ref="Q12" authorId="0" shapeId="0" xr:uid="{00000000-0006-0000-0000-000001000000}">
      <text>
        <r>
          <rPr>
            <b/>
            <sz val="9"/>
            <rFont val="宋体"/>
            <family val="3"/>
            <charset val="134"/>
          </rPr>
          <t>Kevin She:</t>
        </r>
        <r>
          <rPr>
            <sz val="9"/>
            <rFont val="宋体"/>
            <family val="3"/>
            <charset val="134"/>
          </rPr>
          <t xml:space="preserve">
汇率</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Kevin She</author>
  </authors>
  <commentList>
    <comment ref="Q13" authorId="0" shapeId="0" xr:uid="{00000000-0006-0000-0200-000001000000}">
      <text>
        <r>
          <rPr>
            <b/>
            <sz val="9"/>
            <rFont val="宋体"/>
            <family val="3"/>
            <charset val="134"/>
          </rPr>
          <t>Kevin She:</t>
        </r>
        <r>
          <rPr>
            <sz val="9"/>
            <rFont val="宋体"/>
            <family val="3"/>
            <charset val="134"/>
          </rPr>
          <t xml:space="preserve">
汇率</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Kevin She</author>
  </authors>
  <commentList>
    <comment ref="AC19" authorId="0" shapeId="0" xr:uid="{00000000-0006-0000-0500-000001000000}">
      <text>
        <r>
          <rPr>
            <b/>
            <sz val="9"/>
            <rFont val="宋体"/>
            <family val="3"/>
            <charset val="134"/>
          </rPr>
          <t>Kevin She:</t>
        </r>
        <r>
          <rPr>
            <sz val="9"/>
            <rFont val="宋体"/>
            <family val="3"/>
            <charset val="134"/>
          </rPr>
          <t xml:space="preserve">
≥8米时，增加额外成本</t>
        </r>
      </text>
    </comment>
    <comment ref="H22" authorId="0" shapeId="0" xr:uid="{00000000-0006-0000-0500-000002000000}">
      <text>
        <r>
          <rPr>
            <b/>
            <sz val="9"/>
            <rFont val="宋体"/>
            <family val="3"/>
            <charset val="134"/>
          </rPr>
          <t>Kevin She:
一套两件</t>
        </r>
      </text>
    </comment>
    <comment ref="J24" authorId="0" shapeId="0" xr:uid="{00000000-0006-0000-0500-000003000000}">
      <text>
        <r>
          <rPr>
            <b/>
            <sz val="9"/>
            <rFont val="宋体"/>
            <family val="3"/>
            <charset val="134"/>
          </rPr>
          <t>Kevin She:</t>
        </r>
        <r>
          <rPr>
            <sz val="9"/>
            <rFont val="宋体"/>
            <family val="3"/>
            <charset val="134"/>
          </rPr>
          <t xml:space="preserve">
6.5*1.02+1+2</t>
        </r>
      </text>
    </comment>
    <comment ref="AC27" authorId="0" shapeId="0" xr:uid="{00000000-0006-0000-0500-000004000000}">
      <text>
        <r>
          <rPr>
            <b/>
            <sz val="9"/>
            <rFont val="宋体"/>
            <family val="3"/>
            <charset val="134"/>
          </rPr>
          <t>Kevin She:</t>
        </r>
        <r>
          <rPr>
            <sz val="9"/>
            <rFont val="宋体"/>
            <family val="3"/>
            <charset val="134"/>
          </rPr>
          <t xml:space="preserve">
≥8米时，增加额外成本</t>
        </r>
      </text>
    </comment>
    <comment ref="H30" authorId="0" shapeId="0" xr:uid="{00000000-0006-0000-0500-000005000000}">
      <text>
        <r>
          <rPr>
            <b/>
            <sz val="9"/>
            <rFont val="宋体"/>
            <family val="3"/>
            <charset val="134"/>
          </rPr>
          <t>Kevin She:
一套两件</t>
        </r>
      </text>
    </comment>
    <comment ref="J32" authorId="0" shapeId="0" xr:uid="{00000000-0006-0000-0500-000006000000}">
      <text>
        <r>
          <rPr>
            <b/>
            <sz val="9"/>
            <rFont val="宋体"/>
            <family val="3"/>
            <charset val="134"/>
          </rPr>
          <t>Kevin She:</t>
        </r>
        <r>
          <rPr>
            <sz val="9"/>
            <rFont val="宋体"/>
            <family val="3"/>
            <charset val="134"/>
          </rPr>
          <t xml:space="preserve">
6.5*1.02+1+2</t>
        </r>
      </text>
    </comment>
    <comment ref="AC35" authorId="0" shapeId="0" xr:uid="{00000000-0006-0000-0500-000007000000}">
      <text>
        <r>
          <rPr>
            <b/>
            <sz val="9"/>
            <rFont val="宋体"/>
            <family val="3"/>
            <charset val="134"/>
          </rPr>
          <t>Kevin She:</t>
        </r>
        <r>
          <rPr>
            <sz val="9"/>
            <rFont val="宋体"/>
            <family val="3"/>
            <charset val="134"/>
          </rPr>
          <t xml:space="preserve">
≥8米时，增加额外成本</t>
        </r>
      </text>
    </comment>
    <comment ref="H38" authorId="0" shapeId="0" xr:uid="{00000000-0006-0000-0500-000008000000}">
      <text>
        <r>
          <rPr>
            <b/>
            <sz val="9"/>
            <rFont val="宋体"/>
            <family val="3"/>
            <charset val="134"/>
          </rPr>
          <t>Kevin She:
一套两件</t>
        </r>
      </text>
    </comment>
    <comment ref="J40" authorId="0" shapeId="0" xr:uid="{00000000-0006-0000-0500-000009000000}">
      <text>
        <r>
          <rPr>
            <b/>
            <sz val="9"/>
            <rFont val="宋体"/>
            <family val="3"/>
            <charset val="134"/>
          </rPr>
          <t>Kevin She:</t>
        </r>
        <r>
          <rPr>
            <sz val="9"/>
            <rFont val="宋体"/>
            <family val="3"/>
            <charset val="134"/>
          </rPr>
          <t xml:space="preserve">
6.5*1.02+1+2</t>
        </r>
      </text>
    </comment>
    <comment ref="Q43" authorId="0" shapeId="0" xr:uid="{00000000-0006-0000-0500-00000A000000}">
      <text>
        <r>
          <rPr>
            <b/>
            <sz val="9"/>
            <rFont val="宋体"/>
            <family val="3"/>
            <charset val="134"/>
          </rPr>
          <t>Kevin She:</t>
        </r>
        <r>
          <rPr>
            <sz val="9"/>
            <rFont val="宋体"/>
            <family val="3"/>
            <charset val="134"/>
          </rPr>
          <t xml:space="preserve">
横斜撑节距</t>
        </r>
      </text>
    </comment>
    <comment ref="AC43" authorId="0" shapeId="0" xr:uid="{00000000-0006-0000-0500-00000B000000}">
      <text>
        <r>
          <rPr>
            <b/>
            <sz val="9"/>
            <rFont val="宋体"/>
            <family val="3"/>
            <charset val="134"/>
          </rPr>
          <t>Kevin She:</t>
        </r>
        <r>
          <rPr>
            <sz val="9"/>
            <rFont val="宋体"/>
            <family val="3"/>
            <charset val="134"/>
          </rPr>
          <t xml:space="preserve">
≥8米时，增加额外成本</t>
        </r>
      </text>
    </comment>
    <comment ref="E44" authorId="0" shapeId="0" xr:uid="{00000000-0006-0000-0500-00000C000000}">
      <text>
        <r>
          <rPr>
            <b/>
            <sz val="9"/>
            <rFont val="宋体"/>
            <family val="3"/>
            <charset val="134"/>
          </rPr>
          <t>Kevin She:</t>
        </r>
        <r>
          <rPr>
            <sz val="9"/>
            <rFont val="宋体"/>
            <family val="3"/>
            <charset val="134"/>
          </rPr>
          <t xml:space="preserve">
D</t>
        </r>
      </text>
    </comment>
    <comment ref="J47" authorId="0" shapeId="0" xr:uid="{00000000-0006-0000-0500-00000D000000}">
      <text>
        <r>
          <rPr>
            <b/>
            <sz val="9"/>
            <rFont val="宋体"/>
            <family val="3"/>
            <charset val="134"/>
          </rPr>
          <t>Kevin She:</t>
        </r>
        <r>
          <rPr>
            <sz val="9"/>
            <rFont val="宋体"/>
            <family val="3"/>
            <charset val="134"/>
          </rPr>
          <t xml:space="preserve">
6.5*1.02+1+2</t>
        </r>
      </text>
    </comment>
    <comment ref="Q50" authorId="0" shapeId="0" xr:uid="{00000000-0006-0000-0500-00000E000000}">
      <text>
        <r>
          <rPr>
            <b/>
            <sz val="9"/>
            <rFont val="宋体"/>
            <family val="3"/>
            <charset val="134"/>
          </rPr>
          <t>Kevin She:</t>
        </r>
        <r>
          <rPr>
            <sz val="9"/>
            <rFont val="宋体"/>
            <family val="3"/>
            <charset val="134"/>
          </rPr>
          <t xml:space="preserve">
横斜撑节距</t>
        </r>
      </text>
    </comment>
    <comment ref="AC50" authorId="0" shapeId="0" xr:uid="{00000000-0006-0000-0500-00000F000000}">
      <text>
        <r>
          <rPr>
            <b/>
            <sz val="9"/>
            <rFont val="宋体"/>
            <family val="3"/>
            <charset val="134"/>
          </rPr>
          <t>Kevin She:</t>
        </r>
        <r>
          <rPr>
            <sz val="9"/>
            <rFont val="宋体"/>
            <family val="3"/>
            <charset val="134"/>
          </rPr>
          <t xml:space="preserve">
≥8米时，增加额外成本</t>
        </r>
      </text>
    </comment>
    <comment ref="E51" authorId="0" shapeId="0" xr:uid="{00000000-0006-0000-0500-000010000000}">
      <text>
        <r>
          <rPr>
            <b/>
            <sz val="9"/>
            <rFont val="宋体"/>
            <family val="3"/>
            <charset val="134"/>
          </rPr>
          <t>Kevin She:</t>
        </r>
        <r>
          <rPr>
            <sz val="9"/>
            <rFont val="宋体"/>
            <family val="3"/>
            <charset val="134"/>
          </rPr>
          <t xml:space="preserve">
D</t>
        </r>
      </text>
    </comment>
    <comment ref="J54" authorId="0" shapeId="0" xr:uid="{00000000-0006-0000-0500-000011000000}">
      <text>
        <r>
          <rPr>
            <b/>
            <sz val="9"/>
            <rFont val="宋体"/>
            <family val="3"/>
            <charset val="134"/>
          </rPr>
          <t>Kevin She:</t>
        </r>
        <r>
          <rPr>
            <sz val="9"/>
            <rFont val="宋体"/>
            <family val="3"/>
            <charset val="134"/>
          </rPr>
          <t xml:space="preserve">
6.5*1.02+1+2</t>
        </r>
      </text>
    </comment>
    <comment ref="AC57" authorId="0" shapeId="0" xr:uid="{00000000-0006-0000-0500-000012000000}">
      <text>
        <r>
          <rPr>
            <b/>
            <sz val="9"/>
            <rFont val="宋体"/>
            <family val="3"/>
            <charset val="134"/>
          </rPr>
          <t>Kevin She:</t>
        </r>
        <r>
          <rPr>
            <sz val="9"/>
            <rFont val="宋体"/>
            <family val="3"/>
            <charset val="134"/>
          </rPr>
          <t xml:space="preserve">
≥8米时，增加额外成本</t>
        </r>
      </text>
    </comment>
    <comment ref="F58" authorId="0" shapeId="0" xr:uid="{00000000-0006-0000-0500-000013000000}">
      <text>
        <r>
          <rPr>
            <b/>
            <sz val="9"/>
            <rFont val="宋体"/>
            <family val="3"/>
            <charset val="134"/>
          </rPr>
          <t>Kevin She:</t>
        </r>
        <r>
          <rPr>
            <sz val="9"/>
            <rFont val="宋体"/>
            <family val="3"/>
            <charset val="134"/>
          </rPr>
          <t xml:space="preserve">
H</t>
        </r>
      </text>
    </comment>
    <comment ref="J59" authorId="0" shapeId="0" xr:uid="{00000000-0006-0000-0500-000014000000}">
      <text>
        <r>
          <rPr>
            <b/>
            <sz val="9"/>
            <rFont val="宋体"/>
            <family val="3"/>
            <charset val="134"/>
          </rPr>
          <t>Kevin She:</t>
        </r>
        <r>
          <rPr>
            <sz val="9"/>
            <rFont val="宋体"/>
            <family val="3"/>
            <charset val="134"/>
          </rPr>
          <t xml:space="preserve">
6.5*1.02+1+2</t>
        </r>
      </text>
    </comment>
    <comment ref="E64" authorId="0" shapeId="0" xr:uid="{00000000-0006-0000-0500-000015000000}">
      <text>
        <r>
          <rPr>
            <b/>
            <sz val="9"/>
            <rFont val="宋体"/>
            <family val="3"/>
            <charset val="134"/>
          </rPr>
          <t>Kevin She:</t>
        </r>
        <r>
          <rPr>
            <sz val="9"/>
            <rFont val="宋体"/>
            <family val="3"/>
            <charset val="134"/>
          </rPr>
          <t xml:space="preserve">
长度</t>
        </r>
      </text>
    </comment>
    <comment ref="F64" authorId="0" shapeId="0" xr:uid="{00000000-0006-0000-0500-000016000000}">
      <text>
        <r>
          <rPr>
            <b/>
            <sz val="9"/>
            <rFont val="宋体"/>
            <family val="3"/>
            <charset val="134"/>
          </rPr>
          <t>Kevin She:</t>
        </r>
        <r>
          <rPr>
            <sz val="9"/>
            <rFont val="宋体"/>
            <family val="3"/>
            <charset val="134"/>
          </rPr>
          <t xml:space="preserve">
W</t>
        </r>
      </text>
    </comment>
    <comment ref="E69" authorId="0" shapeId="0" xr:uid="{00000000-0006-0000-0500-000017000000}">
      <text>
        <r>
          <rPr>
            <b/>
            <sz val="9"/>
            <rFont val="宋体"/>
            <family val="3"/>
            <charset val="134"/>
          </rPr>
          <t>Kevin She:</t>
        </r>
        <r>
          <rPr>
            <sz val="9"/>
            <rFont val="宋体"/>
            <family val="3"/>
            <charset val="134"/>
          </rPr>
          <t xml:space="preserve">
长度</t>
        </r>
      </text>
    </comment>
    <comment ref="F69" authorId="0" shapeId="0" xr:uid="{00000000-0006-0000-0500-000018000000}">
      <text>
        <r>
          <rPr>
            <b/>
            <sz val="9"/>
            <rFont val="宋体"/>
            <family val="3"/>
            <charset val="134"/>
          </rPr>
          <t>Kevin She:</t>
        </r>
        <r>
          <rPr>
            <sz val="9"/>
            <rFont val="宋体"/>
            <family val="3"/>
            <charset val="134"/>
          </rPr>
          <t xml:space="preserve">
W</t>
        </r>
      </text>
    </comment>
    <comment ref="E74" authorId="0" shapeId="0" xr:uid="{00000000-0006-0000-0500-000019000000}">
      <text>
        <r>
          <rPr>
            <b/>
            <sz val="9"/>
            <rFont val="宋体"/>
            <family val="3"/>
            <charset val="134"/>
          </rPr>
          <t>Kevin She:</t>
        </r>
        <r>
          <rPr>
            <sz val="9"/>
            <rFont val="宋体"/>
            <family val="3"/>
            <charset val="134"/>
          </rPr>
          <t xml:space="preserve">
长度</t>
        </r>
      </text>
    </comment>
    <comment ref="F74" authorId="0" shapeId="0" xr:uid="{00000000-0006-0000-0500-00001A000000}">
      <text>
        <r>
          <rPr>
            <b/>
            <sz val="9"/>
            <rFont val="宋体"/>
            <family val="3"/>
            <charset val="134"/>
          </rPr>
          <t>Kevin She:</t>
        </r>
        <r>
          <rPr>
            <sz val="9"/>
            <rFont val="宋体"/>
            <family val="3"/>
            <charset val="134"/>
          </rPr>
          <t xml:space="preserve">
W</t>
        </r>
      </text>
    </comment>
    <comment ref="E79" authorId="0" shapeId="0" xr:uid="{00000000-0006-0000-0500-00001B000000}">
      <text>
        <r>
          <rPr>
            <b/>
            <sz val="9"/>
            <rFont val="宋体"/>
            <family val="3"/>
            <charset val="134"/>
          </rPr>
          <t>Kevin She:</t>
        </r>
        <r>
          <rPr>
            <sz val="9"/>
            <rFont val="宋体"/>
            <family val="3"/>
            <charset val="134"/>
          </rPr>
          <t xml:space="preserve">
长度</t>
        </r>
      </text>
    </comment>
    <comment ref="F79" authorId="0" shapeId="0" xr:uid="{00000000-0006-0000-0500-00001C000000}">
      <text>
        <r>
          <rPr>
            <b/>
            <sz val="9"/>
            <rFont val="宋体"/>
            <family val="3"/>
            <charset val="134"/>
          </rPr>
          <t>Kevin She:</t>
        </r>
        <r>
          <rPr>
            <sz val="9"/>
            <rFont val="宋体"/>
            <family val="3"/>
            <charset val="134"/>
          </rPr>
          <t xml:space="preserve">
长度</t>
        </r>
      </text>
    </comment>
    <comment ref="D86" authorId="0" shapeId="0" xr:uid="{00000000-0006-0000-0500-00001D000000}">
      <text>
        <r>
          <rPr>
            <b/>
            <sz val="9"/>
            <rFont val="宋体"/>
            <family val="3"/>
            <charset val="134"/>
          </rPr>
          <t>Kevin She:</t>
        </r>
        <r>
          <rPr>
            <sz val="9"/>
            <rFont val="宋体"/>
            <family val="3"/>
            <charset val="134"/>
          </rPr>
          <t xml:space="preserve">
附件重量</t>
        </r>
      </text>
    </comment>
    <comment ref="I86" authorId="0" shapeId="0" xr:uid="{00000000-0006-0000-0500-00001E000000}">
      <text>
        <r>
          <rPr>
            <b/>
            <sz val="9"/>
            <rFont val="宋体"/>
            <family val="3"/>
            <charset val="134"/>
          </rPr>
          <t>Kevin She:</t>
        </r>
        <r>
          <rPr>
            <sz val="9"/>
            <rFont val="宋体"/>
            <family val="3"/>
            <charset val="134"/>
          </rPr>
          <t xml:space="preserve">
连接件单价</t>
        </r>
      </text>
    </comment>
    <comment ref="J86" authorId="0" shapeId="0" xr:uid="{00000000-0006-0000-0500-00001F000000}">
      <text>
        <r>
          <rPr>
            <b/>
            <sz val="9"/>
            <rFont val="宋体"/>
            <family val="3"/>
            <charset val="134"/>
          </rPr>
          <t>Kevin She:</t>
        </r>
        <r>
          <rPr>
            <sz val="9"/>
            <rFont val="宋体"/>
            <family val="3"/>
            <charset val="134"/>
          </rPr>
          <t xml:space="preserve">
工费</t>
        </r>
      </text>
    </comment>
    <comment ref="J87" authorId="0" shapeId="0" xr:uid="{00000000-0006-0000-0500-000020000000}">
      <text>
        <r>
          <rPr>
            <b/>
            <sz val="9"/>
            <rFont val="宋体"/>
            <family val="3"/>
            <charset val="134"/>
          </rPr>
          <t>Kevin She:</t>
        </r>
        <r>
          <rPr>
            <sz val="9"/>
            <rFont val="宋体"/>
            <family val="3"/>
            <charset val="134"/>
          </rPr>
          <t xml:space="preserve">
连接件喷塑单价</t>
        </r>
      </text>
    </comment>
    <comment ref="D92" authorId="0" shapeId="0" xr:uid="{00000000-0006-0000-0500-000021000000}">
      <text>
        <r>
          <rPr>
            <b/>
            <sz val="9"/>
            <rFont val="宋体"/>
            <family val="3"/>
            <charset val="134"/>
          </rPr>
          <t>Kevin She:</t>
        </r>
        <r>
          <rPr>
            <sz val="9"/>
            <rFont val="宋体"/>
            <family val="3"/>
            <charset val="134"/>
          </rPr>
          <t xml:space="preserve">
附件重量</t>
        </r>
      </text>
    </comment>
    <comment ref="I92" authorId="0" shapeId="0" xr:uid="{00000000-0006-0000-0500-000022000000}">
      <text>
        <r>
          <rPr>
            <b/>
            <sz val="9"/>
            <rFont val="宋体"/>
            <family val="3"/>
            <charset val="134"/>
          </rPr>
          <t>Kevin She:</t>
        </r>
        <r>
          <rPr>
            <sz val="9"/>
            <rFont val="宋体"/>
            <family val="3"/>
            <charset val="134"/>
          </rPr>
          <t xml:space="preserve">
连接件单价</t>
        </r>
      </text>
    </comment>
    <comment ref="J92" authorId="0" shapeId="0" xr:uid="{00000000-0006-0000-0500-000023000000}">
      <text>
        <r>
          <rPr>
            <b/>
            <sz val="9"/>
            <rFont val="宋体"/>
            <family val="3"/>
            <charset val="134"/>
          </rPr>
          <t>Kevin She:</t>
        </r>
        <r>
          <rPr>
            <sz val="9"/>
            <rFont val="宋体"/>
            <family val="3"/>
            <charset val="134"/>
          </rPr>
          <t xml:space="preserve">
工费</t>
        </r>
      </text>
    </comment>
    <comment ref="J93" authorId="0" shapeId="0" xr:uid="{00000000-0006-0000-0500-000024000000}">
      <text>
        <r>
          <rPr>
            <b/>
            <sz val="9"/>
            <rFont val="宋体"/>
            <family val="3"/>
            <charset val="134"/>
          </rPr>
          <t>Kevin She:</t>
        </r>
        <r>
          <rPr>
            <sz val="9"/>
            <rFont val="宋体"/>
            <family val="3"/>
            <charset val="134"/>
          </rPr>
          <t xml:space="preserve">
连接件喷塑单价</t>
        </r>
      </text>
    </comment>
    <comment ref="D98" authorId="0" shapeId="0" xr:uid="{00000000-0006-0000-0500-000025000000}">
      <text>
        <r>
          <rPr>
            <b/>
            <sz val="9"/>
            <rFont val="宋体"/>
            <family val="3"/>
            <charset val="134"/>
          </rPr>
          <t>Kevin She:</t>
        </r>
        <r>
          <rPr>
            <sz val="9"/>
            <rFont val="宋体"/>
            <family val="3"/>
            <charset val="134"/>
          </rPr>
          <t xml:space="preserve">
附件重量</t>
        </r>
      </text>
    </comment>
    <comment ref="I98" authorId="0" shapeId="0" xr:uid="{00000000-0006-0000-0500-000026000000}">
      <text>
        <r>
          <rPr>
            <b/>
            <sz val="9"/>
            <rFont val="宋体"/>
            <family val="3"/>
            <charset val="134"/>
          </rPr>
          <t>Kevin She:</t>
        </r>
        <r>
          <rPr>
            <sz val="9"/>
            <rFont val="宋体"/>
            <family val="3"/>
            <charset val="134"/>
          </rPr>
          <t xml:space="preserve">
连接件单价</t>
        </r>
      </text>
    </comment>
    <comment ref="J98" authorId="0" shapeId="0" xr:uid="{00000000-0006-0000-0500-000027000000}">
      <text>
        <r>
          <rPr>
            <b/>
            <sz val="9"/>
            <rFont val="宋体"/>
            <family val="3"/>
            <charset val="134"/>
          </rPr>
          <t>Kevin She:</t>
        </r>
        <r>
          <rPr>
            <sz val="9"/>
            <rFont val="宋体"/>
            <family val="3"/>
            <charset val="134"/>
          </rPr>
          <t xml:space="preserve">
工费</t>
        </r>
      </text>
    </comment>
    <comment ref="J99" authorId="0" shapeId="0" xr:uid="{00000000-0006-0000-0500-000028000000}">
      <text>
        <r>
          <rPr>
            <b/>
            <sz val="9"/>
            <rFont val="宋体"/>
            <family val="3"/>
            <charset val="134"/>
          </rPr>
          <t>Kevin She:</t>
        </r>
        <r>
          <rPr>
            <sz val="9"/>
            <rFont val="宋体"/>
            <family val="3"/>
            <charset val="134"/>
          </rPr>
          <t xml:space="preserve">
连接件喷塑单价</t>
        </r>
      </text>
    </comment>
    <comment ref="D104" authorId="0" shapeId="0" xr:uid="{00000000-0006-0000-0500-000029000000}">
      <text>
        <r>
          <rPr>
            <b/>
            <sz val="9"/>
            <rFont val="宋体"/>
            <family val="3"/>
            <charset val="134"/>
          </rPr>
          <t>Kevin She:</t>
        </r>
        <r>
          <rPr>
            <sz val="9"/>
            <rFont val="宋体"/>
            <family val="3"/>
            <charset val="134"/>
          </rPr>
          <t xml:space="preserve">
附件重量</t>
        </r>
      </text>
    </comment>
    <comment ref="I104" authorId="0" shapeId="0" xr:uid="{00000000-0006-0000-0500-00002A000000}">
      <text>
        <r>
          <rPr>
            <b/>
            <sz val="9"/>
            <rFont val="宋体"/>
            <family val="3"/>
            <charset val="134"/>
          </rPr>
          <t>Kevin She:</t>
        </r>
        <r>
          <rPr>
            <sz val="9"/>
            <rFont val="宋体"/>
            <family val="3"/>
            <charset val="134"/>
          </rPr>
          <t xml:space="preserve">
连接件单价</t>
        </r>
      </text>
    </comment>
    <comment ref="J104" authorId="0" shapeId="0" xr:uid="{00000000-0006-0000-0500-00002B000000}">
      <text>
        <r>
          <rPr>
            <b/>
            <sz val="9"/>
            <rFont val="宋体"/>
            <family val="3"/>
            <charset val="134"/>
          </rPr>
          <t>Kevin She:</t>
        </r>
        <r>
          <rPr>
            <sz val="9"/>
            <rFont val="宋体"/>
            <family val="3"/>
            <charset val="134"/>
          </rPr>
          <t xml:space="preserve">
工费</t>
        </r>
      </text>
    </comment>
    <comment ref="J105" authorId="0" shapeId="0" xr:uid="{00000000-0006-0000-0500-00002C000000}">
      <text>
        <r>
          <rPr>
            <b/>
            <sz val="9"/>
            <rFont val="宋体"/>
            <family val="3"/>
            <charset val="134"/>
          </rPr>
          <t>Kevin She:</t>
        </r>
        <r>
          <rPr>
            <sz val="9"/>
            <rFont val="宋体"/>
            <family val="3"/>
            <charset val="134"/>
          </rPr>
          <t xml:space="preserve">
连接件喷塑单价</t>
        </r>
      </text>
    </comment>
    <comment ref="D110" authorId="0" shapeId="0" xr:uid="{00000000-0006-0000-0500-00002D000000}">
      <text>
        <r>
          <rPr>
            <b/>
            <sz val="9"/>
            <rFont val="宋体"/>
            <family val="3"/>
            <charset val="134"/>
          </rPr>
          <t>Kevin She:</t>
        </r>
        <r>
          <rPr>
            <sz val="9"/>
            <rFont val="宋体"/>
            <family val="3"/>
            <charset val="134"/>
          </rPr>
          <t xml:space="preserve">
附件重量</t>
        </r>
      </text>
    </comment>
    <comment ref="I110" authorId="0" shapeId="0" xr:uid="{00000000-0006-0000-0500-00002E000000}">
      <text>
        <r>
          <rPr>
            <b/>
            <sz val="9"/>
            <rFont val="宋体"/>
            <family val="3"/>
            <charset val="134"/>
          </rPr>
          <t>Kevin She:</t>
        </r>
        <r>
          <rPr>
            <sz val="9"/>
            <rFont val="宋体"/>
            <family val="3"/>
            <charset val="134"/>
          </rPr>
          <t xml:space="preserve">
连接件单价</t>
        </r>
      </text>
    </comment>
    <comment ref="J110" authorId="0" shapeId="0" xr:uid="{00000000-0006-0000-0500-00002F000000}">
      <text>
        <r>
          <rPr>
            <b/>
            <sz val="9"/>
            <rFont val="宋体"/>
            <family val="3"/>
            <charset val="134"/>
          </rPr>
          <t>Kevin She:</t>
        </r>
        <r>
          <rPr>
            <sz val="9"/>
            <rFont val="宋体"/>
            <family val="3"/>
            <charset val="134"/>
          </rPr>
          <t xml:space="preserve">
工费</t>
        </r>
      </text>
    </comment>
    <comment ref="J111" authorId="0" shapeId="0" xr:uid="{00000000-0006-0000-0500-000030000000}">
      <text>
        <r>
          <rPr>
            <b/>
            <sz val="9"/>
            <rFont val="宋体"/>
            <family val="3"/>
            <charset val="134"/>
          </rPr>
          <t>Kevin She:</t>
        </r>
        <r>
          <rPr>
            <sz val="9"/>
            <rFont val="宋体"/>
            <family val="3"/>
            <charset val="134"/>
          </rPr>
          <t xml:space="preserve">
连接件喷塑单价</t>
        </r>
      </text>
    </comment>
    <comment ref="D116" authorId="0" shapeId="0" xr:uid="{00000000-0006-0000-0500-000031000000}">
      <text>
        <r>
          <rPr>
            <b/>
            <sz val="9"/>
            <rFont val="宋体"/>
            <family val="3"/>
            <charset val="134"/>
          </rPr>
          <t>Kevin She:</t>
        </r>
        <r>
          <rPr>
            <sz val="9"/>
            <rFont val="宋体"/>
            <family val="3"/>
            <charset val="134"/>
          </rPr>
          <t xml:space="preserve">
附件重量</t>
        </r>
      </text>
    </comment>
    <comment ref="I116" authorId="0" shapeId="0" xr:uid="{00000000-0006-0000-0500-000032000000}">
      <text>
        <r>
          <rPr>
            <b/>
            <sz val="9"/>
            <rFont val="宋体"/>
            <family val="3"/>
            <charset val="134"/>
          </rPr>
          <t>Kevin She:</t>
        </r>
        <r>
          <rPr>
            <sz val="9"/>
            <rFont val="宋体"/>
            <family val="3"/>
            <charset val="134"/>
          </rPr>
          <t xml:space="preserve">
连接件单价</t>
        </r>
      </text>
    </comment>
    <comment ref="J116" authorId="0" shapeId="0" xr:uid="{00000000-0006-0000-0500-000033000000}">
      <text>
        <r>
          <rPr>
            <b/>
            <sz val="9"/>
            <rFont val="宋体"/>
            <family val="3"/>
            <charset val="134"/>
          </rPr>
          <t>Kevin She:</t>
        </r>
        <r>
          <rPr>
            <sz val="9"/>
            <rFont val="宋体"/>
            <family val="3"/>
            <charset val="134"/>
          </rPr>
          <t xml:space="preserve">
工费</t>
        </r>
      </text>
    </comment>
    <comment ref="J117" authorId="0" shapeId="0" xr:uid="{00000000-0006-0000-0500-000034000000}">
      <text>
        <r>
          <rPr>
            <b/>
            <sz val="9"/>
            <rFont val="宋体"/>
            <family val="3"/>
            <charset val="134"/>
          </rPr>
          <t>Kevin She:</t>
        </r>
        <r>
          <rPr>
            <sz val="9"/>
            <rFont val="宋体"/>
            <family val="3"/>
            <charset val="134"/>
          </rPr>
          <t xml:space="preserve">
连接件喷塑单价</t>
        </r>
      </text>
    </comment>
    <comment ref="D122" authorId="0" shapeId="0" xr:uid="{00000000-0006-0000-0500-000035000000}">
      <text>
        <r>
          <rPr>
            <b/>
            <sz val="9"/>
            <rFont val="宋体"/>
            <family val="3"/>
            <charset val="134"/>
          </rPr>
          <t>Kevin She:</t>
        </r>
        <r>
          <rPr>
            <sz val="9"/>
            <rFont val="宋体"/>
            <family val="3"/>
            <charset val="134"/>
          </rPr>
          <t xml:space="preserve">
附件重量</t>
        </r>
      </text>
    </comment>
    <comment ref="I122" authorId="0" shapeId="0" xr:uid="{00000000-0006-0000-0500-000036000000}">
      <text>
        <r>
          <rPr>
            <b/>
            <sz val="9"/>
            <rFont val="宋体"/>
            <family val="3"/>
            <charset val="134"/>
          </rPr>
          <t>Kevin She:</t>
        </r>
        <r>
          <rPr>
            <sz val="9"/>
            <rFont val="宋体"/>
            <family val="3"/>
            <charset val="134"/>
          </rPr>
          <t xml:space="preserve">
连接件单价</t>
        </r>
      </text>
    </comment>
    <comment ref="J122" authorId="0" shapeId="0" xr:uid="{00000000-0006-0000-0500-000037000000}">
      <text>
        <r>
          <rPr>
            <b/>
            <sz val="9"/>
            <rFont val="宋体"/>
            <family val="3"/>
            <charset val="134"/>
          </rPr>
          <t>Kevin She:</t>
        </r>
        <r>
          <rPr>
            <sz val="9"/>
            <rFont val="宋体"/>
            <family val="3"/>
            <charset val="134"/>
          </rPr>
          <t xml:space="preserve">
工费</t>
        </r>
      </text>
    </comment>
    <comment ref="J123" authorId="0" shapeId="0" xr:uid="{00000000-0006-0000-0500-000038000000}">
      <text>
        <r>
          <rPr>
            <b/>
            <sz val="9"/>
            <rFont val="宋体"/>
            <family val="3"/>
            <charset val="134"/>
          </rPr>
          <t>Kevin She:</t>
        </r>
        <r>
          <rPr>
            <sz val="9"/>
            <rFont val="宋体"/>
            <family val="3"/>
            <charset val="134"/>
          </rPr>
          <t xml:space="preserve">
连接件喷塑单价</t>
        </r>
      </text>
    </comment>
    <comment ref="D128" authorId="0" shapeId="0" xr:uid="{00000000-0006-0000-0500-000039000000}">
      <text>
        <r>
          <rPr>
            <b/>
            <sz val="9"/>
            <rFont val="宋体"/>
            <family val="3"/>
            <charset val="134"/>
          </rPr>
          <t>Kevin She:</t>
        </r>
        <r>
          <rPr>
            <sz val="9"/>
            <rFont val="宋体"/>
            <family val="3"/>
            <charset val="134"/>
          </rPr>
          <t xml:space="preserve">
附件重量</t>
        </r>
      </text>
    </comment>
    <comment ref="I128" authorId="0" shapeId="0" xr:uid="{00000000-0006-0000-0500-00003A000000}">
      <text>
        <r>
          <rPr>
            <b/>
            <sz val="9"/>
            <rFont val="宋体"/>
            <family val="3"/>
            <charset val="134"/>
          </rPr>
          <t>Kevin She:</t>
        </r>
        <r>
          <rPr>
            <sz val="9"/>
            <rFont val="宋体"/>
            <family val="3"/>
            <charset val="134"/>
          </rPr>
          <t xml:space="preserve">
连接件单价</t>
        </r>
      </text>
    </comment>
    <comment ref="J128" authorId="0" shapeId="0" xr:uid="{00000000-0006-0000-0500-00003B000000}">
      <text>
        <r>
          <rPr>
            <b/>
            <sz val="9"/>
            <rFont val="宋体"/>
            <family val="3"/>
            <charset val="134"/>
          </rPr>
          <t>Kevin She:</t>
        </r>
        <r>
          <rPr>
            <sz val="9"/>
            <rFont val="宋体"/>
            <family val="3"/>
            <charset val="134"/>
          </rPr>
          <t xml:space="preserve">
工费</t>
        </r>
      </text>
    </comment>
    <comment ref="J129" authorId="0" shapeId="0" xr:uid="{00000000-0006-0000-0500-00003C000000}">
      <text>
        <r>
          <rPr>
            <b/>
            <sz val="9"/>
            <rFont val="宋体"/>
            <family val="3"/>
            <charset val="134"/>
          </rPr>
          <t>Kevin She:</t>
        </r>
        <r>
          <rPr>
            <sz val="9"/>
            <rFont val="宋体"/>
            <family val="3"/>
            <charset val="134"/>
          </rPr>
          <t xml:space="preserve">
连接件喷塑单价</t>
        </r>
      </text>
    </comment>
    <comment ref="D132" authorId="0" shapeId="0" xr:uid="{00000000-0006-0000-0500-00003D000000}">
      <text>
        <r>
          <rPr>
            <b/>
            <sz val="9"/>
            <rFont val="宋体"/>
            <family val="3"/>
            <charset val="134"/>
          </rPr>
          <t>Kevin She:</t>
        </r>
        <r>
          <rPr>
            <sz val="9"/>
            <rFont val="宋体"/>
            <family val="3"/>
            <charset val="134"/>
          </rPr>
          <t xml:space="preserve">
重量</t>
        </r>
      </text>
    </comment>
    <comment ref="F132" authorId="0" shapeId="0" xr:uid="{00000000-0006-0000-0500-00003E000000}">
      <text>
        <r>
          <rPr>
            <b/>
            <sz val="9"/>
            <rFont val="宋体"/>
            <family val="3"/>
            <charset val="134"/>
          </rPr>
          <t>Kevin She:</t>
        </r>
        <r>
          <rPr>
            <sz val="9"/>
            <rFont val="宋体"/>
            <family val="3"/>
            <charset val="134"/>
          </rPr>
          <t xml:space="preserve">
数量
</t>
        </r>
      </text>
    </comment>
    <comment ref="I133" authorId="0" shapeId="0" xr:uid="{00000000-0006-0000-0500-00003F000000}">
      <text>
        <r>
          <rPr>
            <b/>
            <sz val="9"/>
            <rFont val="宋体"/>
            <family val="3"/>
            <charset val="134"/>
          </rPr>
          <t>Kevin She:</t>
        </r>
        <r>
          <rPr>
            <sz val="9"/>
            <rFont val="宋体"/>
            <family val="3"/>
            <charset val="134"/>
          </rPr>
          <t xml:space="preserve">
护脚单价</t>
        </r>
      </text>
    </comment>
    <comment ref="I134" authorId="0" shapeId="0" xr:uid="{00000000-0006-0000-0500-000040000000}">
      <text>
        <r>
          <rPr>
            <b/>
            <sz val="9"/>
            <rFont val="宋体"/>
            <family val="3"/>
            <charset val="134"/>
          </rPr>
          <t>Kevin She:</t>
        </r>
        <r>
          <rPr>
            <sz val="9"/>
            <rFont val="宋体"/>
            <family val="3"/>
            <charset val="134"/>
          </rPr>
          <t xml:space="preserve">
喷塑单价</t>
        </r>
      </text>
    </comment>
    <comment ref="J134" authorId="0" shapeId="0" xr:uid="{00000000-0006-0000-0500-000041000000}">
      <text>
        <r>
          <rPr>
            <b/>
            <sz val="9"/>
            <rFont val="宋体"/>
            <family val="3"/>
            <charset val="134"/>
          </rPr>
          <t>Kevin She:</t>
        </r>
        <r>
          <rPr>
            <sz val="9"/>
            <rFont val="宋体"/>
            <family val="3"/>
            <charset val="134"/>
          </rPr>
          <t xml:space="preserve">
标准件单价</t>
        </r>
      </text>
    </comment>
    <comment ref="D137" authorId="0" shapeId="0" xr:uid="{00000000-0006-0000-0500-000042000000}">
      <text>
        <r>
          <rPr>
            <b/>
            <sz val="9"/>
            <rFont val="宋体"/>
            <family val="3"/>
            <charset val="134"/>
          </rPr>
          <t>Kevin She:</t>
        </r>
        <r>
          <rPr>
            <sz val="9"/>
            <rFont val="宋体"/>
            <family val="3"/>
            <charset val="134"/>
          </rPr>
          <t xml:space="preserve">
重量</t>
        </r>
      </text>
    </comment>
    <comment ref="F137" authorId="0" shapeId="0" xr:uid="{00000000-0006-0000-0500-000043000000}">
      <text>
        <r>
          <rPr>
            <b/>
            <sz val="9"/>
            <rFont val="宋体"/>
            <family val="3"/>
            <charset val="134"/>
          </rPr>
          <t>Kevin She:</t>
        </r>
        <r>
          <rPr>
            <sz val="9"/>
            <rFont val="宋体"/>
            <family val="3"/>
            <charset val="134"/>
          </rPr>
          <t xml:space="preserve">
数量
</t>
        </r>
      </text>
    </comment>
    <comment ref="I138" authorId="0" shapeId="0" xr:uid="{00000000-0006-0000-0500-000044000000}">
      <text>
        <r>
          <rPr>
            <b/>
            <sz val="9"/>
            <rFont val="宋体"/>
            <family val="3"/>
            <charset val="134"/>
          </rPr>
          <t>Kevin She:</t>
        </r>
        <r>
          <rPr>
            <sz val="9"/>
            <rFont val="宋体"/>
            <family val="3"/>
            <charset val="134"/>
          </rPr>
          <t xml:space="preserve">
护脚单价</t>
        </r>
      </text>
    </comment>
    <comment ref="I139" authorId="0" shapeId="0" xr:uid="{00000000-0006-0000-0500-000045000000}">
      <text>
        <r>
          <rPr>
            <b/>
            <sz val="9"/>
            <rFont val="宋体"/>
            <family val="3"/>
            <charset val="134"/>
          </rPr>
          <t>Kevin She:</t>
        </r>
        <r>
          <rPr>
            <sz val="9"/>
            <rFont val="宋体"/>
            <family val="3"/>
            <charset val="134"/>
          </rPr>
          <t xml:space="preserve">
喷塑单价</t>
        </r>
      </text>
    </comment>
    <comment ref="J139" authorId="0" shapeId="0" xr:uid="{00000000-0006-0000-0500-000046000000}">
      <text>
        <r>
          <rPr>
            <b/>
            <sz val="9"/>
            <rFont val="宋体"/>
            <family val="3"/>
            <charset val="134"/>
          </rPr>
          <t>Kevin She:</t>
        </r>
        <r>
          <rPr>
            <sz val="9"/>
            <rFont val="宋体"/>
            <family val="3"/>
            <charset val="134"/>
          </rPr>
          <t xml:space="preserve">
标准件单价</t>
        </r>
      </text>
    </comment>
    <comment ref="C142" authorId="0" shapeId="0" xr:uid="{00000000-0006-0000-0500-000047000000}">
      <text>
        <r>
          <rPr>
            <b/>
            <sz val="9"/>
            <rFont val="宋体"/>
            <family val="3"/>
            <charset val="134"/>
          </rPr>
          <t>Kevin She:</t>
        </r>
        <r>
          <rPr>
            <sz val="9"/>
            <rFont val="宋体"/>
            <family val="3"/>
            <charset val="134"/>
          </rPr>
          <t xml:space="preserve">
重量</t>
        </r>
      </text>
    </comment>
    <comment ref="D142" authorId="0" shapeId="0" xr:uid="{00000000-0006-0000-0500-000048000000}">
      <text>
        <r>
          <rPr>
            <b/>
            <sz val="9"/>
            <rFont val="宋体"/>
            <family val="3"/>
            <charset val="134"/>
          </rPr>
          <t>Kevin She:</t>
        </r>
        <r>
          <rPr>
            <sz val="9"/>
            <rFont val="宋体"/>
            <family val="3"/>
            <charset val="134"/>
          </rPr>
          <t xml:space="preserve">
L,长</t>
        </r>
      </text>
    </comment>
    <comment ref="E142" authorId="0" shapeId="0" xr:uid="{00000000-0006-0000-0500-000049000000}">
      <text>
        <r>
          <rPr>
            <b/>
            <sz val="9"/>
            <rFont val="宋体"/>
            <family val="3"/>
            <charset val="134"/>
          </rPr>
          <t>Kevin She:</t>
        </r>
        <r>
          <rPr>
            <sz val="9"/>
            <rFont val="宋体"/>
            <family val="3"/>
            <charset val="134"/>
          </rPr>
          <t xml:space="preserve">
高</t>
        </r>
      </text>
    </comment>
    <comment ref="I142" authorId="0" shapeId="0" xr:uid="{00000000-0006-0000-0500-00004A000000}">
      <text>
        <r>
          <rPr>
            <b/>
            <sz val="9"/>
            <rFont val="宋体"/>
            <family val="3"/>
            <charset val="134"/>
          </rPr>
          <t>Kevin She:</t>
        </r>
        <r>
          <rPr>
            <sz val="9"/>
            <rFont val="宋体"/>
            <family val="3"/>
            <charset val="134"/>
          </rPr>
          <t xml:space="preserve">
材料单价</t>
        </r>
      </text>
    </comment>
    <comment ref="D143" authorId="0" shapeId="0" xr:uid="{00000000-0006-0000-0500-00004B000000}">
      <text>
        <r>
          <rPr>
            <b/>
            <sz val="9"/>
            <rFont val="宋体"/>
            <family val="3"/>
            <charset val="134"/>
          </rPr>
          <t>Kevin She:</t>
        </r>
        <r>
          <rPr>
            <sz val="9"/>
            <rFont val="宋体"/>
            <family val="3"/>
            <charset val="134"/>
          </rPr>
          <t xml:space="preserve">
根数</t>
        </r>
      </text>
    </comment>
    <comment ref="E143" authorId="0" shapeId="0" xr:uid="{00000000-0006-0000-0500-00004C000000}">
      <text>
        <r>
          <rPr>
            <b/>
            <sz val="9"/>
            <rFont val="宋体"/>
            <family val="3"/>
            <charset val="134"/>
          </rPr>
          <t>Kevin She:</t>
        </r>
        <r>
          <rPr>
            <sz val="9"/>
            <rFont val="宋体"/>
            <family val="3"/>
            <charset val="134"/>
          </rPr>
          <t xml:space="preserve">
根数</t>
        </r>
      </text>
    </comment>
    <comment ref="I143" authorId="0" shapeId="0" xr:uid="{00000000-0006-0000-0500-00004D000000}">
      <text>
        <r>
          <rPr>
            <b/>
            <sz val="9"/>
            <rFont val="宋体"/>
            <family val="3"/>
            <charset val="134"/>
          </rPr>
          <t>Kevin She:</t>
        </r>
        <r>
          <rPr>
            <sz val="9"/>
            <rFont val="宋体"/>
            <family val="3"/>
            <charset val="134"/>
          </rPr>
          <t xml:space="preserve">
喷塑单价</t>
        </r>
      </text>
    </comment>
    <comment ref="J143" authorId="0" shapeId="0" xr:uid="{00000000-0006-0000-0500-00004E000000}">
      <text>
        <r>
          <rPr>
            <b/>
            <sz val="9"/>
            <rFont val="宋体"/>
            <family val="3"/>
            <charset val="134"/>
          </rPr>
          <t>Kevin She:</t>
        </r>
        <r>
          <rPr>
            <sz val="9"/>
            <rFont val="宋体"/>
            <family val="3"/>
            <charset val="134"/>
          </rPr>
          <t xml:space="preserve">
标准件单价
</t>
        </r>
      </text>
    </comment>
    <comment ref="E147" authorId="0" shapeId="0" xr:uid="{00000000-0006-0000-0500-00004F000000}">
      <text>
        <r>
          <rPr>
            <b/>
            <sz val="9"/>
            <rFont val="宋体"/>
            <family val="3"/>
            <charset val="134"/>
          </rPr>
          <t>Kevin She:</t>
        </r>
        <r>
          <rPr>
            <sz val="9"/>
            <rFont val="宋体"/>
            <family val="3"/>
            <charset val="134"/>
          </rPr>
          <t xml:space="preserve">
D</t>
        </r>
      </text>
    </comment>
    <comment ref="F147" authorId="0" shapeId="0" xr:uid="{00000000-0006-0000-0500-000050000000}">
      <text>
        <r>
          <rPr>
            <b/>
            <sz val="9"/>
            <rFont val="宋体"/>
            <family val="3"/>
            <charset val="134"/>
          </rPr>
          <t>Kevin She:</t>
        </r>
        <r>
          <rPr>
            <sz val="9"/>
            <rFont val="宋体"/>
            <family val="3"/>
            <charset val="134"/>
          </rPr>
          <t xml:space="preserve">
W</t>
        </r>
      </text>
    </comment>
    <comment ref="D148" authorId="0" shapeId="0" xr:uid="{00000000-0006-0000-0500-000051000000}">
      <text>
        <r>
          <rPr>
            <b/>
            <sz val="9"/>
            <rFont val="宋体"/>
            <family val="3"/>
            <charset val="134"/>
          </rPr>
          <t>Kevin She:</t>
        </r>
        <r>
          <rPr>
            <sz val="9"/>
            <rFont val="宋体"/>
            <family val="3"/>
            <charset val="134"/>
          </rPr>
          <t xml:space="preserve">
线径</t>
        </r>
      </text>
    </comment>
    <comment ref="E148" authorId="0" shapeId="0" xr:uid="{00000000-0006-0000-0500-000052000000}">
      <text>
        <r>
          <rPr>
            <b/>
            <sz val="9"/>
            <rFont val="宋体"/>
            <family val="3"/>
            <charset val="134"/>
          </rPr>
          <t>Kevin She:</t>
        </r>
        <r>
          <rPr>
            <sz val="9"/>
            <rFont val="宋体"/>
            <family val="3"/>
            <charset val="134"/>
          </rPr>
          <t xml:space="preserve">
筋数</t>
        </r>
      </text>
    </comment>
    <comment ref="F148" authorId="0" shapeId="0" xr:uid="{00000000-0006-0000-0500-000053000000}">
      <text>
        <r>
          <rPr>
            <b/>
            <sz val="9"/>
            <rFont val="宋体"/>
            <family val="3"/>
            <charset val="134"/>
          </rPr>
          <t>Kevin She:</t>
        </r>
        <r>
          <rPr>
            <sz val="9"/>
            <rFont val="宋体"/>
            <family val="3"/>
            <charset val="134"/>
          </rPr>
          <t xml:space="preserve">
筋厚</t>
        </r>
      </text>
    </comment>
    <comment ref="G148" authorId="0" shapeId="0" xr:uid="{00000000-0006-0000-0500-000054000000}">
      <text>
        <r>
          <rPr>
            <b/>
            <sz val="9"/>
            <rFont val="宋体"/>
            <family val="3"/>
            <charset val="134"/>
          </rPr>
          <t>Kevin She:</t>
        </r>
        <r>
          <rPr>
            <sz val="9"/>
            <rFont val="宋体"/>
            <family val="3"/>
            <charset val="134"/>
          </rPr>
          <t xml:space="preserve">
分成几块</t>
        </r>
      </text>
    </comment>
    <comment ref="H152" authorId="0" shapeId="0" xr:uid="{00000000-0006-0000-0500-000055000000}">
      <text>
        <r>
          <rPr>
            <b/>
            <sz val="9"/>
            <rFont val="宋体"/>
            <family val="3"/>
            <charset val="134"/>
          </rPr>
          <t>Kevin She:</t>
        </r>
        <r>
          <rPr>
            <sz val="9"/>
            <rFont val="宋体"/>
            <family val="3"/>
            <charset val="134"/>
          </rPr>
          <t xml:space="preserve">
材料单价</t>
        </r>
      </text>
    </comment>
    <comment ref="I152" authorId="0" shapeId="0" xr:uid="{00000000-0006-0000-0500-000056000000}">
      <text>
        <r>
          <rPr>
            <b/>
            <sz val="9"/>
            <rFont val="宋体"/>
            <family val="3"/>
            <charset val="134"/>
          </rPr>
          <t>Kevin She:</t>
        </r>
        <r>
          <rPr>
            <sz val="9"/>
            <rFont val="宋体"/>
            <family val="3"/>
            <charset val="134"/>
          </rPr>
          <t xml:space="preserve">
喷塑面积单价</t>
        </r>
      </text>
    </comment>
    <comment ref="J152" authorId="0" shapeId="0" xr:uid="{00000000-0006-0000-0500-000057000000}">
      <text>
        <r>
          <rPr>
            <b/>
            <sz val="9"/>
            <rFont val="宋体"/>
            <family val="3"/>
            <charset val="134"/>
          </rPr>
          <t>Kevin She:</t>
        </r>
        <r>
          <rPr>
            <sz val="9"/>
            <rFont val="宋体"/>
            <family val="3"/>
            <charset val="134"/>
          </rPr>
          <t xml:space="preserve">
喷塑单价</t>
        </r>
      </text>
    </comment>
    <comment ref="B154" authorId="0" shapeId="0" xr:uid="{00000000-0006-0000-0500-000058000000}">
      <text>
        <r>
          <rPr>
            <b/>
            <sz val="9"/>
            <rFont val="宋体"/>
            <family val="3"/>
            <charset val="134"/>
          </rPr>
          <t>Kevin She:</t>
        </r>
        <r>
          <rPr>
            <sz val="9"/>
            <rFont val="宋体"/>
            <family val="3"/>
            <charset val="134"/>
          </rPr>
          <t xml:space="preserve">
线径</t>
        </r>
      </text>
    </comment>
    <comment ref="M154" authorId="0" shapeId="0" xr:uid="{00000000-0006-0000-0500-000059000000}">
      <text>
        <r>
          <rPr>
            <b/>
            <sz val="9"/>
            <rFont val="宋体"/>
            <family val="3"/>
            <charset val="134"/>
          </rPr>
          <t>Kevin She:</t>
        </r>
        <r>
          <rPr>
            <sz val="9"/>
            <rFont val="宋体"/>
            <family val="3"/>
            <charset val="134"/>
          </rPr>
          <t xml:space="preserve">
材料单价</t>
        </r>
      </text>
    </comment>
    <comment ref="N154" authorId="0" shapeId="0" xr:uid="{00000000-0006-0000-0500-00005A000000}">
      <text>
        <r>
          <rPr>
            <b/>
            <sz val="9"/>
            <rFont val="宋体"/>
            <family val="3"/>
            <charset val="134"/>
          </rPr>
          <t>Kevin She:</t>
        </r>
        <r>
          <rPr>
            <sz val="9"/>
            <rFont val="宋体"/>
            <family val="3"/>
            <charset val="134"/>
          </rPr>
          <t xml:space="preserve">
喷塑单价</t>
        </r>
      </text>
    </comment>
    <comment ref="M155" authorId="0" shapeId="0" xr:uid="{00000000-0006-0000-0500-00005B000000}">
      <text>
        <r>
          <rPr>
            <b/>
            <sz val="9"/>
            <rFont val="宋体"/>
            <family val="3"/>
            <charset val="134"/>
          </rPr>
          <t>Kevin She:</t>
        </r>
        <r>
          <rPr>
            <sz val="9"/>
            <rFont val="宋体"/>
            <family val="3"/>
            <charset val="134"/>
          </rPr>
          <t xml:space="preserve">
喷塑面积单价</t>
        </r>
      </text>
    </comment>
    <comment ref="G159" authorId="0" shapeId="0" xr:uid="{00000000-0006-0000-0500-00005C000000}">
      <text>
        <r>
          <rPr>
            <b/>
            <sz val="9"/>
            <rFont val="宋体"/>
            <family val="3"/>
            <charset val="134"/>
          </rPr>
          <t>Kevin She:</t>
        </r>
        <r>
          <rPr>
            <sz val="9"/>
            <rFont val="宋体"/>
            <family val="3"/>
            <charset val="134"/>
          </rPr>
          <t xml:space="preserve">
重量</t>
        </r>
      </text>
    </comment>
    <comment ref="F160" authorId="0" shapeId="0" xr:uid="{00000000-0006-0000-0500-00005D000000}">
      <text>
        <r>
          <rPr>
            <b/>
            <sz val="9"/>
            <rFont val="宋体"/>
            <family val="3"/>
            <charset val="134"/>
          </rPr>
          <t>Kevin She:</t>
        </r>
        <r>
          <rPr>
            <sz val="9"/>
            <rFont val="宋体"/>
            <family val="3"/>
            <charset val="134"/>
          </rPr>
          <t xml:space="preserve">
数量
</t>
        </r>
      </text>
    </comment>
    <comment ref="I160" authorId="0" shapeId="0" xr:uid="{00000000-0006-0000-0500-00005E000000}">
      <text>
        <r>
          <rPr>
            <b/>
            <sz val="9"/>
            <rFont val="宋体"/>
            <family val="3"/>
            <charset val="134"/>
          </rPr>
          <t>Kevin She:</t>
        </r>
        <r>
          <rPr>
            <sz val="9"/>
            <rFont val="宋体"/>
            <family val="3"/>
            <charset val="134"/>
          </rPr>
          <t xml:space="preserve">
楼梯重量</t>
        </r>
      </text>
    </comment>
    <comment ref="J160" authorId="0" shapeId="0" xr:uid="{00000000-0006-0000-0500-00005F000000}">
      <text>
        <r>
          <rPr>
            <b/>
            <sz val="9"/>
            <rFont val="宋体"/>
            <family val="3"/>
            <charset val="134"/>
          </rPr>
          <t>Kevin She:</t>
        </r>
        <r>
          <rPr>
            <sz val="9"/>
            <rFont val="宋体"/>
            <family val="3"/>
            <charset val="134"/>
          </rPr>
          <t xml:space="preserve">
工费
</t>
        </r>
      </text>
    </comment>
    <comment ref="I161" authorId="0" shapeId="0" xr:uid="{00000000-0006-0000-0500-000060000000}">
      <text>
        <r>
          <rPr>
            <b/>
            <sz val="9"/>
            <rFont val="宋体"/>
            <family val="3"/>
            <charset val="134"/>
          </rPr>
          <t>Kevin She:</t>
        </r>
        <r>
          <rPr>
            <sz val="9"/>
            <rFont val="宋体"/>
            <family val="3"/>
            <charset val="134"/>
          </rPr>
          <t xml:space="preserve">
喷塑单价</t>
        </r>
      </text>
    </comment>
    <comment ref="J161" authorId="0" shapeId="0" xr:uid="{00000000-0006-0000-0500-000061000000}">
      <text>
        <r>
          <rPr>
            <b/>
            <sz val="9"/>
            <rFont val="宋体"/>
            <family val="3"/>
            <charset val="134"/>
          </rPr>
          <t>Kevin She:</t>
        </r>
        <r>
          <rPr>
            <sz val="9"/>
            <rFont val="宋体"/>
            <family val="3"/>
            <charset val="134"/>
          </rPr>
          <t xml:space="preserve">
标准件单价</t>
        </r>
      </text>
    </comment>
    <comment ref="G164" authorId="0" shapeId="0" xr:uid="{00000000-0006-0000-0500-000062000000}">
      <text>
        <r>
          <rPr>
            <b/>
            <sz val="9"/>
            <rFont val="宋体"/>
            <family val="3"/>
            <charset val="134"/>
          </rPr>
          <t>Kevin She:</t>
        </r>
        <r>
          <rPr>
            <sz val="9"/>
            <rFont val="宋体"/>
            <family val="3"/>
            <charset val="134"/>
          </rPr>
          <t xml:space="preserve">
重量</t>
        </r>
      </text>
    </comment>
    <comment ref="F165" authorId="0" shapeId="0" xr:uid="{00000000-0006-0000-0500-000063000000}">
      <text>
        <r>
          <rPr>
            <b/>
            <sz val="9"/>
            <rFont val="宋体"/>
            <family val="3"/>
            <charset val="134"/>
          </rPr>
          <t>Kevin She:</t>
        </r>
        <r>
          <rPr>
            <sz val="9"/>
            <rFont val="宋体"/>
            <family val="3"/>
            <charset val="134"/>
          </rPr>
          <t xml:space="preserve">
数量
</t>
        </r>
      </text>
    </comment>
    <comment ref="I165" authorId="0" shapeId="0" xr:uid="{00000000-0006-0000-0500-000064000000}">
      <text>
        <r>
          <rPr>
            <b/>
            <sz val="9"/>
            <rFont val="宋体"/>
            <family val="3"/>
            <charset val="134"/>
          </rPr>
          <t>Kevin She:</t>
        </r>
        <r>
          <rPr>
            <sz val="9"/>
            <rFont val="宋体"/>
            <family val="3"/>
            <charset val="134"/>
          </rPr>
          <t xml:space="preserve">
楼梯重量</t>
        </r>
      </text>
    </comment>
    <comment ref="J165" authorId="0" shapeId="0" xr:uid="{00000000-0006-0000-0500-000065000000}">
      <text>
        <r>
          <rPr>
            <b/>
            <sz val="9"/>
            <rFont val="宋体"/>
            <family val="3"/>
            <charset val="134"/>
          </rPr>
          <t>Kevin She:</t>
        </r>
        <r>
          <rPr>
            <sz val="9"/>
            <rFont val="宋体"/>
            <family val="3"/>
            <charset val="134"/>
          </rPr>
          <t xml:space="preserve">
工费
</t>
        </r>
      </text>
    </comment>
    <comment ref="I166" authorId="0" shapeId="0" xr:uid="{00000000-0006-0000-0500-000066000000}">
      <text>
        <r>
          <rPr>
            <b/>
            <sz val="9"/>
            <rFont val="宋体"/>
            <family val="3"/>
            <charset val="134"/>
          </rPr>
          <t>Kevin She:</t>
        </r>
        <r>
          <rPr>
            <sz val="9"/>
            <rFont val="宋体"/>
            <family val="3"/>
            <charset val="134"/>
          </rPr>
          <t xml:space="preserve">
喷塑单价</t>
        </r>
      </text>
    </comment>
    <comment ref="J166" authorId="0" shapeId="0" xr:uid="{00000000-0006-0000-0500-000067000000}">
      <text>
        <r>
          <rPr>
            <b/>
            <sz val="9"/>
            <rFont val="宋体"/>
            <family val="3"/>
            <charset val="134"/>
          </rPr>
          <t>Kevin She:</t>
        </r>
        <r>
          <rPr>
            <sz val="9"/>
            <rFont val="宋体"/>
            <family val="3"/>
            <charset val="134"/>
          </rPr>
          <t xml:space="preserve">
标准件单价</t>
        </r>
      </text>
    </comment>
    <comment ref="G169" authorId="0" shapeId="0" xr:uid="{00000000-0006-0000-0500-000068000000}">
      <text>
        <r>
          <rPr>
            <b/>
            <sz val="9"/>
            <rFont val="宋体"/>
            <family val="3"/>
            <charset val="134"/>
          </rPr>
          <t>Kevin She:</t>
        </r>
        <r>
          <rPr>
            <sz val="9"/>
            <rFont val="宋体"/>
            <family val="3"/>
            <charset val="134"/>
          </rPr>
          <t xml:space="preserve">
重量</t>
        </r>
      </text>
    </comment>
    <comment ref="E170" authorId="0" shapeId="0" xr:uid="{00000000-0006-0000-0500-000069000000}">
      <text>
        <r>
          <rPr>
            <b/>
            <sz val="9"/>
            <rFont val="宋体"/>
            <family val="3"/>
            <charset val="134"/>
          </rPr>
          <t>Kevin She:</t>
        </r>
        <r>
          <rPr>
            <sz val="9"/>
            <rFont val="宋体"/>
            <family val="3"/>
            <charset val="134"/>
          </rPr>
          <t xml:space="preserve">
工费
</t>
        </r>
      </text>
    </comment>
    <comment ref="I170" authorId="0" shapeId="0" xr:uid="{00000000-0006-0000-0500-00006A000000}">
      <text>
        <r>
          <rPr>
            <b/>
            <sz val="9"/>
            <rFont val="宋体"/>
            <family val="3"/>
            <charset val="134"/>
          </rPr>
          <t>Kevin She:</t>
        </r>
        <r>
          <rPr>
            <sz val="9"/>
            <rFont val="宋体"/>
            <family val="3"/>
            <charset val="134"/>
          </rPr>
          <t xml:space="preserve">
楼梯重量</t>
        </r>
      </text>
    </comment>
    <comment ref="J170" authorId="0" shapeId="0" xr:uid="{00000000-0006-0000-0500-00006B000000}">
      <text>
        <r>
          <rPr>
            <b/>
            <sz val="9"/>
            <rFont val="宋体"/>
            <family val="3"/>
            <charset val="134"/>
          </rPr>
          <t>Kevin She:</t>
        </r>
        <r>
          <rPr>
            <sz val="9"/>
            <rFont val="宋体"/>
            <family val="3"/>
            <charset val="134"/>
          </rPr>
          <t xml:space="preserve">
数量
</t>
        </r>
      </text>
    </comment>
    <comment ref="I171" authorId="0" shapeId="0" xr:uid="{00000000-0006-0000-0500-00006C000000}">
      <text>
        <r>
          <rPr>
            <b/>
            <sz val="9"/>
            <rFont val="宋体"/>
            <family val="3"/>
            <charset val="134"/>
          </rPr>
          <t>Kevin She:</t>
        </r>
        <r>
          <rPr>
            <sz val="9"/>
            <rFont val="宋体"/>
            <family val="3"/>
            <charset val="134"/>
          </rPr>
          <t xml:space="preserve">
喷塑单价</t>
        </r>
      </text>
    </comment>
    <comment ref="J171" authorId="0" shapeId="0" xr:uid="{00000000-0006-0000-0500-00006D000000}">
      <text>
        <r>
          <rPr>
            <b/>
            <sz val="9"/>
            <rFont val="宋体"/>
            <family val="3"/>
            <charset val="134"/>
          </rPr>
          <t>Kevin She:</t>
        </r>
        <r>
          <rPr>
            <sz val="9"/>
            <rFont val="宋体"/>
            <family val="3"/>
            <charset val="134"/>
          </rPr>
          <t xml:space="preserve">
标准件单价</t>
        </r>
      </text>
    </comment>
    <comment ref="G174" authorId="0" shapeId="0" xr:uid="{00000000-0006-0000-0500-00006E000000}">
      <text>
        <r>
          <rPr>
            <b/>
            <sz val="9"/>
            <rFont val="宋体"/>
            <family val="3"/>
            <charset val="134"/>
          </rPr>
          <t>Kevin She:</t>
        </r>
        <r>
          <rPr>
            <sz val="9"/>
            <rFont val="宋体"/>
            <family val="3"/>
            <charset val="134"/>
          </rPr>
          <t xml:space="preserve">
重量</t>
        </r>
      </text>
    </comment>
    <comment ref="E175" authorId="0" shapeId="0" xr:uid="{00000000-0006-0000-0500-00006F000000}">
      <text>
        <r>
          <rPr>
            <b/>
            <sz val="9"/>
            <rFont val="宋体"/>
            <family val="3"/>
            <charset val="134"/>
          </rPr>
          <t>Kevin She:</t>
        </r>
        <r>
          <rPr>
            <sz val="9"/>
            <rFont val="宋体"/>
            <family val="3"/>
            <charset val="134"/>
          </rPr>
          <t xml:space="preserve">
工费
</t>
        </r>
      </text>
    </comment>
    <comment ref="I175" authorId="0" shapeId="0" xr:uid="{00000000-0006-0000-0500-000070000000}">
      <text>
        <r>
          <rPr>
            <b/>
            <sz val="9"/>
            <rFont val="宋体"/>
            <family val="3"/>
            <charset val="134"/>
          </rPr>
          <t>Kevin She:</t>
        </r>
        <r>
          <rPr>
            <sz val="9"/>
            <rFont val="宋体"/>
            <family val="3"/>
            <charset val="134"/>
          </rPr>
          <t xml:space="preserve">
楼梯重量</t>
        </r>
      </text>
    </comment>
    <comment ref="J175" authorId="0" shapeId="0" xr:uid="{00000000-0006-0000-0500-000071000000}">
      <text>
        <r>
          <rPr>
            <b/>
            <sz val="9"/>
            <rFont val="宋体"/>
            <family val="3"/>
            <charset val="134"/>
          </rPr>
          <t>Kevin She:</t>
        </r>
        <r>
          <rPr>
            <sz val="9"/>
            <rFont val="宋体"/>
            <family val="3"/>
            <charset val="134"/>
          </rPr>
          <t xml:space="preserve">
数量
</t>
        </r>
      </text>
    </comment>
    <comment ref="I176" authorId="0" shapeId="0" xr:uid="{00000000-0006-0000-0500-000072000000}">
      <text>
        <r>
          <rPr>
            <b/>
            <sz val="9"/>
            <rFont val="宋体"/>
            <family val="3"/>
            <charset val="134"/>
          </rPr>
          <t>Kevin She:</t>
        </r>
        <r>
          <rPr>
            <sz val="9"/>
            <rFont val="宋体"/>
            <family val="3"/>
            <charset val="134"/>
          </rPr>
          <t xml:space="preserve">
喷塑单价</t>
        </r>
      </text>
    </comment>
    <comment ref="J176" authorId="0" shapeId="0" xr:uid="{00000000-0006-0000-0500-000073000000}">
      <text>
        <r>
          <rPr>
            <b/>
            <sz val="9"/>
            <rFont val="宋体"/>
            <family val="3"/>
            <charset val="134"/>
          </rPr>
          <t>Kevin She:</t>
        </r>
        <r>
          <rPr>
            <sz val="9"/>
            <rFont val="宋体"/>
            <family val="3"/>
            <charset val="134"/>
          </rPr>
          <t xml:space="preserve">
标准件单价</t>
        </r>
      </text>
    </comment>
    <comment ref="AC179" authorId="0" shapeId="0" xr:uid="{00000000-0006-0000-0500-000074000000}">
      <text>
        <r>
          <rPr>
            <b/>
            <sz val="9"/>
            <rFont val="宋体"/>
            <family val="3"/>
            <charset val="134"/>
          </rPr>
          <t>Kevin She:</t>
        </r>
        <r>
          <rPr>
            <sz val="9"/>
            <rFont val="宋体"/>
            <family val="3"/>
            <charset val="134"/>
          </rPr>
          <t xml:space="preserve">
≥8米时，增加额外成本</t>
        </r>
      </text>
    </comment>
    <comment ref="H182" authorId="0" shapeId="0" xr:uid="{00000000-0006-0000-0500-000075000000}">
      <text>
        <r>
          <rPr>
            <b/>
            <sz val="9"/>
            <rFont val="宋体"/>
            <family val="3"/>
            <charset val="134"/>
          </rPr>
          <t>Kevin She:
一套两件</t>
        </r>
      </text>
    </comment>
    <comment ref="E184" authorId="0" shapeId="0" xr:uid="{00000000-0006-0000-0500-000076000000}">
      <text>
        <r>
          <rPr>
            <b/>
            <sz val="9"/>
            <rFont val="宋体"/>
            <family val="3"/>
            <charset val="134"/>
          </rPr>
          <t>Kevin She:</t>
        </r>
        <r>
          <rPr>
            <sz val="9"/>
            <rFont val="宋体"/>
            <family val="3"/>
            <charset val="134"/>
          </rPr>
          <t xml:space="preserve">
6.5*1.02+1+2</t>
        </r>
      </text>
    </comment>
    <comment ref="AC187" authorId="0" shapeId="0" xr:uid="{00000000-0006-0000-0500-000077000000}">
      <text>
        <r>
          <rPr>
            <b/>
            <sz val="9"/>
            <rFont val="宋体"/>
            <family val="3"/>
            <charset val="134"/>
          </rPr>
          <t>Kevin She:</t>
        </r>
        <r>
          <rPr>
            <sz val="9"/>
            <rFont val="宋体"/>
            <family val="3"/>
            <charset val="134"/>
          </rPr>
          <t xml:space="preserve">
≥8米时，增加额外成本</t>
        </r>
      </text>
    </comment>
    <comment ref="H190" authorId="0" shapeId="0" xr:uid="{00000000-0006-0000-0500-000078000000}">
      <text>
        <r>
          <rPr>
            <b/>
            <sz val="9"/>
            <rFont val="宋体"/>
            <family val="3"/>
            <charset val="134"/>
          </rPr>
          <t>Kevin She:
一套两件</t>
        </r>
      </text>
    </comment>
    <comment ref="E192" authorId="0" shapeId="0" xr:uid="{00000000-0006-0000-0500-000079000000}">
      <text>
        <r>
          <rPr>
            <b/>
            <sz val="9"/>
            <rFont val="宋体"/>
            <family val="3"/>
            <charset val="134"/>
          </rPr>
          <t>Kevin She:</t>
        </r>
        <r>
          <rPr>
            <sz val="9"/>
            <rFont val="宋体"/>
            <family val="3"/>
            <charset val="134"/>
          </rPr>
          <t xml:space="preserve">
6.5*1.02+1+2</t>
        </r>
      </text>
    </comment>
    <comment ref="Q195" authorId="0" shapeId="0" xr:uid="{00000000-0006-0000-0500-00007A000000}">
      <text>
        <r>
          <rPr>
            <b/>
            <sz val="9"/>
            <rFont val="宋体"/>
            <family val="3"/>
            <charset val="134"/>
          </rPr>
          <t>Kevin She:</t>
        </r>
        <r>
          <rPr>
            <sz val="9"/>
            <rFont val="宋体"/>
            <family val="3"/>
            <charset val="134"/>
          </rPr>
          <t xml:space="preserve">
横斜撑节距</t>
        </r>
      </text>
    </comment>
    <comment ref="AC195" authorId="0" shapeId="0" xr:uid="{00000000-0006-0000-0500-00007B000000}">
      <text>
        <r>
          <rPr>
            <b/>
            <sz val="9"/>
            <rFont val="宋体"/>
            <family val="3"/>
            <charset val="134"/>
          </rPr>
          <t>Kevin She:</t>
        </r>
        <r>
          <rPr>
            <sz val="9"/>
            <rFont val="宋体"/>
            <family val="3"/>
            <charset val="134"/>
          </rPr>
          <t xml:space="preserve">
≥8米时，增加额外成本</t>
        </r>
      </text>
    </comment>
    <comment ref="I201" authorId="0" shapeId="0" xr:uid="{00000000-0006-0000-0500-00007C000000}">
      <text>
        <r>
          <rPr>
            <b/>
            <sz val="9"/>
            <rFont val="宋体"/>
            <family val="3"/>
            <charset val="134"/>
          </rPr>
          <t>Kevin She:</t>
        </r>
        <r>
          <rPr>
            <sz val="9"/>
            <rFont val="宋体"/>
            <family val="3"/>
            <charset val="134"/>
          </rPr>
          <t xml:space="preserve">
材料单价</t>
        </r>
      </text>
    </comment>
    <comment ref="J201" authorId="0" shapeId="0" xr:uid="{00000000-0006-0000-0500-00007D000000}">
      <text>
        <r>
          <rPr>
            <b/>
            <sz val="9"/>
            <rFont val="宋体"/>
            <family val="3"/>
            <charset val="134"/>
          </rPr>
          <t>Kevin She:</t>
        </r>
        <r>
          <rPr>
            <sz val="9"/>
            <rFont val="宋体"/>
            <family val="3"/>
            <charset val="134"/>
          </rPr>
          <t xml:space="preserve">
工费</t>
        </r>
      </text>
    </comment>
    <comment ref="I202" authorId="0" shapeId="0" xr:uid="{00000000-0006-0000-0500-00007E000000}">
      <text>
        <r>
          <rPr>
            <b/>
            <sz val="9"/>
            <rFont val="宋体"/>
            <family val="3"/>
            <charset val="134"/>
          </rPr>
          <t>Kevin She:</t>
        </r>
        <r>
          <rPr>
            <sz val="9"/>
            <rFont val="宋体"/>
            <family val="3"/>
            <charset val="134"/>
          </rPr>
          <t xml:space="preserve">
喷塑费</t>
        </r>
      </text>
    </comment>
    <comment ref="J202" authorId="0" shapeId="0" xr:uid="{00000000-0006-0000-0500-00007F000000}">
      <text>
        <r>
          <rPr>
            <b/>
            <sz val="9"/>
            <rFont val="宋体"/>
            <family val="3"/>
            <charset val="134"/>
          </rPr>
          <t>Kevin She:</t>
        </r>
        <r>
          <rPr>
            <sz val="9"/>
            <rFont val="宋体"/>
            <family val="3"/>
            <charset val="134"/>
          </rPr>
          <t xml:space="preserve">
标准件单价
</t>
        </r>
      </text>
    </comment>
    <comment ref="I206" authorId="0" shapeId="0" xr:uid="{00000000-0006-0000-0500-000080000000}">
      <text>
        <r>
          <rPr>
            <b/>
            <sz val="9"/>
            <rFont val="宋体"/>
            <family val="3"/>
            <charset val="134"/>
          </rPr>
          <t>Kevin She:</t>
        </r>
        <r>
          <rPr>
            <sz val="9"/>
            <rFont val="宋体"/>
            <family val="3"/>
            <charset val="134"/>
          </rPr>
          <t xml:space="preserve">
材料单价</t>
        </r>
      </text>
    </comment>
    <comment ref="J206" authorId="0" shapeId="0" xr:uid="{00000000-0006-0000-0500-000081000000}">
      <text>
        <r>
          <rPr>
            <b/>
            <sz val="9"/>
            <rFont val="宋体"/>
            <family val="3"/>
            <charset val="134"/>
          </rPr>
          <t>Kevin She:</t>
        </r>
        <r>
          <rPr>
            <sz val="9"/>
            <rFont val="宋体"/>
            <family val="3"/>
            <charset val="134"/>
          </rPr>
          <t xml:space="preserve">
工费</t>
        </r>
      </text>
    </comment>
    <comment ref="I207" authorId="0" shapeId="0" xr:uid="{00000000-0006-0000-0500-000082000000}">
      <text>
        <r>
          <rPr>
            <b/>
            <sz val="9"/>
            <rFont val="宋体"/>
            <family val="3"/>
            <charset val="134"/>
          </rPr>
          <t>Kevin She:</t>
        </r>
        <r>
          <rPr>
            <sz val="9"/>
            <rFont val="宋体"/>
            <family val="3"/>
            <charset val="134"/>
          </rPr>
          <t xml:space="preserve">
喷塑费</t>
        </r>
      </text>
    </comment>
    <comment ref="J207" authorId="0" shapeId="0" xr:uid="{00000000-0006-0000-0500-000083000000}">
      <text>
        <r>
          <rPr>
            <b/>
            <sz val="9"/>
            <rFont val="宋体"/>
            <family val="3"/>
            <charset val="134"/>
          </rPr>
          <t>Kevin She:</t>
        </r>
        <r>
          <rPr>
            <sz val="9"/>
            <rFont val="宋体"/>
            <family val="3"/>
            <charset val="134"/>
          </rPr>
          <t xml:space="preserve">
标准件单价
</t>
        </r>
      </text>
    </comment>
    <comment ref="D214" authorId="0" shapeId="0" xr:uid="{00000000-0006-0000-0500-000084000000}">
      <text>
        <r>
          <rPr>
            <b/>
            <sz val="9"/>
            <rFont val="宋体"/>
            <family val="3"/>
            <charset val="134"/>
          </rPr>
          <t>Kevin She:</t>
        </r>
        <r>
          <rPr>
            <sz val="9"/>
            <rFont val="宋体"/>
            <family val="3"/>
            <charset val="134"/>
          </rPr>
          <t xml:space="preserve">
工费</t>
        </r>
      </text>
    </comment>
    <comment ref="E214" authorId="0" shapeId="0" xr:uid="{00000000-0006-0000-0500-000085000000}">
      <text>
        <r>
          <rPr>
            <b/>
            <sz val="9"/>
            <rFont val="宋体"/>
            <family val="3"/>
            <charset val="134"/>
          </rPr>
          <t>Kevin She:</t>
        </r>
        <r>
          <rPr>
            <sz val="9"/>
            <rFont val="宋体"/>
            <family val="3"/>
            <charset val="134"/>
          </rPr>
          <t xml:space="preserve">
连接件喷塑单价</t>
        </r>
      </text>
    </comment>
    <comment ref="D219" authorId="0" shapeId="0" xr:uid="{00000000-0006-0000-0500-000086000000}">
      <text>
        <r>
          <rPr>
            <b/>
            <sz val="9"/>
            <rFont val="宋体"/>
            <family val="3"/>
            <charset val="134"/>
          </rPr>
          <t>Kevin She:</t>
        </r>
        <r>
          <rPr>
            <sz val="9"/>
            <rFont val="宋体"/>
            <family val="3"/>
            <charset val="134"/>
          </rPr>
          <t xml:space="preserve">
附件重量</t>
        </r>
      </text>
    </comment>
    <comment ref="I219" authorId="0" shapeId="0" xr:uid="{00000000-0006-0000-0500-000087000000}">
      <text>
        <r>
          <rPr>
            <b/>
            <sz val="9"/>
            <rFont val="宋体"/>
            <family val="3"/>
            <charset val="134"/>
          </rPr>
          <t>Kevin She:</t>
        </r>
        <r>
          <rPr>
            <sz val="9"/>
            <rFont val="宋体"/>
            <family val="3"/>
            <charset val="134"/>
          </rPr>
          <t xml:space="preserve">
连接件单价</t>
        </r>
      </text>
    </comment>
    <comment ref="J219" authorId="0" shapeId="0" xr:uid="{00000000-0006-0000-0500-000088000000}">
      <text>
        <r>
          <rPr>
            <b/>
            <sz val="9"/>
            <rFont val="宋体"/>
            <family val="3"/>
            <charset val="134"/>
          </rPr>
          <t>Kevin She:</t>
        </r>
        <r>
          <rPr>
            <sz val="9"/>
            <rFont val="宋体"/>
            <family val="3"/>
            <charset val="134"/>
          </rPr>
          <t xml:space="preserve">
工费</t>
        </r>
      </text>
    </comment>
    <comment ref="J220" authorId="0" shapeId="0" xr:uid="{00000000-0006-0000-0500-000089000000}">
      <text>
        <r>
          <rPr>
            <b/>
            <sz val="9"/>
            <rFont val="宋体"/>
            <family val="3"/>
            <charset val="134"/>
          </rPr>
          <t>Kevin She:</t>
        </r>
        <r>
          <rPr>
            <sz val="9"/>
            <rFont val="宋体"/>
            <family val="3"/>
            <charset val="134"/>
          </rPr>
          <t xml:space="preserve">
连接件喷塑单价</t>
        </r>
      </text>
    </comment>
    <comment ref="E223" authorId="0" shapeId="0" xr:uid="{00000000-0006-0000-0500-00008A000000}">
      <text>
        <r>
          <rPr>
            <b/>
            <sz val="9"/>
            <rFont val="宋体"/>
            <family val="3"/>
            <charset val="134"/>
          </rPr>
          <t>Kevin She:</t>
        </r>
        <r>
          <rPr>
            <sz val="9"/>
            <rFont val="宋体"/>
            <family val="3"/>
            <charset val="134"/>
          </rPr>
          <t xml:space="preserve">
长度</t>
        </r>
      </text>
    </comment>
    <comment ref="F223" authorId="0" shapeId="0" xr:uid="{00000000-0006-0000-0500-00008B000000}">
      <text>
        <r>
          <rPr>
            <b/>
            <sz val="9"/>
            <rFont val="宋体"/>
            <family val="3"/>
            <charset val="134"/>
          </rPr>
          <t>Kevin She:</t>
        </r>
        <r>
          <rPr>
            <sz val="9"/>
            <rFont val="宋体"/>
            <family val="3"/>
            <charset val="134"/>
          </rPr>
          <t xml:space="preserve">
单组有几根</t>
        </r>
      </text>
    </comment>
    <comment ref="D232" authorId="0" shapeId="0" xr:uid="{00000000-0006-0000-0500-00008C000000}">
      <text>
        <r>
          <rPr>
            <b/>
            <sz val="9"/>
            <rFont val="宋体"/>
            <family val="3"/>
            <charset val="134"/>
          </rPr>
          <t>Kevin She:</t>
        </r>
        <r>
          <rPr>
            <sz val="9"/>
            <rFont val="宋体"/>
            <family val="3"/>
            <charset val="134"/>
          </rPr>
          <t xml:space="preserve">
附件重量</t>
        </r>
      </text>
    </comment>
    <comment ref="I232" authorId="0" shapeId="0" xr:uid="{00000000-0006-0000-0500-00008D000000}">
      <text>
        <r>
          <rPr>
            <b/>
            <sz val="9"/>
            <rFont val="宋体"/>
            <family val="3"/>
            <charset val="134"/>
          </rPr>
          <t>Kevin She:</t>
        </r>
        <r>
          <rPr>
            <sz val="9"/>
            <rFont val="宋体"/>
            <family val="3"/>
            <charset val="134"/>
          </rPr>
          <t xml:space="preserve">
连接件单价</t>
        </r>
      </text>
    </comment>
    <comment ref="I233" authorId="0" shapeId="0" xr:uid="{00000000-0006-0000-0500-00008E000000}">
      <text>
        <r>
          <rPr>
            <b/>
            <sz val="9"/>
            <rFont val="宋体"/>
            <family val="3"/>
            <charset val="134"/>
          </rPr>
          <t>Kevin She:</t>
        </r>
        <r>
          <rPr>
            <sz val="9"/>
            <rFont val="宋体"/>
            <family val="3"/>
            <charset val="134"/>
          </rPr>
          <t xml:space="preserve">
连接件喷塑单价</t>
        </r>
      </text>
    </comment>
    <comment ref="J233" authorId="0" shapeId="0" xr:uid="{00000000-0006-0000-0500-00008F000000}">
      <text>
        <r>
          <rPr>
            <b/>
            <sz val="9"/>
            <rFont val="宋体"/>
            <family val="3"/>
            <charset val="134"/>
          </rPr>
          <t>Kevin She:</t>
        </r>
        <r>
          <rPr>
            <sz val="9"/>
            <rFont val="宋体"/>
            <family val="3"/>
            <charset val="134"/>
          </rPr>
          <t xml:space="preserve">
工费</t>
        </r>
      </text>
    </comment>
    <comment ref="D239" authorId="0" shapeId="0" xr:uid="{00000000-0006-0000-0500-000090000000}">
      <text>
        <r>
          <rPr>
            <b/>
            <sz val="9"/>
            <rFont val="宋体"/>
            <family val="3"/>
            <charset val="134"/>
          </rPr>
          <t>Kevin She:</t>
        </r>
        <r>
          <rPr>
            <sz val="9"/>
            <rFont val="宋体"/>
            <family val="3"/>
            <charset val="134"/>
          </rPr>
          <t xml:space="preserve">
附件重量</t>
        </r>
      </text>
    </comment>
    <comment ref="E239" authorId="0" shapeId="0" xr:uid="{00000000-0006-0000-0500-000091000000}">
      <text>
        <r>
          <rPr>
            <b/>
            <sz val="9"/>
            <rFont val="宋体"/>
            <family val="3"/>
            <charset val="134"/>
          </rPr>
          <t>Kevin She:</t>
        </r>
        <r>
          <rPr>
            <sz val="9"/>
            <rFont val="宋体"/>
            <family val="3"/>
            <charset val="134"/>
          </rPr>
          <t xml:space="preserve">
连接件单价</t>
        </r>
      </text>
    </comment>
    <comment ref="D240" authorId="0" shapeId="0" xr:uid="{00000000-0006-0000-0500-000092000000}">
      <text>
        <r>
          <rPr>
            <b/>
            <sz val="9"/>
            <rFont val="宋体"/>
            <family val="3"/>
            <charset val="134"/>
          </rPr>
          <t>Kevin She:</t>
        </r>
        <r>
          <rPr>
            <sz val="9"/>
            <rFont val="宋体"/>
            <family val="3"/>
            <charset val="134"/>
          </rPr>
          <t xml:space="preserve">
工费</t>
        </r>
      </text>
    </comment>
    <comment ref="E240" authorId="0" shapeId="0" xr:uid="{00000000-0006-0000-0500-000093000000}">
      <text>
        <r>
          <rPr>
            <b/>
            <sz val="9"/>
            <rFont val="宋体"/>
            <family val="3"/>
            <charset val="134"/>
          </rPr>
          <t>Kevin She:</t>
        </r>
        <r>
          <rPr>
            <sz val="9"/>
            <rFont val="宋体"/>
            <family val="3"/>
            <charset val="134"/>
          </rPr>
          <t xml:space="preserve">
连接件喷塑单价</t>
        </r>
      </text>
    </comment>
    <comment ref="I244" authorId="0" shapeId="0" xr:uid="{00000000-0006-0000-0500-000094000000}">
      <text>
        <r>
          <rPr>
            <b/>
            <sz val="9"/>
            <rFont val="宋体"/>
            <family val="3"/>
            <charset val="134"/>
          </rPr>
          <t>Kevin She:</t>
        </r>
        <r>
          <rPr>
            <sz val="9"/>
            <rFont val="宋体"/>
            <family val="3"/>
            <charset val="134"/>
          </rPr>
          <t xml:space="preserve">
材料单价</t>
        </r>
      </text>
    </comment>
    <comment ref="J244" authorId="0" shapeId="0" xr:uid="{00000000-0006-0000-0500-000095000000}">
      <text>
        <r>
          <rPr>
            <b/>
            <sz val="9"/>
            <rFont val="宋体"/>
            <family val="3"/>
            <charset val="134"/>
          </rPr>
          <t>Kevin She:</t>
        </r>
        <r>
          <rPr>
            <sz val="9"/>
            <rFont val="宋体"/>
            <family val="3"/>
            <charset val="134"/>
          </rPr>
          <t xml:space="preserve">
喷塑单价</t>
        </r>
      </text>
    </comment>
    <comment ref="I245" authorId="0" shapeId="0" xr:uid="{00000000-0006-0000-0500-000096000000}">
      <text>
        <r>
          <rPr>
            <b/>
            <sz val="9"/>
            <rFont val="宋体"/>
            <family val="3"/>
            <charset val="134"/>
          </rPr>
          <t>Kevin She:</t>
        </r>
        <r>
          <rPr>
            <sz val="9"/>
            <rFont val="宋体"/>
            <family val="3"/>
            <charset val="134"/>
          </rPr>
          <t xml:space="preserve">
工费</t>
        </r>
      </text>
    </comment>
    <comment ref="J245" authorId="0" shapeId="0" xr:uid="{00000000-0006-0000-0500-000097000000}">
      <text>
        <r>
          <rPr>
            <b/>
            <sz val="9"/>
            <rFont val="宋体"/>
            <family val="3"/>
            <charset val="134"/>
          </rPr>
          <t>Kevin She:</t>
        </r>
        <r>
          <rPr>
            <sz val="9"/>
            <rFont val="宋体"/>
            <family val="3"/>
            <charset val="134"/>
          </rPr>
          <t xml:space="preserve">
标准件单价
</t>
        </r>
      </text>
    </comment>
    <comment ref="D248" authorId="0" shapeId="0" xr:uid="{00000000-0006-0000-0500-000098000000}">
      <text>
        <r>
          <rPr>
            <b/>
            <sz val="9"/>
            <rFont val="宋体"/>
            <family val="3"/>
            <charset val="134"/>
          </rPr>
          <t>Kevin She:</t>
        </r>
        <r>
          <rPr>
            <sz val="9"/>
            <rFont val="宋体"/>
            <family val="3"/>
            <charset val="134"/>
          </rPr>
          <t xml:space="preserve">
每套背拉根数</t>
        </r>
      </text>
    </comment>
    <comment ref="I249" authorId="0" shapeId="0" xr:uid="{00000000-0006-0000-0500-000099000000}">
      <text>
        <r>
          <rPr>
            <b/>
            <sz val="9"/>
            <rFont val="宋体"/>
            <family val="3"/>
            <charset val="134"/>
          </rPr>
          <t>Kevin She:</t>
        </r>
        <r>
          <rPr>
            <sz val="9"/>
            <rFont val="宋体"/>
            <family val="3"/>
            <charset val="134"/>
          </rPr>
          <t xml:space="preserve">
材料单价</t>
        </r>
      </text>
    </comment>
    <comment ref="J249" authorId="0" shapeId="0" xr:uid="{00000000-0006-0000-0500-00009A000000}">
      <text>
        <r>
          <rPr>
            <b/>
            <sz val="9"/>
            <rFont val="宋体"/>
            <family val="3"/>
            <charset val="134"/>
          </rPr>
          <t>Kevin She:</t>
        </r>
        <r>
          <rPr>
            <sz val="9"/>
            <rFont val="宋体"/>
            <family val="3"/>
            <charset val="134"/>
          </rPr>
          <t xml:space="preserve">
喷塑单价</t>
        </r>
      </text>
    </comment>
    <comment ref="J250" authorId="0" shapeId="0" xr:uid="{00000000-0006-0000-0500-00009B000000}">
      <text>
        <r>
          <rPr>
            <b/>
            <sz val="9"/>
            <rFont val="宋体"/>
            <family val="3"/>
            <charset val="134"/>
          </rPr>
          <t>Kevin She:</t>
        </r>
        <r>
          <rPr>
            <sz val="9"/>
            <rFont val="宋体"/>
            <family val="3"/>
            <charset val="134"/>
          </rPr>
          <t xml:space="preserve">
标准件单价
</t>
        </r>
      </text>
    </comment>
    <comment ref="D253" authorId="0" shapeId="0" xr:uid="{00000000-0006-0000-0500-00009C000000}">
      <text>
        <r>
          <rPr>
            <b/>
            <sz val="9"/>
            <rFont val="宋体"/>
            <family val="3"/>
            <charset val="134"/>
          </rPr>
          <t>Kevin She:</t>
        </r>
        <r>
          <rPr>
            <sz val="9"/>
            <rFont val="宋体"/>
            <family val="3"/>
            <charset val="134"/>
          </rPr>
          <t xml:space="preserve">
材料单价</t>
        </r>
      </text>
    </comment>
    <comment ref="E253" authorId="0" shapeId="0" xr:uid="{00000000-0006-0000-0500-00009D000000}">
      <text>
        <r>
          <rPr>
            <b/>
            <sz val="9"/>
            <rFont val="宋体"/>
            <family val="3"/>
            <charset val="134"/>
          </rPr>
          <t>Kevin She:</t>
        </r>
        <r>
          <rPr>
            <sz val="9"/>
            <rFont val="宋体"/>
            <family val="3"/>
            <charset val="134"/>
          </rPr>
          <t xml:space="preserve">
喷塑单价</t>
        </r>
      </text>
    </comment>
    <comment ref="F253" authorId="0" shapeId="0" xr:uid="{00000000-0006-0000-0500-00009E000000}">
      <text>
        <r>
          <rPr>
            <b/>
            <sz val="9"/>
            <rFont val="宋体"/>
            <family val="3"/>
            <charset val="134"/>
          </rPr>
          <t>Kevin She:</t>
        </r>
        <r>
          <rPr>
            <sz val="9"/>
            <rFont val="宋体"/>
            <family val="3"/>
            <charset val="134"/>
          </rPr>
          <t xml:space="preserve">
标准件单价
</t>
        </r>
      </text>
    </comment>
    <comment ref="D254" authorId="0" shapeId="0" xr:uid="{00000000-0006-0000-0500-00009F000000}">
      <text>
        <r>
          <rPr>
            <b/>
            <sz val="9"/>
            <rFont val="宋体"/>
            <family val="3"/>
            <charset val="134"/>
          </rPr>
          <t>Kevin She:</t>
        </r>
        <r>
          <rPr>
            <sz val="9"/>
            <rFont val="宋体"/>
            <family val="3"/>
            <charset val="134"/>
          </rPr>
          <t xml:space="preserve">
矩管长度</t>
        </r>
      </text>
    </comment>
    <comment ref="D258" authorId="0" shapeId="0" xr:uid="{00000000-0006-0000-0500-0000A0000000}">
      <text>
        <r>
          <rPr>
            <b/>
            <sz val="9"/>
            <rFont val="宋体"/>
            <family val="3"/>
            <charset val="134"/>
          </rPr>
          <t>Kevin She:</t>
        </r>
        <r>
          <rPr>
            <sz val="9"/>
            <rFont val="宋体"/>
            <family val="3"/>
            <charset val="134"/>
          </rPr>
          <t xml:space="preserve">
材料单价</t>
        </r>
      </text>
    </comment>
    <comment ref="E258" authorId="0" shapeId="0" xr:uid="{00000000-0006-0000-0500-0000A1000000}">
      <text>
        <r>
          <rPr>
            <b/>
            <sz val="9"/>
            <rFont val="宋体"/>
            <family val="3"/>
            <charset val="134"/>
          </rPr>
          <t>Kevin She:</t>
        </r>
        <r>
          <rPr>
            <sz val="9"/>
            <rFont val="宋体"/>
            <family val="3"/>
            <charset val="134"/>
          </rPr>
          <t xml:space="preserve">
喷塑单价</t>
        </r>
      </text>
    </comment>
    <comment ref="F258" authorId="0" shapeId="0" xr:uid="{00000000-0006-0000-0500-0000A2000000}">
      <text>
        <r>
          <rPr>
            <b/>
            <sz val="9"/>
            <rFont val="宋体"/>
            <family val="3"/>
            <charset val="134"/>
          </rPr>
          <t>Kevin She:</t>
        </r>
        <r>
          <rPr>
            <sz val="9"/>
            <rFont val="宋体"/>
            <family val="3"/>
            <charset val="134"/>
          </rPr>
          <t xml:space="preserve">
标准件单价
</t>
        </r>
      </text>
    </comment>
    <comment ref="D259" authorId="0" shapeId="0" xr:uid="{00000000-0006-0000-0500-0000A3000000}">
      <text>
        <r>
          <rPr>
            <b/>
            <sz val="9"/>
            <rFont val="宋体"/>
            <family val="3"/>
            <charset val="134"/>
          </rPr>
          <t>Kevin She:</t>
        </r>
        <r>
          <rPr>
            <sz val="9"/>
            <rFont val="宋体"/>
            <family val="3"/>
            <charset val="134"/>
          </rPr>
          <t xml:space="preserve">
矩管长度</t>
        </r>
      </text>
    </comment>
    <comment ref="D263" authorId="0" shapeId="0" xr:uid="{00000000-0006-0000-0500-0000A4000000}">
      <text>
        <r>
          <rPr>
            <b/>
            <sz val="9"/>
            <rFont val="宋体"/>
            <family val="3"/>
            <charset val="134"/>
          </rPr>
          <t>Kevin She:</t>
        </r>
        <r>
          <rPr>
            <sz val="9"/>
            <rFont val="宋体"/>
            <family val="3"/>
            <charset val="134"/>
          </rPr>
          <t xml:space="preserve">
材料单价</t>
        </r>
      </text>
    </comment>
    <comment ref="E263" authorId="0" shapeId="0" xr:uid="{00000000-0006-0000-0500-0000A5000000}">
      <text>
        <r>
          <rPr>
            <b/>
            <sz val="9"/>
            <rFont val="宋体"/>
            <family val="3"/>
            <charset val="134"/>
          </rPr>
          <t>Kevin She:</t>
        </r>
        <r>
          <rPr>
            <sz val="9"/>
            <rFont val="宋体"/>
            <family val="3"/>
            <charset val="134"/>
          </rPr>
          <t xml:space="preserve">
工费</t>
        </r>
      </text>
    </comment>
    <comment ref="F263" authorId="0" shapeId="0" xr:uid="{00000000-0006-0000-0500-0000A6000000}">
      <text>
        <r>
          <rPr>
            <b/>
            <sz val="9"/>
            <rFont val="宋体"/>
            <family val="3"/>
            <charset val="134"/>
          </rPr>
          <t>Kevin She:</t>
        </r>
        <r>
          <rPr>
            <sz val="9"/>
            <rFont val="宋体"/>
            <family val="3"/>
            <charset val="134"/>
          </rPr>
          <t xml:space="preserve">
标准件单价
</t>
        </r>
      </text>
    </comment>
    <comment ref="D268" authorId="0" shapeId="0" xr:uid="{00000000-0006-0000-0500-0000A7000000}">
      <text>
        <r>
          <rPr>
            <b/>
            <sz val="9"/>
            <rFont val="宋体"/>
            <family val="3"/>
            <charset val="134"/>
          </rPr>
          <t>Kevin She:</t>
        </r>
        <r>
          <rPr>
            <sz val="9"/>
            <rFont val="宋体"/>
            <family val="3"/>
            <charset val="134"/>
          </rPr>
          <t xml:space="preserve">
材料单价</t>
        </r>
      </text>
    </comment>
    <comment ref="E268" authorId="0" shapeId="0" xr:uid="{00000000-0006-0000-0500-0000A8000000}">
      <text>
        <r>
          <rPr>
            <b/>
            <sz val="9"/>
            <rFont val="宋体"/>
            <family val="3"/>
            <charset val="134"/>
          </rPr>
          <t>Kevin She:</t>
        </r>
        <r>
          <rPr>
            <sz val="9"/>
            <rFont val="宋体"/>
            <family val="3"/>
            <charset val="134"/>
          </rPr>
          <t xml:space="preserve">
工费</t>
        </r>
      </text>
    </comment>
    <comment ref="F268" authorId="0" shapeId="0" xr:uid="{00000000-0006-0000-0500-0000A9000000}">
      <text>
        <r>
          <rPr>
            <b/>
            <sz val="9"/>
            <rFont val="宋体"/>
            <family val="3"/>
            <charset val="134"/>
          </rPr>
          <t>Kevin She:</t>
        </r>
        <r>
          <rPr>
            <sz val="9"/>
            <rFont val="宋体"/>
            <family val="3"/>
            <charset val="134"/>
          </rPr>
          <t xml:space="preserve">
标准件单价
</t>
        </r>
      </text>
    </comment>
    <comment ref="E269" authorId="0" shapeId="0" xr:uid="{00000000-0006-0000-0500-0000AA000000}">
      <text>
        <r>
          <rPr>
            <b/>
            <sz val="9"/>
            <rFont val="宋体"/>
            <family val="3"/>
            <charset val="134"/>
          </rPr>
          <t>Kevin She:</t>
        </r>
        <r>
          <rPr>
            <sz val="9"/>
            <rFont val="宋体"/>
            <family val="3"/>
            <charset val="134"/>
          </rPr>
          <t xml:space="preserve">
喷塑费</t>
        </r>
      </text>
    </comment>
    <comment ref="D273" authorId="0" shapeId="0" xr:uid="{00000000-0006-0000-0500-0000AB000000}">
      <text>
        <r>
          <rPr>
            <b/>
            <sz val="9"/>
            <rFont val="宋体"/>
            <family val="3"/>
            <charset val="134"/>
          </rPr>
          <t>Kevin She:</t>
        </r>
        <r>
          <rPr>
            <sz val="9"/>
            <rFont val="宋体"/>
            <family val="3"/>
            <charset val="134"/>
          </rPr>
          <t xml:space="preserve">
材料单价</t>
        </r>
      </text>
    </comment>
    <comment ref="E273" authorId="0" shapeId="0" xr:uid="{00000000-0006-0000-0500-0000AC000000}">
      <text>
        <r>
          <rPr>
            <b/>
            <sz val="9"/>
            <rFont val="宋体"/>
            <family val="3"/>
            <charset val="134"/>
          </rPr>
          <t>Kevin She:</t>
        </r>
        <r>
          <rPr>
            <sz val="9"/>
            <rFont val="宋体"/>
            <family val="3"/>
            <charset val="134"/>
          </rPr>
          <t xml:space="preserve">
工费</t>
        </r>
      </text>
    </comment>
    <comment ref="F273" authorId="0" shapeId="0" xr:uid="{00000000-0006-0000-0500-0000AD000000}">
      <text>
        <r>
          <rPr>
            <b/>
            <sz val="9"/>
            <rFont val="宋体"/>
            <family val="3"/>
            <charset val="134"/>
          </rPr>
          <t>Kevin She:</t>
        </r>
        <r>
          <rPr>
            <sz val="9"/>
            <rFont val="宋体"/>
            <family val="3"/>
            <charset val="134"/>
          </rPr>
          <t xml:space="preserve">
标准件单价
</t>
        </r>
      </text>
    </comment>
    <comment ref="E274" authorId="0" shapeId="0" xr:uid="{00000000-0006-0000-0500-0000AE000000}">
      <text>
        <r>
          <rPr>
            <b/>
            <sz val="9"/>
            <rFont val="宋体"/>
            <family val="3"/>
            <charset val="134"/>
          </rPr>
          <t>Kevin She:</t>
        </r>
        <r>
          <rPr>
            <sz val="9"/>
            <rFont val="宋体"/>
            <family val="3"/>
            <charset val="134"/>
          </rPr>
          <t xml:space="preserve">
喷塑费</t>
        </r>
      </text>
    </comment>
    <comment ref="D278" authorId="0" shapeId="0" xr:uid="{00000000-0006-0000-0500-0000AF000000}">
      <text>
        <r>
          <rPr>
            <b/>
            <sz val="9"/>
            <rFont val="宋体"/>
            <family val="3"/>
            <charset val="134"/>
          </rPr>
          <t>Kevin She:</t>
        </r>
        <r>
          <rPr>
            <sz val="9"/>
            <rFont val="宋体"/>
            <family val="3"/>
            <charset val="134"/>
          </rPr>
          <t xml:space="preserve">
护脚单价</t>
        </r>
      </text>
    </comment>
    <comment ref="F278" authorId="0" shapeId="0" xr:uid="{00000000-0006-0000-0500-0000B0000000}">
      <text>
        <r>
          <rPr>
            <b/>
            <sz val="9"/>
            <rFont val="宋体"/>
            <family val="3"/>
            <charset val="134"/>
          </rPr>
          <t>Kevin She:</t>
        </r>
        <r>
          <rPr>
            <sz val="9"/>
            <rFont val="宋体"/>
            <family val="3"/>
            <charset val="134"/>
          </rPr>
          <t xml:space="preserve">
数量
</t>
        </r>
      </text>
    </comment>
    <comment ref="C279" authorId="0" shapeId="0" xr:uid="{00000000-0006-0000-0500-0000B1000000}">
      <text>
        <r>
          <rPr>
            <b/>
            <sz val="9"/>
            <rFont val="宋体"/>
            <family val="3"/>
            <charset val="134"/>
          </rPr>
          <t>Kevin She:</t>
        </r>
        <r>
          <rPr>
            <sz val="9"/>
            <rFont val="宋体"/>
            <family val="3"/>
            <charset val="134"/>
          </rPr>
          <t xml:space="preserve">
重量</t>
        </r>
      </text>
    </comment>
    <comment ref="D279" authorId="0" shapeId="0" xr:uid="{00000000-0006-0000-0500-0000B2000000}">
      <text>
        <r>
          <rPr>
            <b/>
            <sz val="9"/>
            <rFont val="宋体"/>
            <family val="3"/>
            <charset val="134"/>
          </rPr>
          <t>Kevin She:</t>
        </r>
        <r>
          <rPr>
            <sz val="9"/>
            <rFont val="宋体"/>
            <family val="3"/>
            <charset val="134"/>
          </rPr>
          <t xml:space="preserve">
喷塑单价</t>
        </r>
      </text>
    </comment>
    <comment ref="E279" authorId="0" shapeId="0" xr:uid="{00000000-0006-0000-0500-0000B3000000}">
      <text>
        <r>
          <rPr>
            <b/>
            <sz val="9"/>
            <rFont val="宋体"/>
            <family val="3"/>
            <charset val="134"/>
          </rPr>
          <t>Kevin She:</t>
        </r>
        <r>
          <rPr>
            <sz val="9"/>
            <rFont val="宋体"/>
            <family val="3"/>
            <charset val="134"/>
          </rPr>
          <t xml:space="preserve">
标准件单价</t>
        </r>
      </text>
    </comment>
    <comment ref="Q283" authorId="0" shapeId="0" xr:uid="{00000000-0006-0000-0500-0000B4000000}">
      <text>
        <r>
          <rPr>
            <b/>
            <sz val="9"/>
            <rFont val="宋体"/>
            <family val="3"/>
            <charset val="134"/>
          </rPr>
          <t>Kevin She:</t>
        </r>
        <r>
          <rPr>
            <sz val="9"/>
            <rFont val="宋体"/>
            <family val="3"/>
            <charset val="134"/>
          </rPr>
          <t xml:space="preserve">
横斜撑节距</t>
        </r>
      </text>
    </comment>
    <comment ref="AC283" authorId="0" shapeId="0" xr:uid="{00000000-0006-0000-0500-0000B5000000}">
      <text>
        <r>
          <rPr>
            <b/>
            <sz val="9"/>
            <rFont val="宋体"/>
            <family val="3"/>
            <charset val="134"/>
          </rPr>
          <t>Kevin She:</t>
        </r>
        <r>
          <rPr>
            <sz val="9"/>
            <rFont val="宋体"/>
            <family val="3"/>
            <charset val="134"/>
          </rPr>
          <t xml:space="preserve">
≥8米时，增加额外成本</t>
        </r>
      </text>
    </comment>
    <comment ref="E284" authorId="0" shapeId="0" xr:uid="{00000000-0006-0000-0500-0000B6000000}">
      <text>
        <r>
          <rPr>
            <b/>
            <sz val="9"/>
            <rFont val="宋体"/>
            <family val="3"/>
            <charset val="134"/>
          </rPr>
          <t>Kevin She:</t>
        </r>
        <r>
          <rPr>
            <sz val="9"/>
            <rFont val="宋体"/>
            <family val="3"/>
            <charset val="134"/>
          </rPr>
          <t xml:space="preserve">
D</t>
        </r>
      </text>
    </comment>
    <comment ref="D287" authorId="0" shapeId="0" xr:uid="{00000000-0006-0000-0500-0000B7000000}">
      <text>
        <r>
          <rPr>
            <b/>
            <sz val="9"/>
            <rFont val="宋体"/>
            <family val="3"/>
            <charset val="134"/>
          </rPr>
          <t>Kevin She:</t>
        </r>
        <r>
          <rPr>
            <sz val="9"/>
            <rFont val="宋体"/>
            <family val="3"/>
            <charset val="134"/>
          </rPr>
          <t xml:space="preserve">
重量</t>
        </r>
      </text>
    </comment>
    <comment ref="E287" authorId="0" shapeId="0" xr:uid="{00000000-0006-0000-0500-0000B8000000}">
      <text>
        <r>
          <rPr>
            <b/>
            <sz val="9"/>
            <rFont val="宋体"/>
            <family val="3"/>
            <charset val="134"/>
          </rPr>
          <t>Kevin She:</t>
        </r>
        <r>
          <rPr>
            <sz val="9"/>
            <rFont val="宋体"/>
            <family val="3"/>
            <charset val="134"/>
          </rPr>
          <t xml:space="preserve">
6.5*1.02+1+2</t>
        </r>
      </text>
    </comment>
    <comment ref="C291" authorId="0" shapeId="0" xr:uid="{00000000-0006-0000-0500-0000B9000000}">
      <text>
        <r>
          <rPr>
            <b/>
            <sz val="9"/>
            <rFont val="宋体"/>
            <family val="3"/>
            <charset val="134"/>
          </rPr>
          <t>Kevin She:</t>
        </r>
        <r>
          <rPr>
            <sz val="9"/>
            <rFont val="宋体"/>
            <family val="3"/>
            <charset val="134"/>
          </rPr>
          <t xml:space="preserve">
重量</t>
        </r>
      </text>
    </comment>
    <comment ref="D291" authorId="0" shapeId="0" xr:uid="{00000000-0006-0000-0500-0000BA000000}">
      <text>
        <r>
          <rPr>
            <b/>
            <sz val="9"/>
            <rFont val="宋体"/>
            <family val="3"/>
            <charset val="134"/>
          </rPr>
          <t>Kevin She:</t>
        </r>
        <r>
          <rPr>
            <sz val="9"/>
            <rFont val="宋体"/>
            <family val="3"/>
            <charset val="134"/>
          </rPr>
          <t xml:space="preserve">
单价</t>
        </r>
      </text>
    </comment>
    <comment ref="E291" authorId="0" shapeId="0" xr:uid="{00000000-0006-0000-0500-0000BB000000}">
      <text>
        <r>
          <rPr>
            <b/>
            <sz val="9"/>
            <rFont val="宋体"/>
            <family val="3"/>
            <charset val="134"/>
          </rPr>
          <t>Kevin She:</t>
        </r>
        <r>
          <rPr>
            <sz val="9"/>
            <rFont val="宋体"/>
            <family val="3"/>
            <charset val="134"/>
          </rPr>
          <t xml:space="preserve">
喷塑费单价+标准件</t>
        </r>
      </text>
    </comment>
    <comment ref="F291" authorId="0" shapeId="0" xr:uid="{00000000-0006-0000-0500-0000BC000000}">
      <text>
        <r>
          <rPr>
            <b/>
            <sz val="9"/>
            <rFont val="宋体"/>
            <family val="3"/>
            <charset val="134"/>
          </rPr>
          <t>Kevin She:</t>
        </r>
        <r>
          <rPr>
            <sz val="9"/>
            <rFont val="宋体"/>
            <family val="3"/>
            <charset val="134"/>
          </rPr>
          <t xml:space="preserve">
数量
</t>
        </r>
      </text>
    </comment>
    <comment ref="D292" authorId="0" shapeId="0" xr:uid="{00000000-0006-0000-0500-0000BD000000}">
      <text>
        <r>
          <rPr>
            <b/>
            <sz val="9"/>
            <rFont val="宋体"/>
            <family val="3"/>
            <charset val="134"/>
          </rPr>
          <t>Kevin She:</t>
        </r>
        <r>
          <rPr>
            <sz val="9"/>
            <rFont val="宋体"/>
            <family val="3"/>
            <charset val="134"/>
          </rPr>
          <t xml:space="preserve">
材料单价</t>
        </r>
      </text>
    </comment>
    <comment ref="E292" authorId="0" shapeId="0" xr:uid="{00000000-0006-0000-0500-0000BE000000}">
      <text>
        <r>
          <rPr>
            <b/>
            <sz val="9"/>
            <rFont val="宋体"/>
            <family val="3"/>
            <charset val="134"/>
          </rPr>
          <t>Kevin She:</t>
        </r>
        <r>
          <rPr>
            <sz val="9"/>
            <rFont val="宋体"/>
            <family val="3"/>
            <charset val="134"/>
          </rPr>
          <t xml:space="preserve">
喷塑单价+标准件</t>
        </r>
      </text>
    </comment>
    <comment ref="C296" authorId="0" shapeId="0" xr:uid="{00000000-0006-0000-0500-0000BF000000}">
      <text>
        <r>
          <rPr>
            <b/>
            <sz val="9"/>
            <rFont val="宋体"/>
            <family val="3"/>
            <charset val="134"/>
          </rPr>
          <t>Kevin She:</t>
        </r>
        <r>
          <rPr>
            <sz val="9"/>
            <rFont val="宋体"/>
            <family val="3"/>
            <charset val="134"/>
          </rPr>
          <t xml:space="preserve">
重量</t>
        </r>
      </text>
    </comment>
    <comment ref="D296" authorId="0" shapeId="0" xr:uid="{00000000-0006-0000-0500-0000C0000000}">
      <text>
        <r>
          <rPr>
            <b/>
            <sz val="9"/>
            <rFont val="宋体"/>
            <family val="3"/>
            <charset val="134"/>
          </rPr>
          <t>Kevin She:</t>
        </r>
        <r>
          <rPr>
            <sz val="9"/>
            <rFont val="宋体"/>
            <family val="3"/>
            <charset val="134"/>
          </rPr>
          <t xml:space="preserve">
单价</t>
        </r>
      </text>
    </comment>
    <comment ref="E296" authorId="0" shapeId="0" xr:uid="{00000000-0006-0000-0500-0000C1000000}">
      <text>
        <r>
          <rPr>
            <b/>
            <sz val="9"/>
            <rFont val="宋体"/>
            <family val="3"/>
            <charset val="134"/>
          </rPr>
          <t>Kevin She:</t>
        </r>
        <r>
          <rPr>
            <sz val="9"/>
            <rFont val="宋体"/>
            <family val="3"/>
            <charset val="134"/>
          </rPr>
          <t xml:space="preserve">
喷塑费单价+标准件
</t>
        </r>
      </text>
    </comment>
    <comment ref="F296" authorId="0" shapeId="0" xr:uid="{00000000-0006-0000-0500-0000C2000000}">
      <text>
        <r>
          <rPr>
            <b/>
            <sz val="9"/>
            <rFont val="宋体"/>
            <family val="3"/>
            <charset val="134"/>
          </rPr>
          <t>Kevin She:</t>
        </r>
        <r>
          <rPr>
            <sz val="9"/>
            <rFont val="宋体"/>
            <family val="3"/>
            <charset val="134"/>
          </rPr>
          <t xml:space="preserve">
数量
</t>
        </r>
      </text>
    </comment>
    <comment ref="E297" authorId="0" shapeId="0" xr:uid="{00000000-0006-0000-0500-0000C3000000}">
      <text>
        <r>
          <rPr>
            <b/>
            <sz val="9"/>
            <rFont val="宋体"/>
            <family val="3"/>
            <charset val="134"/>
          </rPr>
          <t>Kevin She:</t>
        </r>
        <r>
          <rPr>
            <sz val="9"/>
            <rFont val="宋体"/>
            <family val="3"/>
            <charset val="134"/>
          </rPr>
          <t xml:space="preserve">
喷塑单价+标准件</t>
        </r>
      </text>
    </comment>
    <comment ref="C301" authorId="0" shapeId="0" xr:uid="{00000000-0006-0000-0500-0000C4000000}">
      <text>
        <r>
          <rPr>
            <b/>
            <sz val="9"/>
            <rFont val="宋体"/>
            <family val="3"/>
            <charset val="134"/>
          </rPr>
          <t>Kevin She:</t>
        </r>
        <r>
          <rPr>
            <sz val="9"/>
            <rFont val="宋体"/>
            <family val="3"/>
            <charset val="134"/>
          </rPr>
          <t xml:space="preserve">
采购件名称</t>
        </r>
      </text>
    </comment>
    <comment ref="D301" authorId="0" shapeId="0" xr:uid="{00000000-0006-0000-0500-0000C5000000}">
      <text>
        <r>
          <rPr>
            <b/>
            <sz val="9"/>
            <rFont val="宋体"/>
            <family val="3"/>
            <charset val="134"/>
          </rPr>
          <t>Kevin She:</t>
        </r>
        <r>
          <rPr>
            <sz val="9"/>
            <rFont val="宋体"/>
            <family val="3"/>
            <charset val="134"/>
          </rPr>
          <t xml:space="preserve">
含税价 13%税率</t>
        </r>
      </text>
    </comment>
    <comment ref="C302" authorId="0" shapeId="0" xr:uid="{00000000-0006-0000-0500-0000C6000000}">
      <text>
        <r>
          <rPr>
            <b/>
            <sz val="9"/>
            <rFont val="宋体"/>
            <family val="3"/>
            <charset val="134"/>
          </rPr>
          <t>Kevin She:</t>
        </r>
        <r>
          <rPr>
            <sz val="9"/>
            <rFont val="宋体"/>
            <family val="3"/>
            <charset val="134"/>
          </rPr>
          <t xml:space="preserve">
采购件名称</t>
        </r>
      </text>
    </comment>
    <comment ref="D302" authorId="0" shapeId="0" xr:uid="{00000000-0006-0000-0500-0000C7000000}">
      <text>
        <r>
          <rPr>
            <b/>
            <sz val="9"/>
            <rFont val="宋体"/>
            <family val="3"/>
            <charset val="134"/>
          </rPr>
          <t>Kevin She:</t>
        </r>
        <r>
          <rPr>
            <sz val="9"/>
            <rFont val="宋体"/>
            <family val="3"/>
            <charset val="134"/>
          </rPr>
          <t xml:space="preserve">
含税价，6%税率</t>
        </r>
      </text>
    </comment>
    <comment ref="C307" authorId="0" shapeId="0" xr:uid="{00000000-0006-0000-0500-0000C8000000}">
      <text>
        <r>
          <rPr>
            <b/>
            <sz val="9"/>
            <rFont val="宋体"/>
            <family val="3"/>
            <charset val="134"/>
          </rPr>
          <t>Kevin She:</t>
        </r>
        <r>
          <rPr>
            <sz val="9"/>
            <rFont val="宋体"/>
            <family val="3"/>
            <charset val="134"/>
          </rPr>
          <t xml:space="preserve">
重量</t>
        </r>
      </text>
    </comment>
    <comment ref="D307" authorId="0" shapeId="0" xr:uid="{00000000-0006-0000-0500-0000C9000000}">
      <text>
        <r>
          <rPr>
            <b/>
            <sz val="9"/>
            <rFont val="宋体"/>
            <family val="3"/>
            <charset val="134"/>
          </rPr>
          <t>Kevin She:</t>
        </r>
        <r>
          <rPr>
            <sz val="9"/>
            <rFont val="宋体"/>
            <family val="3"/>
            <charset val="134"/>
          </rPr>
          <t xml:space="preserve">
材料单价</t>
        </r>
      </text>
    </comment>
    <comment ref="E307" authorId="0" shapeId="0" xr:uid="{00000000-0006-0000-0500-0000CA000000}">
      <text>
        <r>
          <rPr>
            <b/>
            <sz val="9"/>
            <rFont val="宋体"/>
            <family val="3"/>
            <charset val="134"/>
          </rPr>
          <t>Kevin She:</t>
        </r>
        <r>
          <rPr>
            <sz val="9"/>
            <rFont val="宋体"/>
            <family val="3"/>
            <charset val="134"/>
          </rPr>
          <t xml:space="preserve">
喷塑单价</t>
        </r>
      </text>
    </comment>
    <comment ref="C312" authorId="0" shapeId="0" xr:uid="{00000000-0006-0000-0500-0000CB000000}">
      <text>
        <r>
          <rPr>
            <b/>
            <sz val="9"/>
            <rFont val="宋体"/>
            <family val="3"/>
            <charset val="134"/>
          </rPr>
          <t>Kevin She:</t>
        </r>
        <r>
          <rPr>
            <sz val="9"/>
            <rFont val="宋体"/>
            <family val="3"/>
            <charset val="134"/>
          </rPr>
          <t xml:space="preserve">
重量</t>
        </r>
      </text>
    </comment>
    <comment ref="D312" authorId="0" shapeId="0" xr:uid="{00000000-0006-0000-0500-0000CC000000}">
      <text>
        <r>
          <rPr>
            <b/>
            <sz val="9"/>
            <rFont val="宋体"/>
            <family val="3"/>
            <charset val="134"/>
          </rPr>
          <t>Kevin She:</t>
        </r>
        <r>
          <rPr>
            <sz val="9"/>
            <rFont val="宋体"/>
            <family val="3"/>
            <charset val="134"/>
          </rPr>
          <t xml:space="preserve">
材料单价</t>
        </r>
      </text>
    </comment>
    <comment ref="E312" authorId="0" shapeId="0" xr:uid="{00000000-0006-0000-0500-0000CD000000}">
      <text>
        <r>
          <rPr>
            <b/>
            <sz val="9"/>
            <rFont val="宋体"/>
            <family val="3"/>
            <charset val="134"/>
          </rPr>
          <t>Kevin She:</t>
        </r>
        <r>
          <rPr>
            <sz val="9"/>
            <rFont val="宋体"/>
            <family val="3"/>
            <charset val="134"/>
          </rPr>
          <t xml:space="preserve">
喷塑单价</t>
        </r>
      </text>
    </comment>
    <comment ref="C317" authorId="0" shapeId="0" xr:uid="{00000000-0006-0000-0500-0000CE000000}">
      <text>
        <r>
          <rPr>
            <b/>
            <sz val="9"/>
            <rFont val="宋体"/>
            <family val="3"/>
            <charset val="134"/>
          </rPr>
          <t>Kevin She:</t>
        </r>
        <r>
          <rPr>
            <sz val="9"/>
            <rFont val="宋体"/>
            <family val="3"/>
            <charset val="134"/>
          </rPr>
          <t xml:space="preserve">
重量</t>
        </r>
      </text>
    </comment>
    <comment ref="D317" authorId="0" shapeId="0" xr:uid="{00000000-0006-0000-0500-0000CF000000}">
      <text>
        <r>
          <rPr>
            <b/>
            <sz val="9"/>
            <rFont val="宋体"/>
            <family val="3"/>
            <charset val="134"/>
          </rPr>
          <t>Kevin She:</t>
        </r>
        <r>
          <rPr>
            <sz val="9"/>
            <rFont val="宋体"/>
            <family val="3"/>
            <charset val="134"/>
          </rPr>
          <t xml:space="preserve">
材料单价</t>
        </r>
      </text>
    </comment>
    <comment ref="E317" authorId="0" shapeId="0" xr:uid="{00000000-0006-0000-0500-0000D0000000}">
      <text>
        <r>
          <rPr>
            <b/>
            <sz val="9"/>
            <rFont val="宋体"/>
            <family val="3"/>
            <charset val="134"/>
          </rPr>
          <t>Kevin She:</t>
        </r>
        <r>
          <rPr>
            <sz val="9"/>
            <rFont val="宋体"/>
            <family val="3"/>
            <charset val="134"/>
          </rPr>
          <t xml:space="preserve">
标准件</t>
        </r>
      </text>
    </comment>
    <comment ref="F317" authorId="0" shapeId="0" xr:uid="{00000000-0006-0000-0500-0000D1000000}">
      <text>
        <r>
          <rPr>
            <b/>
            <sz val="9"/>
            <rFont val="宋体"/>
            <family val="3"/>
            <charset val="134"/>
          </rPr>
          <t>Kevin She:</t>
        </r>
        <r>
          <rPr>
            <sz val="9"/>
            <rFont val="宋体"/>
            <family val="3"/>
            <charset val="134"/>
          </rPr>
          <t xml:space="preserve">
工费</t>
        </r>
      </text>
    </comment>
    <comment ref="C322" authorId="0" shapeId="0" xr:uid="{00000000-0006-0000-0500-0000D2000000}">
      <text>
        <r>
          <rPr>
            <b/>
            <sz val="9"/>
            <rFont val="宋体"/>
            <family val="3"/>
            <charset val="134"/>
          </rPr>
          <t>Kevin She:</t>
        </r>
        <r>
          <rPr>
            <sz val="9"/>
            <rFont val="宋体"/>
            <family val="3"/>
            <charset val="134"/>
          </rPr>
          <t xml:space="preserve">
层板重量</t>
        </r>
      </text>
    </comment>
    <comment ref="D322" authorId="0" shapeId="0" xr:uid="{00000000-0006-0000-0500-0000D3000000}">
      <text>
        <r>
          <rPr>
            <b/>
            <sz val="9"/>
            <rFont val="宋体"/>
            <family val="3"/>
            <charset val="134"/>
          </rPr>
          <t>Kevin She:</t>
        </r>
        <r>
          <rPr>
            <sz val="9"/>
            <rFont val="宋体"/>
            <family val="3"/>
            <charset val="134"/>
          </rPr>
          <t xml:space="preserve">
材料单价</t>
        </r>
      </text>
    </comment>
    <comment ref="E322" authorId="0" shapeId="0" xr:uid="{00000000-0006-0000-0500-0000D4000000}">
      <text>
        <r>
          <rPr>
            <b/>
            <sz val="9"/>
            <rFont val="宋体"/>
            <family val="3"/>
            <charset val="134"/>
          </rPr>
          <t>Kevin She:</t>
        </r>
        <r>
          <rPr>
            <sz val="9"/>
            <rFont val="宋体"/>
            <family val="3"/>
            <charset val="134"/>
          </rPr>
          <t xml:space="preserve">
标准件</t>
        </r>
      </text>
    </comment>
    <comment ref="F322" authorId="0" shapeId="0" xr:uid="{00000000-0006-0000-0500-0000D5000000}">
      <text>
        <r>
          <rPr>
            <b/>
            <sz val="9"/>
            <rFont val="宋体"/>
            <family val="3"/>
            <charset val="134"/>
          </rPr>
          <t>Kevin She:</t>
        </r>
        <r>
          <rPr>
            <sz val="9"/>
            <rFont val="宋体"/>
            <family val="3"/>
            <charset val="134"/>
          </rPr>
          <t xml:space="preserve">
工费</t>
        </r>
      </text>
    </comment>
    <comment ref="C323" authorId="0" shapeId="0" xr:uid="{00000000-0006-0000-0500-0000D6000000}">
      <text>
        <r>
          <rPr>
            <b/>
            <sz val="9"/>
            <rFont val="宋体"/>
            <family val="3"/>
            <charset val="134"/>
          </rPr>
          <t>Kevin She:</t>
        </r>
        <r>
          <rPr>
            <sz val="9"/>
            <rFont val="宋体"/>
            <family val="3"/>
            <charset val="134"/>
          </rPr>
          <t xml:space="preserve">
喷塑面积</t>
        </r>
      </text>
    </comment>
    <comment ref="D323" authorId="0" shapeId="0" xr:uid="{00000000-0006-0000-0500-0000D7000000}">
      <text>
        <r>
          <rPr>
            <b/>
            <sz val="9"/>
            <rFont val="宋体"/>
            <family val="3"/>
            <charset val="134"/>
          </rPr>
          <t>Kevin She:</t>
        </r>
        <r>
          <rPr>
            <sz val="9"/>
            <rFont val="宋体"/>
            <family val="3"/>
            <charset val="134"/>
          </rPr>
          <t xml:space="preserve">
喷塑单价</t>
        </r>
      </text>
    </comment>
    <comment ref="E323" authorId="0" shapeId="0" xr:uid="{00000000-0006-0000-0500-0000D8000000}">
      <text>
        <r>
          <rPr>
            <b/>
            <sz val="9"/>
            <rFont val="宋体"/>
            <family val="3"/>
            <charset val="134"/>
          </rPr>
          <t>Kevin She:</t>
        </r>
        <r>
          <rPr>
            <sz val="9"/>
            <rFont val="宋体"/>
            <family val="3"/>
            <charset val="134"/>
          </rPr>
          <t xml:space="preserve">
喷塑重量单价
</t>
        </r>
      </text>
    </comment>
    <comment ref="E327" authorId="0" shapeId="0" xr:uid="{00000000-0006-0000-0500-0000D9000000}">
      <text>
        <r>
          <rPr>
            <b/>
            <sz val="9"/>
            <rFont val="宋体"/>
            <family val="3"/>
            <charset val="134"/>
          </rPr>
          <t>Kevin She:</t>
        </r>
        <r>
          <rPr>
            <sz val="9"/>
            <rFont val="宋体"/>
            <family val="3"/>
            <charset val="134"/>
          </rPr>
          <t xml:space="preserve">
楼梯高</t>
        </r>
      </text>
    </comment>
    <comment ref="D328" authorId="0" shapeId="0" xr:uid="{00000000-0006-0000-0500-0000DA000000}">
      <text>
        <r>
          <rPr>
            <b/>
            <sz val="9"/>
            <rFont val="宋体"/>
            <family val="3"/>
            <charset val="134"/>
          </rPr>
          <t>Kevin She:</t>
        </r>
        <r>
          <rPr>
            <sz val="9"/>
            <rFont val="宋体"/>
            <family val="3"/>
            <charset val="134"/>
          </rPr>
          <t xml:space="preserve">
矩管单价</t>
        </r>
      </text>
    </comment>
    <comment ref="E328" authorId="0" shapeId="0" xr:uid="{00000000-0006-0000-0500-0000DB000000}">
      <text>
        <r>
          <rPr>
            <b/>
            <sz val="9"/>
            <rFont val="宋体"/>
            <family val="3"/>
            <charset val="134"/>
          </rPr>
          <t>Kevin She:</t>
        </r>
        <r>
          <rPr>
            <sz val="9"/>
            <rFont val="宋体"/>
            <family val="3"/>
            <charset val="134"/>
          </rPr>
          <t xml:space="preserve">
工费
</t>
        </r>
      </text>
    </comment>
    <comment ref="D329" authorId="0" shapeId="0" xr:uid="{00000000-0006-0000-0500-0000DC000000}">
      <text>
        <r>
          <rPr>
            <b/>
            <sz val="9"/>
            <rFont val="宋体"/>
            <family val="3"/>
            <charset val="134"/>
          </rPr>
          <t>Kevin She:</t>
        </r>
        <r>
          <rPr>
            <sz val="9"/>
            <rFont val="宋体"/>
            <family val="3"/>
            <charset val="134"/>
          </rPr>
          <t xml:space="preserve">
楼梯重量</t>
        </r>
      </text>
    </comment>
    <comment ref="E329" authorId="0" shapeId="0" xr:uid="{00000000-0006-0000-0500-0000DD000000}">
      <text>
        <r>
          <rPr>
            <b/>
            <sz val="9"/>
            <rFont val="宋体"/>
            <family val="3"/>
            <charset val="134"/>
          </rPr>
          <t>Kevin She:</t>
        </r>
        <r>
          <rPr>
            <sz val="9"/>
            <rFont val="宋体"/>
            <family val="3"/>
            <charset val="134"/>
          </rPr>
          <t xml:space="preserve">
喷塑单价</t>
        </r>
      </text>
    </comment>
    <comment ref="F329" authorId="0" shapeId="0" xr:uid="{00000000-0006-0000-0500-0000DE000000}">
      <text>
        <r>
          <rPr>
            <b/>
            <sz val="9"/>
            <rFont val="宋体"/>
            <family val="3"/>
            <charset val="134"/>
          </rPr>
          <t>Kevin She:</t>
        </r>
        <r>
          <rPr>
            <sz val="9"/>
            <rFont val="宋体"/>
            <family val="3"/>
            <charset val="134"/>
          </rPr>
          <t xml:space="preserve">
标准件单价</t>
        </r>
      </text>
    </comment>
    <comment ref="D332" authorId="0" shapeId="0" xr:uid="{00000000-0006-0000-0500-0000DF000000}">
      <text>
        <r>
          <rPr>
            <b/>
            <sz val="9"/>
            <rFont val="宋体"/>
            <family val="3"/>
            <charset val="134"/>
          </rPr>
          <t>Kevin She:</t>
        </r>
        <r>
          <rPr>
            <sz val="9"/>
            <rFont val="宋体"/>
            <family val="3"/>
            <charset val="134"/>
          </rPr>
          <t xml:space="preserve">
楼梯重量</t>
        </r>
      </text>
    </comment>
    <comment ref="E332" authorId="0" shapeId="0" xr:uid="{00000000-0006-0000-0500-0000E0000000}">
      <text>
        <r>
          <rPr>
            <b/>
            <sz val="9"/>
            <rFont val="宋体"/>
            <family val="3"/>
            <charset val="134"/>
          </rPr>
          <t>Kevin She:</t>
        </r>
        <r>
          <rPr>
            <sz val="9"/>
            <rFont val="宋体"/>
            <family val="3"/>
            <charset val="134"/>
          </rPr>
          <t xml:space="preserve">
工费
</t>
        </r>
      </text>
    </comment>
    <comment ref="C333" authorId="0" shapeId="0" xr:uid="{00000000-0006-0000-0500-0000E1000000}">
      <text>
        <r>
          <rPr>
            <b/>
            <sz val="9"/>
            <rFont val="宋体"/>
            <family val="3"/>
            <charset val="134"/>
          </rPr>
          <t>Kevin She:</t>
        </r>
        <r>
          <rPr>
            <sz val="9"/>
            <rFont val="宋体"/>
            <family val="3"/>
            <charset val="134"/>
          </rPr>
          <t xml:space="preserve">
楼梯重量</t>
        </r>
      </text>
    </comment>
    <comment ref="D333" authorId="0" shapeId="0" xr:uid="{00000000-0006-0000-0500-0000E2000000}">
      <text>
        <r>
          <rPr>
            <b/>
            <sz val="9"/>
            <rFont val="宋体"/>
            <family val="3"/>
            <charset val="134"/>
          </rPr>
          <t>Kevin She:</t>
        </r>
        <r>
          <rPr>
            <sz val="9"/>
            <rFont val="宋体"/>
            <family val="3"/>
            <charset val="134"/>
          </rPr>
          <t xml:space="preserve">
喷塑单价</t>
        </r>
      </text>
    </comment>
    <comment ref="E333" authorId="0" shapeId="0" xr:uid="{00000000-0006-0000-0500-0000E3000000}">
      <text>
        <r>
          <rPr>
            <b/>
            <sz val="9"/>
            <rFont val="宋体"/>
            <family val="3"/>
            <charset val="134"/>
          </rPr>
          <t>Kevin She:</t>
        </r>
        <r>
          <rPr>
            <sz val="9"/>
            <rFont val="宋体"/>
            <family val="3"/>
            <charset val="134"/>
          </rPr>
          <t xml:space="preserve">
标准件单价</t>
        </r>
      </text>
    </comment>
    <comment ref="D338" authorId="0" shapeId="0" xr:uid="{00000000-0006-0000-0500-0000E4000000}">
      <text>
        <r>
          <rPr>
            <b/>
            <sz val="9"/>
            <rFont val="宋体"/>
            <family val="3"/>
            <charset val="134"/>
          </rPr>
          <t>Kevin She:</t>
        </r>
        <r>
          <rPr>
            <sz val="9"/>
            <rFont val="宋体"/>
            <family val="3"/>
            <charset val="134"/>
          </rPr>
          <t xml:space="preserve">
重量</t>
        </r>
      </text>
    </comment>
    <comment ref="E338" authorId="0" shapeId="0" xr:uid="{00000000-0006-0000-0500-0000E5000000}">
      <text>
        <r>
          <rPr>
            <b/>
            <sz val="9"/>
            <rFont val="宋体"/>
            <family val="3"/>
            <charset val="134"/>
          </rPr>
          <t>Kevin She:</t>
        </r>
        <r>
          <rPr>
            <sz val="9"/>
            <rFont val="宋体"/>
            <family val="3"/>
            <charset val="134"/>
          </rPr>
          <t xml:space="preserve">
工费单价</t>
        </r>
      </text>
    </comment>
    <comment ref="F338" authorId="0" shapeId="0" xr:uid="{00000000-0006-0000-0500-0000E6000000}">
      <text>
        <r>
          <rPr>
            <b/>
            <sz val="9"/>
            <rFont val="宋体"/>
            <family val="3"/>
            <charset val="134"/>
          </rPr>
          <t>Kevin She:</t>
        </r>
        <r>
          <rPr>
            <sz val="9"/>
            <rFont val="宋体"/>
            <family val="3"/>
            <charset val="134"/>
          </rPr>
          <t xml:space="preserve">
数量
</t>
        </r>
      </text>
    </comment>
    <comment ref="C339" authorId="0" shapeId="0" xr:uid="{00000000-0006-0000-0500-0000E7000000}">
      <text>
        <r>
          <rPr>
            <b/>
            <sz val="9"/>
            <rFont val="宋体"/>
            <family val="3"/>
            <charset val="134"/>
          </rPr>
          <t>Kevin She:</t>
        </r>
        <r>
          <rPr>
            <sz val="9"/>
            <rFont val="宋体"/>
            <family val="3"/>
            <charset val="134"/>
          </rPr>
          <t xml:space="preserve">
重量</t>
        </r>
      </text>
    </comment>
    <comment ref="D339" authorId="0" shapeId="0" xr:uid="{00000000-0006-0000-0500-0000E8000000}">
      <text>
        <r>
          <rPr>
            <b/>
            <sz val="9"/>
            <rFont val="宋体"/>
            <family val="3"/>
            <charset val="134"/>
          </rPr>
          <t>Kevin She:</t>
        </r>
        <r>
          <rPr>
            <sz val="9"/>
            <rFont val="宋体"/>
            <family val="3"/>
            <charset val="134"/>
          </rPr>
          <t xml:space="preserve">
喷塑单价</t>
        </r>
      </text>
    </comment>
    <comment ref="E339" authorId="0" shapeId="0" xr:uid="{00000000-0006-0000-0500-0000E9000000}">
      <text>
        <r>
          <rPr>
            <b/>
            <sz val="9"/>
            <rFont val="宋体"/>
            <family val="3"/>
            <charset val="134"/>
          </rPr>
          <t>Kevin She:</t>
        </r>
        <r>
          <rPr>
            <sz val="9"/>
            <rFont val="宋体"/>
            <family val="3"/>
            <charset val="134"/>
          </rPr>
          <t xml:space="preserve">
标准件单价</t>
        </r>
      </text>
    </comment>
    <comment ref="D343" authorId="0" shapeId="0" xr:uid="{00000000-0006-0000-0500-0000EA000000}">
      <text>
        <r>
          <rPr>
            <b/>
            <sz val="9"/>
            <rFont val="宋体"/>
            <family val="3"/>
            <charset val="134"/>
          </rPr>
          <t>Kevin She:</t>
        </r>
        <r>
          <rPr>
            <sz val="9"/>
            <rFont val="宋体"/>
            <family val="3"/>
            <charset val="134"/>
          </rPr>
          <t xml:space="preserve">
重量</t>
        </r>
      </text>
    </comment>
    <comment ref="E343" authorId="0" shapeId="0" xr:uid="{00000000-0006-0000-0500-0000EB000000}">
      <text>
        <r>
          <rPr>
            <b/>
            <sz val="9"/>
            <rFont val="宋体"/>
            <family val="3"/>
            <charset val="134"/>
          </rPr>
          <t>Kevin She:</t>
        </r>
        <r>
          <rPr>
            <sz val="9"/>
            <rFont val="宋体"/>
            <family val="3"/>
            <charset val="134"/>
          </rPr>
          <t xml:space="preserve">
工费单价</t>
        </r>
      </text>
    </comment>
    <comment ref="F343" authorId="0" shapeId="0" xr:uid="{00000000-0006-0000-0500-0000EC000000}">
      <text>
        <r>
          <rPr>
            <b/>
            <sz val="9"/>
            <rFont val="宋体"/>
            <family val="3"/>
            <charset val="134"/>
          </rPr>
          <t>Kevin She:</t>
        </r>
        <r>
          <rPr>
            <sz val="9"/>
            <rFont val="宋体"/>
            <family val="3"/>
            <charset val="134"/>
          </rPr>
          <t xml:space="preserve">
数量
</t>
        </r>
      </text>
    </comment>
    <comment ref="C344" authorId="0" shapeId="0" xr:uid="{00000000-0006-0000-0500-0000ED000000}">
      <text>
        <r>
          <rPr>
            <b/>
            <sz val="9"/>
            <rFont val="宋体"/>
            <family val="3"/>
            <charset val="134"/>
          </rPr>
          <t>Kevin She:</t>
        </r>
        <r>
          <rPr>
            <sz val="9"/>
            <rFont val="宋体"/>
            <family val="3"/>
            <charset val="134"/>
          </rPr>
          <t xml:space="preserve">
重量</t>
        </r>
      </text>
    </comment>
    <comment ref="D344" authorId="0" shapeId="0" xr:uid="{00000000-0006-0000-0500-0000EE000000}">
      <text>
        <r>
          <rPr>
            <b/>
            <sz val="9"/>
            <rFont val="宋体"/>
            <family val="3"/>
            <charset val="134"/>
          </rPr>
          <t>Kevin She:</t>
        </r>
        <r>
          <rPr>
            <sz val="9"/>
            <rFont val="宋体"/>
            <family val="3"/>
            <charset val="134"/>
          </rPr>
          <t xml:space="preserve">
喷塑单价</t>
        </r>
      </text>
    </comment>
    <comment ref="E344" authorId="0" shapeId="0" xr:uid="{00000000-0006-0000-0500-0000EF000000}">
      <text>
        <r>
          <rPr>
            <b/>
            <sz val="9"/>
            <rFont val="宋体"/>
            <family val="3"/>
            <charset val="134"/>
          </rPr>
          <t>Kevin She:</t>
        </r>
        <r>
          <rPr>
            <sz val="9"/>
            <rFont val="宋体"/>
            <family val="3"/>
            <charset val="134"/>
          </rPr>
          <t xml:space="preserve">
标准件单价</t>
        </r>
      </text>
    </comment>
    <comment ref="I348" authorId="0" shapeId="0" xr:uid="{00000000-0006-0000-0500-0000F0000000}">
      <text>
        <r>
          <rPr>
            <b/>
            <sz val="9"/>
            <rFont val="宋体"/>
            <family val="3"/>
            <charset val="134"/>
          </rPr>
          <t>Kevin She:</t>
        </r>
        <r>
          <rPr>
            <sz val="9"/>
            <rFont val="宋体"/>
            <family val="3"/>
            <charset val="134"/>
          </rPr>
          <t xml:space="preserve">
穿梭车前牛腿</t>
        </r>
      </text>
    </comment>
    <comment ref="J348" authorId="0" shapeId="0" xr:uid="{00000000-0006-0000-0500-0000F1000000}">
      <text>
        <r>
          <rPr>
            <b/>
            <sz val="9"/>
            <rFont val="宋体"/>
            <family val="3"/>
            <charset val="134"/>
          </rPr>
          <t>Kevin She:</t>
        </r>
        <r>
          <rPr>
            <sz val="9"/>
            <rFont val="宋体"/>
            <family val="3"/>
            <charset val="134"/>
          </rPr>
          <t xml:space="preserve">
标准件单价
</t>
        </r>
      </text>
    </comment>
    <comment ref="E349" authorId="0" shapeId="0" xr:uid="{00000000-0006-0000-0500-0000F2000000}">
      <text>
        <r>
          <rPr>
            <b/>
            <sz val="9"/>
            <rFont val="宋体"/>
            <family val="3"/>
            <charset val="134"/>
          </rPr>
          <t>Kevin She:</t>
        </r>
        <r>
          <rPr>
            <sz val="9"/>
            <rFont val="宋体"/>
            <family val="3"/>
            <charset val="134"/>
          </rPr>
          <t xml:space="preserve">
喷塑单价</t>
        </r>
      </text>
    </comment>
    <comment ref="I349" authorId="0" shapeId="0" xr:uid="{00000000-0006-0000-0500-0000F3000000}">
      <text>
        <r>
          <rPr>
            <b/>
            <sz val="9"/>
            <rFont val="宋体"/>
            <family val="3"/>
            <charset val="134"/>
          </rPr>
          <t>Kevin She:</t>
        </r>
        <r>
          <rPr>
            <sz val="9"/>
            <rFont val="宋体"/>
            <family val="3"/>
            <charset val="134"/>
          </rPr>
          <t xml:space="preserve">
矩管长度</t>
        </r>
      </text>
    </comment>
    <comment ref="J349" authorId="0" shapeId="0" xr:uid="{00000000-0006-0000-0500-0000F4000000}">
      <text>
        <r>
          <rPr>
            <b/>
            <sz val="9"/>
            <rFont val="宋体"/>
            <family val="3"/>
            <charset val="134"/>
          </rPr>
          <t>Kevin She:</t>
        </r>
        <r>
          <rPr>
            <sz val="9"/>
            <rFont val="宋体"/>
            <family val="3"/>
            <charset val="134"/>
          </rPr>
          <t xml:space="preserve">
标准件单价
</t>
        </r>
      </text>
    </comment>
    <comment ref="J350" authorId="0" shapeId="0" xr:uid="{00000000-0006-0000-0500-0000F5000000}">
      <text>
        <r>
          <rPr>
            <b/>
            <sz val="9"/>
            <rFont val="宋体"/>
            <family val="3"/>
            <charset val="134"/>
          </rPr>
          <t>Kevin She:</t>
        </r>
        <r>
          <rPr>
            <sz val="9"/>
            <rFont val="宋体"/>
            <family val="3"/>
            <charset val="134"/>
          </rPr>
          <t xml:space="preserve">
喷塑单价</t>
        </r>
      </text>
    </comment>
    <comment ref="I354" authorId="0" shapeId="0" xr:uid="{00000000-0006-0000-0500-0000F6000000}">
      <text>
        <r>
          <rPr>
            <b/>
            <sz val="9"/>
            <rFont val="宋体"/>
            <family val="3"/>
            <charset val="134"/>
          </rPr>
          <t>Kevin She:</t>
        </r>
        <r>
          <rPr>
            <sz val="9"/>
            <rFont val="宋体"/>
            <family val="3"/>
            <charset val="134"/>
          </rPr>
          <t xml:space="preserve">
穿梭车前牛腿</t>
        </r>
      </text>
    </comment>
    <comment ref="J354" authorId="0" shapeId="0" xr:uid="{00000000-0006-0000-0500-0000F7000000}">
      <text>
        <r>
          <rPr>
            <b/>
            <sz val="9"/>
            <rFont val="宋体"/>
            <family val="3"/>
            <charset val="134"/>
          </rPr>
          <t>Kevin She:</t>
        </r>
        <r>
          <rPr>
            <sz val="9"/>
            <rFont val="宋体"/>
            <family val="3"/>
            <charset val="134"/>
          </rPr>
          <t xml:space="preserve">
标准件单价
</t>
        </r>
      </text>
    </comment>
    <comment ref="E355" authorId="0" shapeId="0" xr:uid="{00000000-0006-0000-0500-0000F8000000}">
      <text>
        <r>
          <rPr>
            <b/>
            <sz val="9"/>
            <rFont val="宋体"/>
            <family val="3"/>
            <charset val="134"/>
          </rPr>
          <t>Kevin She:</t>
        </r>
        <r>
          <rPr>
            <sz val="9"/>
            <rFont val="宋体"/>
            <family val="3"/>
            <charset val="134"/>
          </rPr>
          <t xml:space="preserve">
喷塑单价</t>
        </r>
      </text>
    </comment>
    <comment ref="I355" authorId="0" shapeId="0" xr:uid="{00000000-0006-0000-0500-0000F9000000}">
      <text>
        <r>
          <rPr>
            <b/>
            <sz val="9"/>
            <rFont val="宋体"/>
            <family val="3"/>
            <charset val="134"/>
          </rPr>
          <t>Kevin She:</t>
        </r>
        <r>
          <rPr>
            <sz val="9"/>
            <rFont val="宋体"/>
            <family val="3"/>
            <charset val="134"/>
          </rPr>
          <t xml:space="preserve">
矩管长度</t>
        </r>
      </text>
    </comment>
    <comment ref="J355" authorId="0" shapeId="0" xr:uid="{00000000-0006-0000-0500-0000FA000000}">
      <text>
        <r>
          <rPr>
            <b/>
            <sz val="9"/>
            <rFont val="宋体"/>
            <family val="3"/>
            <charset val="134"/>
          </rPr>
          <t>Kevin She:</t>
        </r>
        <r>
          <rPr>
            <sz val="9"/>
            <rFont val="宋体"/>
            <family val="3"/>
            <charset val="134"/>
          </rPr>
          <t xml:space="preserve">
标准件单价
</t>
        </r>
      </text>
    </comment>
    <comment ref="J356" authorId="0" shapeId="0" xr:uid="{00000000-0006-0000-0500-0000FB000000}">
      <text>
        <r>
          <rPr>
            <b/>
            <sz val="9"/>
            <rFont val="宋体"/>
            <family val="3"/>
            <charset val="134"/>
          </rPr>
          <t>Kevin She:</t>
        </r>
        <r>
          <rPr>
            <sz val="9"/>
            <rFont val="宋体"/>
            <family val="3"/>
            <charset val="134"/>
          </rPr>
          <t xml:space="preserve">
喷塑单价</t>
        </r>
      </text>
    </comment>
    <comment ref="D363" authorId="0" shapeId="0" xr:uid="{00000000-0006-0000-0500-0000FC000000}">
      <text>
        <r>
          <rPr>
            <b/>
            <sz val="9"/>
            <rFont val="宋体"/>
            <family val="3"/>
            <charset val="134"/>
          </rPr>
          <t>Kevin She:</t>
        </r>
        <r>
          <rPr>
            <sz val="9"/>
            <rFont val="宋体"/>
            <family val="3"/>
            <charset val="134"/>
          </rPr>
          <t xml:space="preserve">
附件重量</t>
        </r>
      </text>
    </comment>
    <comment ref="E363" authorId="0" shapeId="0" xr:uid="{00000000-0006-0000-0500-0000FD000000}">
      <text>
        <r>
          <rPr>
            <b/>
            <sz val="9"/>
            <rFont val="宋体"/>
            <family val="3"/>
            <charset val="134"/>
          </rPr>
          <t>Kevin She:</t>
        </r>
        <r>
          <rPr>
            <sz val="9"/>
            <rFont val="宋体"/>
            <family val="3"/>
            <charset val="134"/>
          </rPr>
          <t xml:space="preserve">
连接件单价</t>
        </r>
      </text>
    </comment>
    <comment ref="F363" authorId="0" shapeId="0" xr:uid="{00000000-0006-0000-0500-0000FE000000}">
      <text>
        <r>
          <rPr>
            <b/>
            <sz val="9"/>
            <rFont val="宋体"/>
            <family val="3"/>
            <charset val="134"/>
          </rPr>
          <t>Kevin She:</t>
        </r>
        <r>
          <rPr>
            <sz val="9"/>
            <rFont val="宋体"/>
            <family val="3"/>
            <charset val="134"/>
          </rPr>
          <t xml:space="preserve">
附件总数，注意，非单套数量</t>
        </r>
      </text>
    </comment>
    <comment ref="D364" authorId="0" shapeId="0" xr:uid="{00000000-0006-0000-0500-0000FF000000}">
      <text>
        <r>
          <rPr>
            <b/>
            <sz val="9"/>
            <rFont val="宋体"/>
            <family val="3"/>
            <charset val="134"/>
          </rPr>
          <t>Kevin She:</t>
        </r>
        <r>
          <rPr>
            <sz val="9"/>
            <rFont val="宋体"/>
            <family val="3"/>
            <charset val="134"/>
          </rPr>
          <t xml:space="preserve">
工费</t>
        </r>
      </text>
    </comment>
    <comment ref="E364" authorId="0" shapeId="0" xr:uid="{00000000-0006-0000-0500-000000010000}">
      <text>
        <r>
          <rPr>
            <b/>
            <sz val="9"/>
            <rFont val="宋体"/>
            <family val="3"/>
            <charset val="134"/>
          </rPr>
          <t>Kevin She:</t>
        </r>
        <r>
          <rPr>
            <sz val="9"/>
            <rFont val="宋体"/>
            <family val="3"/>
            <charset val="134"/>
          </rPr>
          <t xml:space="preserve">
连接件喷塑单价</t>
        </r>
      </text>
    </comment>
    <comment ref="D367" authorId="0" shapeId="0" xr:uid="{00000000-0006-0000-0500-000001010000}">
      <text>
        <r>
          <rPr>
            <b/>
            <sz val="9"/>
            <rFont val="宋体"/>
            <family val="3"/>
            <charset val="134"/>
          </rPr>
          <t>Kevin She:</t>
        </r>
        <r>
          <rPr>
            <sz val="9"/>
            <rFont val="宋体"/>
            <family val="3"/>
            <charset val="134"/>
          </rPr>
          <t xml:space="preserve">
材料单价</t>
        </r>
      </text>
    </comment>
    <comment ref="E367" authorId="0" shapeId="0" xr:uid="{00000000-0006-0000-0500-000002010000}">
      <text>
        <r>
          <rPr>
            <b/>
            <sz val="9"/>
            <rFont val="宋体"/>
            <family val="3"/>
            <charset val="134"/>
          </rPr>
          <t>Kevin She:</t>
        </r>
        <r>
          <rPr>
            <sz val="9"/>
            <rFont val="宋体"/>
            <family val="3"/>
            <charset val="134"/>
          </rPr>
          <t xml:space="preserve">
工费</t>
        </r>
      </text>
    </comment>
    <comment ref="F367" authorId="0" shapeId="0" xr:uid="{00000000-0006-0000-0500-000003010000}">
      <text>
        <r>
          <rPr>
            <b/>
            <sz val="9"/>
            <rFont val="宋体"/>
            <family val="3"/>
            <charset val="134"/>
          </rPr>
          <t>Kevin She:</t>
        </r>
        <r>
          <rPr>
            <sz val="9"/>
            <rFont val="宋体"/>
            <family val="3"/>
            <charset val="134"/>
          </rPr>
          <t xml:space="preserve">
标准件单价
</t>
        </r>
      </text>
    </comment>
    <comment ref="E372" authorId="0" shapeId="0" xr:uid="{00000000-0006-0000-0500-000004010000}">
      <text>
        <r>
          <rPr>
            <b/>
            <sz val="9"/>
            <rFont val="宋体"/>
            <family val="3"/>
            <charset val="134"/>
          </rPr>
          <t>Kevin She:</t>
        </r>
        <r>
          <rPr>
            <sz val="9"/>
            <rFont val="宋体"/>
            <family val="3"/>
            <charset val="134"/>
          </rPr>
          <t xml:space="preserve">
工费单价</t>
        </r>
      </text>
    </comment>
    <comment ref="F372" authorId="0" shapeId="0" xr:uid="{00000000-0006-0000-0500-000005010000}">
      <text>
        <r>
          <rPr>
            <b/>
            <sz val="9"/>
            <rFont val="宋体"/>
            <family val="3"/>
            <charset val="134"/>
          </rPr>
          <t>Kevin She:</t>
        </r>
        <r>
          <rPr>
            <sz val="9"/>
            <rFont val="宋体"/>
            <family val="3"/>
            <charset val="134"/>
          </rPr>
          <t xml:space="preserve">
数量
</t>
        </r>
      </text>
    </comment>
    <comment ref="C373" authorId="0" shapeId="0" xr:uid="{00000000-0006-0000-0500-000006010000}">
      <text>
        <r>
          <rPr>
            <b/>
            <sz val="9"/>
            <rFont val="宋体"/>
            <family val="3"/>
            <charset val="134"/>
          </rPr>
          <t>Kevin She:</t>
        </r>
        <r>
          <rPr>
            <sz val="9"/>
            <rFont val="宋体"/>
            <family val="3"/>
            <charset val="134"/>
          </rPr>
          <t xml:space="preserve">
重量</t>
        </r>
      </text>
    </comment>
    <comment ref="D373" authorId="0" shapeId="0" xr:uid="{00000000-0006-0000-0500-000007010000}">
      <text>
        <r>
          <rPr>
            <b/>
            <sz val="9"/>
            <rFont val="宋体"/>
            <family val="3"/>
            <charset val="134"/>
          </rPr>
          <t>Kevin She:</t>
        </r>
        <r>
          <rPr>
            <sz val="9"/>
            <rFont val="宋体"/>
            <family val="3"/>
            <charset val="134"/>
          </rPr>
          <t xml:space="preserve">
喷塑单价</t>
        </r>
      </text>
    </comment>
    <comment ref="E373" authorId="0" shapeId="0" xr:uid="{00000000-0006-0000-0500-000008010000}">
      <text>
        <r>
          <rPr>
            <b/>
            <sz val="9"/>
            <rFont val="宋体"/>
            <family val="3"/>
            <charset val="134"/>
          </rPr>
          <t>Kevin She:</t>
        </r>
        <r>
          <rPr>
            <sz val="9"/>
            <rFont val="宋体"/>
            <family val="3"/>
            <charset val="134"/>
          </rPr>
          <t xml:space="preserve">
标准件单价</t>
        </r>
      </text>
    </comment>
    <comment ref="E377" authorId="0" shapeId="0" xr:uid="{00000000-0006-0000-0500-000009010000}">
      <text>
        <r>
          <rPr>
            <b/>
            <sz val="9"/>
            <rFont val="宋体"/>
            <family val="3"/>
            <charset val="134"/>
          </rPr>
          <t>Kevin She:</t>
        </r>
        <r>
          <rPr>
            <sz val="9"/>
            <rFont val="宋体"/>
            <family val="3"/>
            <charset val="134"/>
          </rPr>
          <t xml:space="preserve">
工费单价</t>
        </r>
      </text>
    </comment>
    <comment ref="F377" authorId="0" shapeId="0" xr:uid="{00000000-0006-0000-0500-00000A010000}">
      <text>
        <r>
          <rPr>
            <b/>
            <sz val="9"/>
            <rFont val="宋体"/>
            <family val="3"/>
            <charset val="134"/>
          </rPr>
          <t>Kevin She:</t>
        </r>
        <r>
          <rPr>
            <sz val="9"/>
            <rFont val="宋体"/>
            <family val="3"/>
            <charset val="134"/>
          </rPr>
          <t xml:space="preserve">
数量
</t>
        </r>
      </text>
    </comment>
    <comment ref="C378" authorId="0" shapeId="0" xr:uid="{00000000-0006-0000-0500-00000B010000}">
      <text>
        <r>
          <rPr>
            <b/>
            <sz val="9"/>
            <rFont val="宋体"/>
            <family val="3"/>
            <charset val="134"/>
          </rPr>
          <t>Kevin She:</t>
        </r>
        <r>
          <rPr>
            <sz val="9"/>
            <rFont val="宋体"/>
            <family val="3"/>
            <charset val="134"/>
          </rPr>
          <t xml:space="preserve">
重量</t>
        </r>
      </text>
    </comment>
    <comment ref="D378" authorId="0" shapeId="0" xr:uid="{00000000-0006-0000-0500-00000C010000}">
      <text>
        <r>
          <rPr>
            <b/>
            <sz val="9"/>
            <rFont val="宋体"/>
            <family val="3"/>
            <charset val="134"/>
          </rPr>
          <t>Kevin She:</t>
        </r>
        <r>
          <rPr>
            <sz val="9"/>
            <rFont val="宋体"/>
            <family val="3"/>
            <charset val="134"/>
          </rPr>
          <t xml:space="preserve">
喷塑单价</t>
        </r>
      </text>
    </comment>
    <comment ref="E378" authorId="0" shapeId="0" xr:uid="{00000000-0006-0000-0500-00000D010000}">
      <text>
        <r>
          <rPr>
            <b/>
            <sz val="9"/>
            <rFont val="宋体"/>
            <family val="3"/>
            <charset val="134"/>
          </rPr>
          <t>Kevin She:</t>
        </r>
        <r>
          <rPr>
            <sz val="9"/>
            <rFont val="宋体"/>
            <family val="3"/>
            <charset val="134"/>
          </rPr>
          <t xml:space="preserve">
标准件单价</t>
        </r>
      </text>
    </comment>
    <comment ref="D382" authorId="0" shapeId="0" xr:uid="{00000000-0006-0000-0500-00000E010000}">
      <text>
        <r>
          <rPr>
            <b/>
            <sz val="9"/>
            <rFont val="宋体"/>
            <family val="3"/>
            <charset val="134"/>
          </rPr>
          <t>Kevin She:</t>
        </r>
        <r>
          <rPr>
            <sz val="9"/>
            <rFont val="宋体"/>
            <family val="3"/>
            <charset val="134"/>
          </rPr>
          <t xml:space="preserve">
喷塑单价</t>
        </r>
      </text>
    </comment>
    <comment ref="E382" authorId="0" shapeId="0" xr:uid="{00000000-0006-0000-0500-00000F010000}">
      <text>
        <r>
          <rPr>
            <b/>
            <sz val="9"/>
            <rFont val="宋体"/>
            <family val="3"/>
            <charset val="134"/>
          </rPr>
          <t>Kevin She:</t>
        </r>
        <r>
          <rPr>
            <sz val="9"/>
            <rFont val="宋体"/>
            <family val="3"/>
            <charset val="134"/>
          </rPr>
          <t xml:space="preserve">
工费单价</t>
        </r>
      </text>
    </comment>
    <comment ref="F382" authorId="0" shapeId="0" xr:uid="{00000000-0006-0000-0500-000010010000}">
      <text>
        <r>
          <rPr>
            <b/>
            <sz val="9"/>
            <rFont val="宋体"/>
            <family val="3"/>
            <charset val="134"/>
          </rPr>
          <t>Kevin She:</t>
        </r>
        <r>
          <rPr>
            <sz val="9"/>
            <rFont val="宋体"/>
            <family val="3"/>
            <charset val="134"/>
          </rPr>
          <t xml:space="preserve">
数量
</t>
        </r>
      </text>
    </comment>
    <comment ref="C383" authorId="0" shapeId="0" xr:uid="{00000000-0006-0000-0500-000011010000}">
      <text>
        <r>
          <rPr>
            <b/>
            <sz val="9"/>
            <rFont val="宋体"/>
            <family val="3"/>
            <charset val="134"/>
          </rPr>
          <t>Kevin She:</t>
        </r>
        <r>
          <rPr>
            <sz val="9"/>
            <rFont val="宋体"/>
            <family val="3"/>
            <charset val="134"/>
          </rPr>
          <t xml:space="preserve">
重量</t>
        </r>
      </text>
    </comment>
    <comment ref="E383" authorId="0" shapeId="0" xr:uid="{00000000-0006-0000-0500-000012010000}">
      <text>
        <r>
          <rPr>
            <b/>
            <sz val="9"/>
            <rFont val="宋体"/>
            <family val="3"/>
            <charset val="134"/>
          </rPr>
          <t>Kevin She:</t>
        </r>
        <r>
          <rPr>
            <sz val="9"/>
            <rFont val="宋体"/>
            <family val="3"/>
            <charset val="134"/>
          </rPr>
          <t xml:space="preserve">
标准件单价</t>
        </r>
      </text>
    </comment>
    <comment ref="E387" authorId="0" shapeId="0" xr:uid="{00000000-0006-0000-0500-000013010000}">
      <text>
        <r>
          <rPr>
            <b/>
            <sz val="9"/>
            <rFont val="宋体"/>
            <family val="3"/>
            <charset val="134"/>
          </rPr>
          <t>Kevin She:</t>
        </r>
        <r>
          <rPr>
            <sz val="9"/>
            <rFont val="宋体"/>
            <family val="3"/>
            <charset val="134"/>
          </rPr>
          <t xml:space="preserve">
长度</t>
        </r>
      </text>
    </comment>
    <comment ref="F387" authorId="0" shapeId="0" xr:uid="{00000000-0006-0000-0500-000014010000}">
      <text>
        <r>
          <rPr>
            <b/>
            <sz val="9"/>
            <rFont val="宋体"/>
            <family val="3"/>
            <charset val="134"/>
          </rPr>
          <t>Kevin She:</t>
        </r>
        <r>
          <rPr>
            <sz val="9"/>
            <rFont val="宋体"/>
            <family val="3"/>
            <charset val="134"/>
          </rPr>
          <t xml:space="preserve">
单组有几根</t>
        </r>
      </text>
    </comment>
    <comment ref="C392" authorId="0" shapeId="0" xr:uid="{00000000-0006-0000-0500-000015010000}">
      <text>
        <r>
          <rPr>
            <b/>
            <sz val="9"/>
            <rFont val="宋体"/>
            <family val="3"/>
            <charset val="134"/>
          </rPr>
          <t>Kevin She:</t>
        </r>
        <r>
          <rPr>
            <sz val="9"/>
            <rFont val="宋体"/>
            <family val="3"/>
            <charset val="134"/>
          </rPr>
          <t xml:space="preserve">
重量</t>
        </r>
      </text>
    </comment>
    <comment ref="D392" authorId="0" shapeId="0" xr:uid="{00000000-0006-0000-0500-000016010000}">
      <text>
        <r>
          <rPr>
            <b/>
            <sz val="9"/>
            <rFont val="宋体"/>
            <family val="3"/>
            <charset val="134"/>
          </rPr>
          <t>Kevin She:</t>
        </r>
        <r>
          <rPr>
            <sz val="9"/>
            <rFont val="宋体"/>
            <family val="3"/>
            <charset val="134"/>
          </rPr>
          <t xml:space="preserve">
材料单价</t>
        </r>
      </text>
    </comment>
    <comment ref="E392" authorId="0" shapeId="0" xr:uid="{00000000-0006-0000-0500-000017010000}">
      <text>
        <r>
          <rPr>
            <b/>
            <sz val="9"/>
            <rFont val="宋体"/>
            <family val="3"/>
            <charset val="134"/>
          </rPr>
          <t>Kevin She:</t>
        </r>
        <r>
          <rPr>
            <sz val="9"/>
            <rFont val="宋体"/>
            <family val="3"/>
            <charset val="134"/>
          </rPr>
          <t xml:space="preserve">
喷塑单价</t>
        </r>
      </text>
    </comment>
    <comment ref="F392" authorId="0" shapeId="0" xr:uid="{00000000-0006-0000-0500-000018010000}">
      <text>
        <r>
          <rPr>
            <b/>
            <sz val="9"/>
            <rFont val="宋体"/>
            <family val="3"/>
            <charset val="134"/>
          </rPr>
          <t>Kevin She:</t>
        </r>
        <r>
          <rPr>
            <sz val="9"/>
            <rFont val="宋体"/>
            <family val="3"/>
            <charset val="134"/>
          </rPr>
          <t xml:space="preserve">
标准件单价
</t>
        </r>
      </text>
    </comment>
    <comment ref="C393" authorId="0" shapeId="0" xr:uid="{00000000-0006-0000-0500-000019010000}">
      <text>
        <r>
          <rPr>
            <b/>
            <sz val="9"/>
            <rFont val="宋体"/>
            <family val="3"/>
            <charset val="134"/>
          </rPr>
          <t>Kevin She:</t>
        </r>
        <r>
          <rPr>
            <sz val="9"/>
            <rFont val="宋体"/>
            <family val="3"/>
            <charset val="134"/>
          </rPr>
          <t xml:space="preserve">
L,长</t>
        </r>
      </text>
    </comment>
    <comment ref="D393" authorId="0" shapeId="0" xr:uid="{00000000-0006-0000-0500-00001A010000}">
      <text>
        <r>
          <rPr>
            <b/>
            <sz val="9"/>
            <rFont val="宋体"/>
            <family val="3"/>
            <charset val="134"/>
          </rPr>
          <t>Kevin She:</t>
        </r>
        <r>
          <rPr>
            <sz val="9"/>
            <rFont val="宋体"/>
            <family val="3"/>
            <charset val="134"/>
          </rPr>
          <t xml:space="preserve">
根数</t>
        </r>
      </text>
    </comment>
    <comment ref="E393" authorId="0" shapeId="0" xr:uid="{00000000-0006-0000-0500-00001B010000}">
      <text>
        <r>
          <rPr>
            <b/>
            <sz val="9"/>
            <rFont val="宋体"/>
            <family val="3"/>
            <charset val="134"/>
          </rPr>
          <t>Kevin She:</t>
        </r>
        <r>
          <rPr>
            <sz val="9"/>
            <rFont val="宋体"/>
            <family val="3"/>
            <charset val="134"/>
          </rPr>
          <t xml:space="preserve">
高</t>
        </r>
      </text>
    </comment>
    <comment ref="F393" authorId="0" shapeId="0" xr:uid="{00000000-0006-0000-0500-00001C010000}">
      <text>
        <r>
          <rPr>
            <b/>
            <sz val="9"/>
            <rFont val="宋体"/>
            <family val="3"/>
            <charset val="134"/>
          </rPr>
          <t>Kevin She:</t>
        </r>
        <r>
          <rPr>
            <sz val="9"/>
            <rFont val="宋体"/>
            <family val="3"/>
            <charset val="134"/>
          </rPr>
          <t xml:space="preserve">
根数</t>
        </r>
      </text>
    </comment>
    <comment ref="E397" authorId="0" shapeId="0" xr:uid="{00000000-0006-0000-0500-00001D010000}">
      <text>
        <r>
          <rPr>
            <b/>
            <sz val="9"/>
            <rFont val="宋体"/>
            <family val="3"/>
            <charset val="134"/>
          </rPr>
          <t>Kevin She:</t>
        </r>
        <r>
          <rPr>
            <sz val="9"/>
            <rFont val="宋体"/>
            <family val="3"/>
            <charset val="134"/>
          </rPr>
          <t xml:space="preserve">
工费单价</t>
        </r>
      </text>
    </comment>
    <comment ref="F397" authorId="0" shapeId="0" xr:uid="{00000000-0006-0000-0500-00001E010000}">
      <text>
        <r>
          <rPr>
            <b/>
            <sz val="9"/>
            <rFont val="宋体"/>
            <family val="3"/>
            <charset val="134"/>
          </rPr>
          <t>Kevin She:</t>
        </r>
        <r>
          <rPr>
            <sz val="9"/>
            <rFont val="宋体"/>
            <family val="3"/>
            <charset val="134"/>
          </rPr>
          <t xml:space="preserve">
数量
</t>
        </r>
      </text>
    </comment>
    <comment ref="C398" authorId="0" shapeId="0" xr:uid="{00000000-0006-0000-0500-00001F010000}">
      <text>
        <r>
          <rPr>
            <b/>
            <sz val="9"/>
            <rFont val="宋体"/>
            <family val="3"/>
            <charset val="134"/>
          </rPr>
          <t>Kevin She:</t>
        </r>
        <r>
          <rPr>
            <sz val="9"/>
            <rFont val="宋体"/>
            <family val="3"/>
            <charset val="134"/>
          </rPr>
          <t xml:space="preserve">
重量</t>
        </r>
      </text>
    </comment>
    <comment ref="D398" authorId="0" shapeId="0" xr:uid="{00000000-0006-0000-0500-000020010000}">
      <text>
        <r>
          <rPr>
            <b/>
            <sz val="9"/>
            <rFont val="宋体"/>
            <family val="3"/>
            <charset val="134"/>
          </rPr>
          <t>Kevin She:</t>
        </r>
        <r>
          <rPr>
            <sz val="9"/>
            <rFont val="宋体"/>
            <family val="3"/>
            <charset val="134"/>
          </rPr>
          <t xml:space="preserve">
喷塑单价</t>
        </r>
      </text>
    </comment>
    <comment ref="E398" authorId="0" shapeId="0" xr:uid="{00000000-0006-0000-0500-000021010000}">
      <text>
        <r>
          <rPr>
            <b/>
            <sz val="9"/>
            <rFont val="宋体"/>
            <family val="3"/>
            <charset val="134"/>
          </rPr>
          <t>Kevin She:</t>
        </r>
        <r>
          <rPr>
            <sz val="9"/>
            <rFont val="宋体"/>
            <family val="3"/>
            <charset val="134"/>
          </rPr>
          <t xml:space="preserve">
标准件单价</t>
        </r>
      </text>
    </comment>
    <comment ref="C402" authorId="0" shapeId="0" xr:uid="{00000000-0006-0000-0500-000022010000}">
      <text>
        <r>
          <rPr>
            <b/>
            <sz val="9"/>
            <rFont val="宋体"/>
            <family val="3"/>
            <charset val="134"/>
          </rPr>
          <t>Kevin She:</t>
        </r>
        <r>
          <rPr>
            <sz val="9"/>
            <rFont val="宋体"/>
            <family val="3"/>
            <charset val="134"/>
          </rPr>
          <t xml:space="preserve">
采购件名称</t>
        </r>
      </text>
    </comment>
    <comment ref="D402" authorId="0" shapeId="0" xr:uid="{00000000-0006-0000-0500-000023010000}">
      <text>
        <r>
          <rPr>
            <b/>
            <sz val="9"/>
            <rFont val="宋体"/>
            <family val="3"/>
            <charset val="134"/>
          </rPr>
          <t>Kevin She:</t>
        </r>
        <r>
          <rPr>
            <sz val="9"/>
            <rFont val="宋体"/>
            <family val="3"/>
            <charset val="134"/>
          </rPr>
          <t xml:space="preserve">
含税价 13%税率</t>
        </r>
      </text>
    </comment>
    <comment ref="C403" authorId="0" shapeId="0" xr:uid="{00000000-0006-0000-0500-000024010000}">
      <text>
        <r>
          <rPr>
            <b/>
            <sz val="9"/>
            <rFont val="宋体"/>
            <family val="3"/>
            <charset val="134"/>
          </rPr>
          <t>Kevin She:</t>
        </r>
        <r>
          <rPr>
            <sz val="9"/>
            <rFont val="宋体"/>
            <family val="3"/>
            <charset val="134"/>
          </rPr>
          <t xml:space="preserve">
采购件名称</t>
        </r>
      </text>
    </comment>
    <comment ref="D403" authorId="0" shapeId="0" xr:uid="{00000000-0006-0000-0500-000025010000}">
      <text>
        <r>
          <rPr>
            <b/>
            <sz val="9"/>
            <rFont val="宋体"/>
            <family val="3"/>
            <charset val="134"/>
          </rPr>
          <t>Kevin She:</t>
        </r>
        <r>
          <rPr>
            <sz val="9"/>
            <rFont val="宋体"/>
            <family val="3"/>
            <charset val="134"/>
          </rPr>
          <t xml:space="preserve">
含税价，6%税率</t>
        </r>
      </text>
    </comment>
    <comment ref="C407" authorId="0" shapeId="0" xr:uid="{00000000-0006-0000-0500-000026010000}">
      <text>
        <r>
          <rPr>
            <b/>
            <sz val="9"/>
            <rFont val="宋体"/>
            <family val="3"/>
            <charset val="134"/>
          </rPr>
          <t>Kevin She:</t>
        </r>
        <r>
          <rPr>
            <sz val="9"/>
            <rFont val="宋体"/>
            <family val="3"/>
            <charset val="134"/>
          </rPr>
          <t xml:space="preserve">
采购件名称</t>
        </r>
      </text>
    </comment>
    <comment ref="D407" authorId="0" shapeId="0" xr:uid="{00000000-0006-0000-0500-000027010000}">
      <text>
        <r>
          <rPr>
            <b/>
            <sz val="9"/>
            <rFont val="宋体"/>
            <family val="3"/>
            <charset val="134"/>
          </rPr>
          <t>Kevin She:</t>
        </r>
        <r>
          <rPr>
            <sz val="9"/>
            <rFont val="宋体"/>
            <family val="3"/>
            <charset val="134"/>
          </rPr>
          <t xml:space="preserve">
含税价 13%税率</t>
        </r>
      </text>
    </comment>
    <comment ref="C408" authorId="0" shapeId="0" xr:uid="{00000000-0006-0000-0500-000028010000}">
      <text>
        <r>
          <rPr>
            <b/>
            <sz val="9"/>
            <rFont val="宋体"/>
            <family val="3"/>
            <charset val="134"/>
          </rPr>
          <t>Kevin She:</t>
        </r>
        <r>
          <rPr>
            <sz val="9"/>
            <rFont val="宋体"/>
            <family val="3"/>
            <charset val="134"/>
          </rPr>
          <t xml:space="preserve">
采购件名称</t>
        </r>
      </text>
    </comment>
    <comment ref="D408" authorId="0" shapeId="0" xr:uid="{00000000-0006-0000-0500-000029010000}">
      <text>
        <r>
          <rPr>
            <b/>
            <sz val="9"/>
            <rFont val="宋体"/>
            <family val="3"/>
            <charset val="134"/>
          </rPr>
          <t>Kevin She:</t>
        </r>
        <r>
          <rPr>
            <sz val="9"/>
            <rFont val="宋体"/>
            <family val="3"/>
            <charset val="134"/>
          </rPr>
          <t xml:space="preserve">
含税价，6%税率</t>
        </r>
      </text>
    </comment>
    <comment ref="D413" authorId="0" shapeId="0" xr:uid="{00000000-0006-0000-0500-00002A010000}">
      <text>
        <r>
          <rPr>
            <b/>
            <sz val="9"/>
            <rFont val="宋体"/>
            <family val="3"/>
            <charset val="134"/>
          </rPr>
          <t>Kevin She:</t>
        </r>
        <r>
          <rPr>
            <sz val="9"/>
            <rFont val="宋体"/>
            <family val="3"/>
            <charset val="134"/>
          </rPr>
          <t xml:space="preserve">
楼梯重量</t>
        </r>
      </text>
    </comment>
    <comment ref="E413" authorId="0" shapeId="0" xr:uid="{00000000-0006-0000-0500-00002B010000}">
      <text>
        <r>
          <rPr>
            <b/>
            <sz val="9"/>
            <rFont val="宋体"/>
            <family val="3"/>
            <charset val="134"/>
          </rPr>
          <t>Kevin She:</t>
        </r>
        <r>
          <rPr>
            <sz val="9"/>
            <rFont val="宋体"/>
            <family val="3"/>
            <charset val="134"/>
          </rPr>
          <t xml:space="preserve">
工费
</t>
        </r>
      </text>
    </comment>
    <comment ref="F413" authorId="0" shapeId="0" xr:uid="{00000000-0006-0000-0500-00002C010000}">
      <text>
        <r>
          <rPr>
            <b/>
            <sz val="9"/>
            <rFont val="宋体"/>
            <family val="3"/>
            <charset val="134"/>
          </rPr>
          <t>Kevin She:</t>
        </r>
        <r>
          <rPr>
            <sz val="9"/>
            <rFont val="宋体"/>
            <family val="3"/>
            <charset val="134"/>
          </rPr>
          <t xml:space="preserve">
数量
</t>
        </r>
      </text>
    </comment>
    <comment ref="D414" authorId="0" shapeId="0" xr:uid="{00000000-0006-0000-0500-00002D010000}">
      <text>
        <r>
          <rPr>
            <b/>
            <sz val="9"/>
            <rFont val="宋体"/>
            <family val="3"/>
            <charset val="134"/>
          </rPr>
          <t>Kevin She:</t>
        </r>
        <r>
          <rPr>
            <sz val="9"/>
            <rFont val="宋体"/>
            <family val="3"/>
            <charset val="134"/>
          </rPr>
          <t xml:space="preserve">
楼梯重量</t>
        </r>
      </text>
    </comment>
    <comment ref="E414" authorId="0" shapeId="0" xr:uid="{00000000-0006-0000-0500-00002E010000}">
      <text>
        <r>
          <rPr>
            <b/>
            <sz val="9"/>
            <rFont val="宋体"/>
            <family val="3"/>
            <charset val="134"/>
          </rPr>
          <t>Kevin She:</t>
        </r>
        <r>
          <rPr>
            <sz val="9"/>
            <rFont val="宋体"/>
            <family val="3"/>
            <charset val="134"/>
          </rPr>
          <t xml:space="preserve">
工费
</t>
        </r>
      </text>
    </comment>
    <comment ref="F414" authorId="0" shapeId="0" xr:uid="{00000000-0006-0000-0500-00002F010000}">
      <text>
        <r>
          <rPr>
            <b/>
            <sz val="9"/>
            <rFont val="宋体"/>
            <family val="3"/>
            <charset val="134"/>
          </rPr>
          <t>Kevin She:</t>
        </r>
        <r>
          <rPr>
            <sz val="9"/>
            <rFont val="宋体"/>
            <family val="3"/>
            <charset val="134"/>
          </rPr>
          <t xml:space="preserve">
数量
</t>
        </r>
      </text>
    </comment>
    <comment ref="D418" authorId="0" shapeId="0" xr:uid="{00000000-0006-0000-0500-000030010000}">
      <text>
        <r>
          <rPr>
            <b/>
            <sz val="9"/>
            <rFont val="宋体"/>
            <family val="3"/>
            <charset val="134"/>
          </rPr>
          <t>Kevin She:</t>
        </r>
        <r>
          <rPr>
            <sz val="9"/>
            <rFont val="宋体"/>
            <family val="3"/>
            <charset val="134"/>
          </rPr>
          <t xml:space="preserve">
楼梯重量</t>
        </r>
      </text>
    </comment>
    <comment ref="E418" authorId="0" shapeId="0" xr:uid="{00000000-0006-0000-0500-000031010000}">
      <text>
        <r>
          <rPr>
            <b/>
            <sz val="9"/>
            <rFont val="宋体"/>
            <family val="3"/>
            <charset val="134"/>
          </rPr>
          <t>Kevin She:</t>
        </r>
        <r>
          <rPr>
            <sz val="9"/>
            <rFont val="宋体"/>
            <family val="3"/>
            <charset val="134"/>
          </rPr>
          <t xml:space="preserve">
工费
</t>
        </r>
      </text>
    </comment>
    <comment ref="F418" authorId="0" shapeId="0" xr:uid="{00000000-0006-0000-0500-000032010000}">
      <text>
        <r>
          <rPr>
            <b/>
            <sz val="9"/>
            <rFont val="宋体"/>
            <family val="3"/>
            <charset val="134"/>
          </rPr>
          <t>Kevin She:</t>
        </r>
        <r>
          <rPr>
            <sz val="9"/>
            <rFont val="宋体"/>
            <family val="3"/>
            <charset val="134"/>
          </rPr>
          <t xml:space="preserve">
数量
</t>
        </r>
      </text>
    </comment>
    <comment ref="D419" authorId="0" shapeId="0" xr:uid="{00000000-0006-0000-0500-000033010000}">
      <text>
        <r>
          <rPr>
            <b/>
            <sz val="9"/>
            <rFont val="宋体"/>
            <family val="3"/>
            <charset val="134"/>
          </rPr>
          <t>Kevin She:</t>
        </r>
        <r>
          <rPr>
            <sz val="9"/>
            <rFont val="宋体"/>
            <family val="3"/>
            <charset val="134"/>
          </rPr>
          <t xml:space="preserve">
楼梯重量</t>
        </r>
      </text>
    </comment>
    <comment ref="E419" authorId="0" shapeId="0" xr:uid="{00000000-0006-0000-0500-000034010000}">
      <text>
        <r>
          <rPr>
            <b/>
            <sz val="9"/>
            <rFont val="宋体"/>
            <family val="3"/>
            <charset val="134"/>
          </rPr>
          <t>Kevin She:</t>
        </r>
        <r>
          <rPr>
            <sz val="9"/>
            <rFont val="宋体"/>
            <family val="3"/>
            <charset val="134"/>
          </rPr>
          <t xml:space="preserve">
工费
</t>
        </r>
      </text>
    </comment>
    <comment ref="F419" authorId="0" shapeId="0" xr:uid="{00000000-0006-0000-0500-000035010000}">
      <text>
        <r>
          <rPr>
            <b/>
            <sz val="9"/>
            <rFont val="宋体"/>
            <family val="3"/>
            <charset val="134"/>
          </rPr>
          <t>Kevin She:</t>
        </r>
        <r>
          <rPr>
            <sz val="9"/>
            <rFont val="宋体"/>
            <family val="3"/>
            <charset val="134"/>
          </rPr>
          <t xml:space="preserve">
数量
</t>
        </r>
      </text>
    </comment>
    <comment ref="D420" authorId="0" shapeId="0" xr:uid="{00000000-0006-0000-0500-000036010000}">
      <text>
        <r>
          <rPr>
            <b/>
            <sz val="9"/>
            <rFont val="宋体"/>
            <family val="3"/>
            <charset val="134"/>
          </rPr>
          <t>Kevin She:</t>
        </r>
        <r>
          <rPr>
            <sz val="9"/>
            <rFont val="宋体"/>
            <family val="3"/>
            <charset val="134"/>
          </rPr>
          <t xml:space="preserve">
楼梯重量</t>
        </r>
      </text>
    </comment>
    <comment ref="E420" authorId="0" shapeId="0" xr:uid="{00000000-0006-0000-0500-000037010000}">
      <text>
        <r>
          <rPr>
            <b/>
            <sz val="9"/>
            <rFont val="宋体"/>
            <family val="3"/>
            <charset val="134"/>
          </rPr>
          <t>Kevin She:</t>
        </r>
        <r>
          <rPr>
            <sz val="9"/>
            <rFont val="宋体"/>
            <family val="3"/>
            <charset val="134"/>
          </rPr>
          <t xml:space="preserve">
工费
</t>
        </r>
      </text>
    </comment>
    <comment ref="F420" authorId="0" shapeId="0" xr:uid="{00000000-0006-0000-0500-000038010000}">
      <text>
        <r>
          <rPr>
            <b/>
            <sz val="9"/>
            <rFont val="宋体"/>
            <family val="3"/>
            <charset val="134"/>
          </rPr>
          <t>Kevin She:</t>
        </r>
        <r>
          <rPr>
            <sz val="9"/>
            <rFont val="宋体"/>
            <family val="3"/>
            <charset val="134"/>
          </rPr>
          <t xml:space="preserve">
数量
</t>
        </r>
      </text>
    </comment>
    <comment ref="D421" authorId="0" shapeId="0" xr:uid="{00000000-0006-0000-0500-000039010000}">
      <text>
        <r>
          <rPr>
            <b/>
            <sz val="9"/>
            <rFont val="宋体"/>
            <family val="3"/>
            <charset val="134"/>
          </rPr>
          <t>Kevin She:</t>
        </r>
        <r>
          <rPr>
            <sz val="9"/>
            <rFont val="宋体"/>
            <family val="3"/>
            <charset val="134"/>
          </rPr>
          <t xml:space="preserve">
楼梯重量</t>
        </r>
      </text>
    </comment>
    <comment ref="E421" authorId="0" shapeId="0" xr:uid="{00000000-0006-0000-0500-00003A010000}">
      <text>
        <r>
          <rPr>
            <b/>
            <sz val="9"/>
            <rFont val="宋体"/>
            <family val="3"/>
            <charset val="134"/>
          </rPr>
          <t>Kevin She:</t>
        </r>
        <r>
          <rPr>
            <sz val="9"/>
            <rFont val="宋体"/>
            <family val="3"/>
            <charset val="134"/>
          </rPr>
          <t xml:space="preserve">
工费
</t>
        </r>
      </text>
    </comment>
    <comment ref="F421" authorId="0" shapeId="0" xr:uid="{00000000-0006-0000-0500-00003B010000}">
      <text>
        <r>
          <rPr>
            <b/>
            <sz val="9"/>
            <rFont val="宋体"/>
            <family val="3"/>
            <charset val="134"/>
          </rPr>
          <t>Kevin She:</t>
        </r>
        <r>
          <rPr>
            <sz val="9"/>
            <rFont val="宋体"/>
            <family val="3"/>
            <charset val="134"/>
          </rPr>
          <t xml:space="preserve">
数量
</t>
        </r>
      </text>
    </comment>
    <comment ref="D422" authorId="0" shapeId="0" xr:uid="{00000000-0006-0000-0500-00003C010000}">
      <text>
        <r>
          <rPr>
            <b/>
            <sz val="9"/>
            <rFont val="宋体"/>
            <family val="3"/>
            <charset val="134"/>
          </rPr>
          <t>Kevin She:</t>
        </r>
        <r>
          <rPr>
            <sz val="9"/>
            <rFont val="宋体"/>
            <family val="3"/>
            <charset val="134"/>
          </rPr>
          <t xml:space="preserve">
楼梯重量</t>
        </r>
      </text>
    </comment>
    <comment ref="E422" authorId="0" shapeId="0" xr:uid="{00000000-0006-0000-0500-00003D010000}">
      <text>
        <r>
          <rPr>
            <b/>
            <sz val="9"/>
            <rFont val="宋体"/>
            <family val="3"/>
            <charset val="134"/>
          </rPr>
          <t>Kevin She:</t>
        </r>
        <r>
          <rPr>
            <sz val="9"/>
            <rFont val="宋体"/>
            <family val="3"/>
            <charset val="134"/>
          </rPr>
          <t xml:space="preserve">
工费
</t>
        </r>
      </text>
    </comment>
    <comment ref="F422" authorId="0" shapeId="0" xr:uid="{00000000-0006-0000-0500-00003E010000}">
      <text>
        <r>
          <rPr>
            <b/>
            <sz val="9"/>
            <rFont val="宋体"/>
            <family val="3"/>
            <charset val="134"/>
          </rPr>
          <t>Kevin She:</t>
        </r>
        <r>
          <rPr>
            <sz val="9"/>
            <rFont val="宋体"/>
            <family val="3"/>
            <charset val="134"/>
          </rPr>
          <t xml:space="preserve">
数量
</t>
        </r>
      </text>
    </comment>
    <comment ref="D423" authorId="0" shapeId="0" xr:uid="{00000000-0006-0000-0500-00003F010000}">
      <text>
        <r>
          <rPr>
            <b/>
            <sz val="9"/>
            <rFont val="宋体"/>
            <family val="3"/>
            <charset val="134"/>
          </rPr>
          <t>Kevin She:</t>
        </r>
        <r>
          <rPr>
            <sz val="9"/>
            <rFont val="宋体"/>
            <family val="3"/>
            <charset val="134"/>
          </rPr>
          <t xml:space="preserve">
楼梯重量</t>
        </r>
      </text>
    </comment>
    <comment ref="E423" authorId="0" shapeId="0" xr:uid="{00000000-0006-0000-0500-000040010000}">
      <text>
        <r>
          <rPr>
            <b/>
            <sz val="9"/>
            <rFont val="宋体"/>
            <family val="3"/>
            <charset val="134"/>
          </rPr>
          <t>Kevin She:</t>
        </r>
        <r>
          <rPr>
            <sz val="9"/>
            <rFont val="宋体"/>
            <family val="3"/>
            <charset val="134"/>
          </rPr>
          <t xml:space="preserve">
工费
</t>
        </r>
      </text>
    </comment>
    <comment ref="F423" authorId="0" shapeId="0" xr:uid="{00000000-0006-0000-0500-000041010000}">
      <text>
        <r>
          <rPr>
            <b/>
            <sz val="9"/>
            <rFont val="宋体"/>
            <family val="3"/>
            <charset val="134"/>
          </rPr>
          <t>Kevin She:</t>
        </r>
        <r>
          <rPr>
            <sz val="9"/>
            <rFont val="宋体"/>
            <family val="3"/>
            <charset val="134"/>
          </rPr>
          <t xml:space="preserve">
数量
</t>
        </r>
      </text>
    </comment>
    <comment ref="D427" authorId="0" shapeId="0" xr:uid="{00000000-0006-0000-0500-000042010000}">
      <text>
        <r>
          <rPr>
            <b/>
            <sz val="9"/>
            <rFont val="宋体"/>
            <family val="3"/>
            <charset val="134"/>
          </rPr>
          <t>Kevin She:</t>
        </r>
        <r>
          <rPr>
            <sz val="9"/>
            <rFont val="宋体"/>
            <family val="3"/>
            <charset val="134"/>
          </rPr>
          <t xml:space="preserve">
楼梯重量</t>
        </r>
      </text>
    </comment>
    <comment ref="E427" authorId="0" shapeId="0" xr:uid="{00000000-0006-0000-0500-000043010000}">
      <text>
        <r>
          <rPr>
            <b/>
            <sz val="9"/>
            <rFont val="宋体"/>
            <family val="3"/>
            <charset val="134"/>
          </rPr>
          <t>Kevin She:</t>
        </r>
        <r>
          <rPr>
            <sz val="9"/>
            <rFont val="宋体"/>
            <family val="3"/>
            <charset val="134"/>
          </rPr>
          <t xml:space="preserve">
工费
</t>
        </r>
      </text>
    </comment>
    <comment ref="F427" authorId="0" shapeId="0" xr:uid="{00000000-0006-0000-0500-000044010000}">
      <text>
        <r>
          <rPr>
            <b/>
            <sz val="9"/>
            <rFont val="宋体"/>
            <family val="3"/>
            <charset val="134"/>
          </rPr>
          <t>Kevin She:</t>
        </r>
        <r>
          <rPr>
            <sz val="9"/>
            <rFont val="宋体"/>
            <family val="3"/>
            <charset val="134"/>
          </rPr>
          <t xml:space="preserve">
数量
</t>
        </r>
      </text>
    </comment>
    <comment ref="D428" authorId="0" shapeId="0" xr:uid="{00000000-0006-0000-0500-000045010000}">
      <text>
        <r>
          <rPr>
            <b/>
            <sz val="9"/>
            <rFont val="宋体"/>
            <family val="3"/>
            <charset val="134"/>
          </rPr>
          <t>Kevin She:</t>
        </r>
        <r>
          <rPr>
            <sz val="9"/>
            <rFont val="宋体"/>
            <family val="3"/>
            <charset val="134"/>
          </rPr>
          <t xml:space="preserve">
楼梯重量</t>
        </r>
      </text>
    </comment>
    <comment ref="E428" authorId="0" shapeId="0" xr:uid="{00000000-0006-0000-0500-000046010000}">
      <text>
        <r>
          <rPr>
            <b/>
            <sz val="9"/>
            <rFont val="宋体"/>
            <family val="3"/>
            <charset val="134"/>
          </rPr>
          <t>Kevin She:</t>
        </r>
        <r>
          <rPr>
            <sz val="9"/>
            <rFont val="宋体"/>
            <family val="3"/>
            <charset val="134"/>
          </rPr>
          <t xml:space="preserve">
工费
</t>
        </r>
      </text>
    </comment>
    <comment ref="F428" authorId="0" shapeId="0" xr:uid="{00000000-0006-0000-0500-000047010000}">
      <text>
        <r>
          <rPr>
            <b/>
            <sz val="9"/>
            <rFont val="宋体"/>
            <family val="3"/>
            <charset val="134"/>
          </rPr>
          <t>Kevin She:</t>
        </r>
        <r>
          <rPr>
            <sz val="9"/>
            <rFont val="宋体"/>
            <family val="3"/>
            <charset val="134"/>
          </rPr>
          <t xml:space="preserve">
数量
</t>
        </r>
      </text>
    </comment>
    <comment ref="D429" authorId="0" shapeId="0" xr:uid="{00000000-0006-0000-0500-000048010000}">
      <text>
        <r>
          <rPr>
            <b/>
            <sz val="9"/>
            <rFont val="宋体"/>
            <family val="3"/>
            <charset val="134"/>
          </rPr>
          <t>Kevin She:</t>
        </r>
        <r>
          <rPr>
            <sz val="9"/>
            <rFont val="宋体"/>
            <family val="3"/>
            <charset val="134"/>
          </rPr>
          <t xml:space="preserve">
楼梯重量</t>
        </r>
      </text>
    </comment>
    <comment ref="E429" authorId="0" shapeId="0" xr:uid="{00000000-0006-0000-0500-000049010000}">
      <text>
        <r>
          <rPr>
            <b/>
            <sz val="9"/>
            <rFont val="宋体"/>
            <family val="3"/>
            <charset val="134"/>
          </rPr>
          <t>Kevin She:</t>
        </r>
        <r>
          <rPr>
            <sz val="9"/>
            <rFont val="宋体"/>
            <family val="3"/>
            <charset val="134"/>
          </rPr>
          <t xml:space="preserve">
工费
</t>
        </r>
      </text>
    </comment>
    <comment ref="F429" authorId="0" shapeId="0" xr:uid="{00000000-0006-0000-0500-00004A010000}">
      <text>
        <r>
          <rPr>
            <b/>
            <sz val="9"/>
            <rFont val="宋体"/>
            <family val="3"/>
            <charset val="134"/>
          </rPr>
          <t>Kevin She:</t>
        </r>
        <r>
          <rPr>
            <sz val="9"/>
            <rFont val="宋体"/>
            <family val="3"/>
            <charset val="134"/>
          </rPr>
          <t xml:space="preserve">
数量
</t>
        </r>
      </text>
    </comment>
    <comment ref="D430" authorId="0" shapeId="0" xr:uid="{00000000-0006-0000-0500-00004B010000}">
      <text>
        <r>
          <rPr>
            <b/>
            <sz val="9"/>
            <rFont val="宋体"/>
            <family val="3"/>
            <charset val="134"/>
          </rPr>
          <t>Kevin She:</t>
        </r>
        <r>
          <rPr>
            <sz val="9"/>
            <rFont val="宋体"/>
            <family val="3"/>
            <charset val="134"/>
          </rPr>
          <t xml:space="preserve">
楼梯重量</t>
        </r>
      </text>
    </comment>
    <comment ref="E430" authorId="0" shapeId="0" xr:uid="{00000000-0006-0000-0500-00004C010000}">
      <text>
        <r>
          <rPr>
            <b/>
            <sz val="9"/>
            <rFont val="宋体"/>
            <family val="3"/>
            <charset val="134"/>
          </rPr>
          <t>Kevin She:</t>
        </r>
        <r>
          <rPr>
            <sz val="9"/>
            <rFont val="宋体"/>
            <family val="3"/>
            <charset val="134"/>
          </rPr>
          <t xml:space="preserve">
工费
</t>
        </r>
      </text>
    </comment>
    <comment ref="F430" authorId="0" shapeId="0" xr:uid="{00000000-0006-0000-0500-00004D010000}">
      <text>
        <r>
          <rPr>
            <b/>
            <sz val="9"/>
            <rFont val="宋体"/>
            <family val="3"/>
            <charset val="134"/>
          </rPr>
          <t>Kevin She:</t>
        </r>
        <r>
          <rPr>
            <sz val="9"/>
            <rFont val="宋体"/>
            <family val="3"/>
            <charset val="134"/>
          </rPr>
          <t xml:space="preserve">
数量
</t>
        </r>
      </text>
    </comment>
    <comment ref="D431" authorId="0" shapeId="0" xr:uid="{00000000-0006-0000-0500-00004E010000}">
      <text>
        <r>
          <rPr>
            <b/>
            <sz val="9"/>
            <rFont val="宋体"/>
            <family val="3"/>
            <charset val="134"/>
          </rPr>
          <t>Kevin She:</t>
        </r>
        <r>
          <rPr>
            <sz val="9"/>
            <rFont val="宋体"/>
            <family val="3"/>
            <charset val="134"/>
          </rPr>
          <t xml:space="preserve">
楼梯重量</t>
        </r>
      </text>
    </comment>
    <comment ref="E431" authorId="0" shapeId="0" xr:uid="{00000000-0006-0000-0500-00004F010000}">
      <text>
        <r>
          <rPr>
            <b/>
            <sz val="9"/>
            <rFont val="宋体"/>
            <family val="3"/>
            <charset val="134"/>
          </rPr>
          <t>Kevin She:</t>
        </r>
        <r>
          <rPr>
            <sz val="9"/>
            <rFont val="宋体"/>
            <family val="3"/>
            <charset val="134"/>
          </rPr>
          <t xml:space="preserve">
工费
</t>
        </r>
      </text>
    </comment>
    <comment ref="F431" authorId="0" shapeId="0" xr:uid="{00000000-0006-0000-0500-000050010000}">
      <text>
        <r>
          <rPr>
            <b/>
            <sz val="9"/>
            <rFont val="宋体"/>
            <family val="3"/>
            <charset val="134"/>
          </rPr>
          <t>Kevin She:</t>
        </r>
        <r>
          <rPr>
            <sz val="9"/>
            <rFont val="宋体"/>
            <family val="3"/>
            <charset val="134"/>
          </rPr>
          <t xml:space="preserve">
数量
</t>
        </r>
      </text>
    </comment>
    <comment ref="D432" authorId="0" shapeId="0" xr:uid="{00000000-0006-0000-0500-000051010000}">
      <text>
        <r>
          <rPr>
            <b/>
            <sz val="9"/>
            <rFont val="宋体"/>
            <family val="3"/>
            <charset val="134"/>
          </rPr>
          <t>Kevin She:</t>
        </r>
        <r>
          <rPr>
            <sz val="9"/>
            <rFont val="宋体"/>
            <family val="3"/>
            <charset val="134"/>
          </rPr>
          <t xml:space="preserve">
楼梯重量</t>
        </r>
      </text>
    </comment>
    <comment ref="E432" authorId="0" shapeId="0" xr:uid="{00000000-0006-0000-0500-000052010000}">
      <text>
        <r>
          <rPr>
            <b/>
            <sz val="9"/>
            <rFont val="宋体"/>
            <family val="3"/>
            <charset val="134"/>
          </rPr>
          <t>Kevin She:</t>
        </r>
        <r>
          <rPr>
            <sz val="9"/>
            <rFont val="宋体"/>
            <family val="3"/>
            <charset val="134"/>
          </rPr>
          <t xml:space="preserve">
工费
</t>
        </r>
      </text>
    </comment>
    <comment ref="F432" authorId="0" shapeId="0" xr:uid="{00000000-0006-0000-0500-000053010000}">
      <text>
        <r>
          <rPr>
            <b/>
            <sz val="9"/>
            <rFont val="宋体"/>
            <family val="3"/>
            <charset val="134"/>
          </rPr>
          <t>Kevin She:</t>
        </r>
        <r>
          <rPr>
            <sz val="9"/>
            <rFont val="宋体"/>
            <family val="3"/>
            <charset val="134"/>
          </rPr>
          <t xml:space="preserve">
数量
</t>
        </r>
      </text>
    </comment>
    <comment ref="D436" authorId="0" shapeId="0" xr:uid="{00000000-0006-0000-0500-000054010000}">
      <text>
        <r>
          <rPr>
            <b/>
            <sz val="9"/>
            <rFont val="宋体"/>
            <family val="3"/>
            <charset val="134"/>
          </rPr>
          <t>Kevin She:</t>
        </r>
        <r>
          <rPr>
            <sz val="9"/>
            <rFont val="宋体"/>
            <family val="3"/>
            <charset val="134"/>
          </rPr>
          <t xml:space="preserve">
楼梯重量</t>
        </r>
      </text>
    </comment>
    <comment ref="E436" authorId="0" shapeId="0" xr:uid="{00000000-0006-0000-0500-000055010000}">
      <text>
        <r>
          <rPr>
            <b/>
            <sz val="9"/>
            <rFont val="宋体"/>
            <family val="3"/>
            <charset val="134"/>
          </rPr>
          <t>Kevin She:</t>
        </r>
        <r>
          <rPr>
            <sz val="9"/>
            <rFont val="宋体"/>
            <family val="3"/>
            <charset val="134"/>
          </rPr>
          <t xml:space="preserve">
工费
</t>
        </r>
      </text>
    </comment>
    <comment ref="F436" authorId="0" shapeId="0" xr:uid="{00000000-0006-0000-0500-000056010000}">
      <text>
        <r>
          <rPr>
            <b/>
            <sz val="9"/>
            <rFont val="宋体"/>
            <family val="3"/>
            <charset val="134"/>
          </rPr>
          <t>Kevin She:</t>
        </r>
        <r>
          <rPr>
            <sz val="9"/>
            <rFont val="宋体"/>
            <family val="3"/>
            <charset val="134"/>
          </rPr>
          <t xml:space="preserve">
数量
</t>
        </r>
      </text>
    </comment>
    <comment ref="D437" authorId="0" shapeId="0" xr:uid="{00000000-0006-0000-0500-000057010000}">
      <text>
        <r>
          <rPr>
            <b/>
            <sz val="9"/>
            <rFont val="宋体"/>
            <family val="3"/>
            <charset val="134"/>
          </rPr>
          <t>Kevin She:</t>
        </r>
        <r>
          <rPr>
            <sz val="9"/>
            <rFont val="宋体"/>
            <family val="3"/>
            <charset val="134"/>
          </rPr>
          <t xml:space="preserve">
楼梯重量</t>
        </r>
      </text>
    </comment>
    <comment ref="E437" authorId="0" shapeId="0" xr:uid="{00000000-0006-0000-0500-000058010000}">
      <text>
        <r>
          <rPr>
            <b/>
            <sz val="9"/>
            <rFont val="宋体"/>
            <family val="3"/>
            <charset val="134"/>
          </rPr>
          <t>Kevin She:</t>
        </r>
        <r>
          <rPr>
            <sz val="9"/>
            <rFont val="宋体"/>
            <family val="3"/>
            <charset val="134"/>
          </rPr>
          <t xml:space="preserve">
工费
</t>
        </r>
      </text>
    </comment>
    <comment ref="F437" authorId="0" shapeId="0" xr:uid="{00000000-0006-0000-0500-000059010000}">
      <text>
        <r>
          <rPr>
            <b/>
            <sz val="9"/>
            <rFont val="宋体"/>
            <family val="3"/>
            <charset val="134"/>
          </rPr>
          <t>Kevin She:</t>
        </r>
        <r>
          <rPr>
            <sz val="9"/>
            <rFont val="宋体"/>
            <family val="3"/>
            <charset val="134"/>
          </rPr>
          <t xml:space="preserve">
数量
</t>
        </r>
      </text>
    </comment>
    <comment ref="D438" authorId="0" shapeId="0" xr:uid="{00000000-0006-0000-0500-00005A010000}">
      <text>
        <r>
          <rPr>
            <b/>
            <sz val="9"/>
            <rFont val="宋体"/>
            <family val="3"/>
            <charset val="134"/>
          </rPr>
          <t>Kevin She:</t>
        </r>
        <r>
          <rPr>
            <sz val="9"/>
            <rFont val="宋体"/>
            <family val="3"/>
            <charset val="134"/>
          </rPr>
          <t xml:space="preserve">
楼梯重量</t>
        </r>
      </text>
    </comment>
    <comment ref="E438" authorId="0" shapeId="0" xr:uid="{00000000-0006-0000-0500-00005B010000}">
      <text>
        <r>
          <rPr>
            <b/>
            <sz val="9"/>
            <rFont val="宋体"/>
            <family val="3"/>
            <charset val="134"/>
          </rPr>
          <t>Kevin She:</t>
        </r>
        <r>
          <rPr>
            <sz val="9"/>
            <rFont val="宋体"/>
            <family val="3"/>
            <charset val="134"/>
          </rPr>
          <t xml:space="preserve">
工费
</t>
        </r>
      </text>
    </comment>
    <comment ref="F438" authorId="0" shapeId="0" xr:uid="{00000000-0006-0000-0500-00005C010000}">
      <text>
        <r>
          <rPr>
            <b/>
            <sz val="9"/>
            <rFont val="宋体"/>
            <family val="3"/>
            <charset val="134"/>
          </rPr>
          <t>Kevin She:</t>
        </r>
        <r>
          <rPr>
            <sz val="9"/>
            <rFont val="宋体"/>
            <family val="3"/>
            <charset val="134"/>
          </rPr>
          <t xml:space="preserve">
数量
</t>
        </r>
      </text>
    </comment>
    <comment ref="D439" authorId="0" shapeId="0" xr:uid="{00000000-0006-0000-0500-00005D010000}">
      <text>
        <r>
          <rPr>
            <b/>
            <sz val="9"/>
            <rFont val="宋体"/>
            <family val="3"/>
            <charset val="134"/>
          </rPr>
          <t>Kevin She:</t>
        </r>
        <r>
          <rPr>
            <sz val="9"/>
            <rFont val="宋体"/>
            <family val="3"/>
            <charset val="134"/>
          </rPr>
          <t xml:space="preserve">
楼梯重量</t>
        </r>
      </text>
    </comment>
    <comment ref="E439" authorId="0" shapeId="0" xr:uid="{00000000-0006-0000-0500-00005E010000}">
      <text>
        <r>
          <rPr>
            <b/>
            <sz val="9"/>
            <rFont val="宋体"/>
            <family val="3"/>
            <charset val="134"/>
          </rPr>
          <t>Kevin She:</t>
        </r>
        <r>
          <rPr>
            <sz val="9"/>
            <rFont val="宋体"/>
            <family val="3"/>
            <charset val="134"/>
          </rPr>
          <t xml:space="preserve">
工费
</t>
        </r>
      </text>
    </comment>
    <comment ref="F439" authorId="0" shapeId="0" xr:uid="{00000000-0006-0000-0500-00005F010000}">
      <text>
        <r>
          <rPr>
            <b/>
            <sz val="9"/>
            <rFont val="宋体"/>
            <family val="3"/>
            <charset val="134"/>
          </rPr>
          <t>Kevin She:</t>
        </r>
        <r>
          <rPr>
            <sz val="9"/>
            <rFont val="宋体"/>
            <family val="3"/>
            <charset val="134"/>
          </rPr>
          <t xml:space="preserve">
数量
</t>
        </r>
      </text>
    </comment>
    <comment ref="D440" authorId="0" shapeId="0" xr:uid="{00000000-0006-0000-0500-000060010000}">
      <text>
        <r>
          <rPr>
            <b/>
            <sz val="9"/>
            <rFont val="宋体"/>
            <family val="3"/>
            <charset val="134"/>
          </rPr>
          <t>Kevin She:</t>
        </r>
        <r>
          <rPr>
            <sz val="9"/>
            <rFont val="宋体"/>
            <family val="3"/>
            <charset val="134"/>
          </rPr>
          <t xml:space="preserve">
楼梯重量</t>
        </r>
      </text>
    </comment>
    <comment ref="E440" authorId="0" shapeId="0" xr:uid="{00000000-0006-0000-0500-000061010000}">
      <text>
        <r>
          <rPr>
            <b/>
            <sz val="9"/>
            <rFont val="宋体"/>
            <family val="3"/>
            <charset val="134"/>
          </rPr>
          <t>Kevin She:</t>
        </r>
        <r>
          <rPr>
            <sz val="9"/>
            <rFont val="宋体"/>
            <family val="3"/>
            <charset val="134"/>
          </rPr>
          <t xml:space="preserve">
工费
</t>
        </r>
      </text>
    </comment>
    <comment ref="F440" authorId="0" shapeId="0" xr:uid="{00000000-0006-0000-0500-000062010000}">
      <text>
        <r>
          <rPr>
            <b/>
            <sz val="9"/>
            <rFont val="宋体"/>
            <family val="3"/>
            <charset val="134"/>
          </rPr>
          <t>Kevin She:</t>
        </r>
        <r>
          <rPr>
            <sz val="9"/>
            <rFont val="宋体"/>
            <family val="3"/>
            <charset val="134"/>
          </rPr>
          <t xml:space="preserve">
数量
</t>
        </r>
      </text>
    </comment>
    <comment ref="D441" authorId="0" shapeId="0" xr:uid="{00000000-0006-0000-0500-000063010000}">
      <text>
        <r>
          <rPr>
            <b/>
            <sz val="9"/>
            <rFont val="宋体"/>
            <family val="3"/>
            <charset val="134"/>
          </rPr>
          <t>Kevin She:</t>
        </r>
        <r>
          <rPr>
            <sz val="9"/>
            <rFont val="宋体"/>
            <family val="3"/>
            <charset val="134"/>
          </rPr>
          <t xml:space="preserve">
楼梯重量</t>
        </r>
      </text>
    </comment>
    <comment ref="E441" authorId="0" shapeId="0" xr:uid="{00000000-0006-0000-0500-000064010000}">
      <text>
        <r>
          <rPr>
            <b/>
            <sz val="9"/>
            <rFont val="宋体"/>
            <family val="3"/>
            <charset val="134"/>
          </rPr>
          <t>Kevin She:</t>
        </r>
        <r>
          <rPr>
            <sz val="9"/>
            <rFont val="宋体"/>
            <family val="3"/>
            <charset val="134"/>
          </rPr>
          <t xml:space="preserve">
工费
</t>
        </r>
      </text>
    </comment>
    <comment ref="F441" authorId="0" shapeId="0" xr:uid="{00000000-0006-0000-0500-000065010000}">
      <text>
        <r>
          <rPr>
            <b/>
            <sz val="9"/>
            <rFont val="宋体"/>
            <family val="3"/>
            <charset val="134"/>
          </rPr>
          <t>Kevin She:</t>
        </r>
        <r>
          <rPr>
            <sz val="9"/>
            <rFont val="宋体"/>
            <family val="3"/>
            <charset val="134"/>
          </rPr>
          <t xml:space="preserve">
数量
</t>
        </r>
      </text>
    </comment>
    <comment ref="D445" authorId="0" shapeId="0" xr:uid="{00000000-0006-0000-0500-000066010000}">
      <text>
        <r>
          <rPr>
            <b/>
            <sz val="9"/>
            <rFont val="宋体"/>
            <family val="3"/>
            <charset val="134"/>
          </rPr>
          <t>Kevin She:</t>
        </r>
        <r>
          <rPr>
            <sz val="9"/>
            <rFont val="宋体"/>
            <family val="3"/>
            <charset val="134"/>
          </rPr>
          <t xml:space="preserve">
楼梯重量</t>
        </r>
      </text>
    </comment>
    <comment ref="E445" authorId="0" shapeId="0" xr:uid="{00000000-0006-0000-0500-000067010000}">
      <text>
        <r>
          <rPr>
            <b/>
            <sz val="9"/>
            <rFont val="宋体"/>
            <family val="3"/>
            <charset val="134"/>
          </rPr>
          <t>Kevin She:</t>
        </r>
        <r>
          <rPr>
            <sz val="9"/>
            <rFont val="宋体"/>
            <family val="3"/>
            <charset val="134"/>
          </rPr>
          <t xml:space="preserve">
工费
</t>
        </r>
      </text>
    </comment>
    <comment ref="F445" authorId="0" shapeId="0" xr:uid="{00000000-0006-0000-0500-000068010000}">
      <text>
        <r>
          <rPr>
            <b/>
            <sz val="9"/>
            <rFont val="宋体"/>
            <family val="3"/>
            <charset val="134"/>
          </rPr>
          <t>Kevin She:</t>
        </r>
        <r>
          <rPr>
            <sz val="9"/>
            <rFont val="宋体"/>
            <family val="3"/>
            <charset val="134"/>
          </rPr>
          <t xml:space="preserve">
数量
</t>
        </r>
      </text>
    </comment>
    <comment ref="D446" authorId="0" shapeId="0" xr:uid="{00000000-0006-0000-0500-000069010000}">
      <text>
        <r>
          <rPr>
            <b/>
            <sz val="9"/>
            <rFont val="宋体"/>
            <family val="3"/>
            <charset val="134"/>
          </rPr>
          <t>Kevin She:</t>
        </r>
        <r>
          <rPr>
            <sz val="9"/>
            <rFont val="宋体"/>
            <family val="3"/>
            <charset val="134"/>
          </rPr>
          <t xml:space="preserve">
楼梯重量</t>
        </r>
      </text>
    </comment>
    <comment ref="E446" authorId="0" shapeId="0" xr:uid="{00000000-0006-0000-0500-00006A010000}">
      <text>
        <r>
          <rPr>
            <b/>
            <sz val="9"/>
            <rFont val="宋体"/>
            <family val="3"/>
            <charset val="134"/>
          </rPr>
          <t>Kevin She:</t>
        </r>
        <r>
          <rPr>
            <sz val="9"/>
            <rFont val="宋体"/>
            <family val="3"/>
            <charset val="134"/>
          </rPr>
          <t xml:space="preserve">
工费
</t>
        </r>
      </text>
    </comment>
    <comment ref="F446" authorId="0" shapeId="0" xr:uid="{00000000-0006-0000-0500-00006B010000}">
      <text>
        <r>
          <rPr>
            <b/>
            <sz val="9"/>
            <rFont val="宋体"/>
            <family val="3"/>
            <charset val="134"/>
          </rPr>
          <t>Kevin She:</t>
        </r>
        <r>
          <rPr>
            <sz val="9"/>
            <rFont val="宋体"/>
            <family val="3"/>
            <charset val="134"/>
          </rPr>
          <t xml:space="preserve">
数量
</t>
        </r>
      </text>
    </comment>
    <comment ref="D447" authorId="0" shapeId="0" xr:uid="{00000000-0006-0000-0500-00006C010000}">
      <text>
        <r>
          <rPr>
            <b/>
            <sz val="9"/>
            <rFont val="宋体"/>
            <family val="3"/>
            <charset val="134"/>
          </rPr>
          <t>Kevin She:</t>
        </r>
        <r>
          <rPr>
            <sz val="9"/>
            <rFont val="宋体"/>
            <family val="3"/>
            <charset val="134"/>
          </rPr>
          <t xml:space="preserve">
楼梯重量</t>
        </r>
      </text>
    </comment>
    <comment ref="E447" authorId="0" shapeId="0" xr:uid="{00000000-0006-0000-0500-00006D010000}">
      <text>
        <r>
          <rPr>
            <b/>
            <sz val="9"/>
            <rFont val="宋体"/>
            <family val="3"/>
            <charset val="134"/>
          </rPr>
          <t>Kevin She:</t>
        </r>
        <r>
          <rPr>
            <sz val="9"/>
            <rFont val="宋体"/>
            <family val="3"/>
            <charset val="134"/>
          </rPr>
          <t xml:space="preserve">
工费
</t>
        </r>
      </text>
    </comment>
    <comment ref="F447" authorId="0" shapeId="0" xr:uid="{00000000-0006-0000-0500-00006E010000}">
      <text>
        <r>
          <rPr>
            <b/>
            <sz val="9"/>
            <rFont val="宋体"/>
            <family val="3"/>
            <charset val="134"/>
          </rPr>
          <t>Kevin She:</t>
        </r>
        <r>
          <rPr>
            <sz val="9"/>
            <rFont val="宋体"/>
            <family val="3"/>
            <charset val="134"/>
          </rPr>
          <t xml:space="preserve">
数量
</t>
        </r>
      </text>
    </comment>
    <comment ref="D448" authorId="0" shapeId="0" xr:uid="{00000000-0006-0000-0500-00006F010000}">
      <text>
        <r>
          <rPr>
            <b/>
            <sz val="9"/>
            <rFont val="宋体"/>
            <family val="3"/>
            <charset val="134"/>
          </rPr>
          <t>Kevin She:</t>
        </r>
        <r>
          <rPr>
            <sz val="9"/>
            <rFont val="宋体"/>
            <family val="3"/>
            <charset val="134"/>
          </rPr>
          <t xml:space="preserve">
楼梯重量</t>
        </r>
      </text>
    </comment>
    <comment ref="E448" authorId="0" shapeId="0" xr:uid="{00000000-0006-0000-0500-000070010000}">
      <text>
        <r>
          <rPr>
            <b/>
            <sz val="9"/>
            <rFont val="宋体"/>
            <family val="3"/>
            <charset val="134"/>
          </rPr>
          <t>Kevin She:</t>
        </r>
        <r>
          <rPr>
            <sz val="9"/>
            <rFont val="宋体"/>
            <family val="3"/>
            <charset val="134"/>
          </rPr>
          <t xml:space="preserve">
工费
</t>
        </r>
      </text>
    </comment>
    <comment ref="F448" authorId="0" shapeId="0" xr:uid="{00000000-0006-0000-0500-000071010000}">
      <text>
        <r>
          <rPr>
            <b/>
            <sz val="9"/>
            <rFont val="宋体"/>
            <family val="3"/>
            <charset val="134"/>
          </rPr>
          <t>Kevin She:</t>
        </r>
        <r>
          <rPr>
            <sz val="9"/>
            <rFont val="宋体"/>
            <family val="3"/>
            <charset val="134"/>
          </rPr>
          <t xml:space="preserve">
数量
</t>
        </r>
      </text>
    </comment>
    <comment ref="D449" authorId="0" shapeId="0" xr:uid="{00000000-0006-0000-0500-000072010000}">
      <text>
        <r>
          <rPr>
            <b/>
            <sz val="9"/>
            <rFont val="宋体"/>
            <family val="3"/>
            <charset val="134"/>
          </rPr>
          <t>Kevin She:</t>
        </r>
        <r>
          <rPr>
            <sz val="9"/>
            <rFont val="宋体"/>
            <family val="3"/>
            <charset val="134"/>
          </rPr>
          <t xml:space="preserve">
楼梯重量</t>
        </r>
      </text>
    </comment>
    <comment ref="E449" authorId="0" shapeId="0" xr:uid="{00000000-0006-0000-0500-000073010000}">
      <text>
        <r>
          <rPr>
            <b/>
            <sz val="9"/>
            <rFont val="宋体"/>
            <family val="3"/>
            <charset val="134"/>
          </rPr>
          <t>Kevin She:</t>
        </r>
        <r>
          <rPr>
            <sz val="9"/>
            <rFont val="宋体"/>
            <family val="3"/>
            <charset val="134"/>
          </rPr>
          <t xml:space="preserve">
工费
</t>
        </r>
      </text>
    </comment>
    <comment ref="F449" authorId="0" shapeId="0" xr:uid="{00000000-0006-0000-0500-000074010000}">
      <text>
        <r>
          <rPr>
            <b/>
            <sz val="9"/>
            <rFont val="宋体"/>
            <family val="3"/>
            <charset val="134"/>
          </rPr>
          <t>Kevin She:</t>
        </r>
        <r>
          <rPr>
            <sz val="9"/>
            <rFont val="宋体"/>
            <family val="3"/>
            <charset val="134"/>
          </rPr>
          <t xml:space="preserve">
数量
</t>
        </r>
      </text>
    </comment>
    <comment ref="D450" authorId="0" shapeId="0" xr:uid="{00000000-0006-0000-0500-000075010000}">
      <text>
        <r>
          <rPr>
            <b/>
            <sz val="9"/>
            <rFont val="宋体"/>
            <family val="3"/>
            <charset val="134"/>
          </rPr>
          <t>Kevin She:</t>
        </r>
        <r>
          <rPr>
            <sz val="9"/>
            <rFont val="宋体"/>
            <family val="3"/>
            <charset val="134"/>
          </rPr>
          <t xml:space="preserve">
楼梯重量</t>
        </r>
      </text>
    </comment>
    <comment ref="E450" authorId="0" shapeId="0" xr:uid="{00000000-0006-0000-0500-000076010000}">
      <text>
        <r>
          <rPr>
            <b/>
            <sz val="9"/>
            <rFont val="宋体"/>
            <family val="3"/>
            <charset val="134"/>
          </rPr>
          <t>Kevin She:</t>
        </r>
        <r>
          <rPr>
            <sz val="9"/>
            <rFont val="宋体"/>
            <family val="3"/>
            <charset val="134"/>
          </rPr>
          <t xml:space="preserve">
工费
</t>
        </r>
      </text>
    </comment>
    <comment ref="F450" authorId="0" shapeId="0" xr:uid="{00000000-0006-0000-0500-000077010000}">
      <text>
        <r>
          <rPr>
            <b/>
            <sz val="9"/>
            <rFont val="宋体"/>
            <family val="3"/>
            <charset val="134"/>
          </rPr>
          <t>Kevin She:</t>
        </r>
        <r>
          <rPr>
            <sz val="9"/>
            <rFont val="宋体"/>
            <family val="3"/>
            <charset val="134"/>
          </rPr>
          <t xml:space="preserve">
数量
</t>
        </r>
      </text>
    </comment>
    <comment ref="D454" authorId="0" shapeId="0" xr:uid="{00000000-0006-0000-0500-000078010000}">
      <text>
        <r>
          <rPr>
            <b/>
            <sz val="9"/>
            <rFont val="宋体"/>
            <family val="3"/>
            <charset val="134"/>
          </rPr>
          <t>Kevin She:</t>
        </r>
        <r>
          <rPr>
            <sz val="9"/>
            <rFont val="宋体"/>
            <family val="3"/>
            <charset val="134"/>
          </rPr>
          <t xml:space="preserve">
楼梯重量</t>
        </r>
      </text>
    </comment>
    <comment ref="E454" authorId="0" shapeId="0" xr:uid="{00000000-0006-0000-0500-000079010000}">
      <text>
        <r>
          <rPr>
            <b/>
            <sz val="9"/>
            <rFont val="宋体"/>
            <family val="3"/>
            <charset val="134"/>
          </rPr>
          <t>Kevin She:</t>
        </r>
        <r>
          <rPr>
            <sz val="9"/>
            <rFont val="宋体"/>
            <family val="3"/>
            <charset val="134"/>
          </rPr>
          <t xml:space="preserve">
工费
</t>
        </r>
      </text>
    </comment>
    <comment ref="F454" authorId="0" shapeId="0" xr:uid="{00000000-0006-0000-0500-00007A010000}">
      <text>
        <r>
          <rPr>
            <b/>
            <sz val="9"/>
            <rFont val="宋体"/>
            <family val="3"/>
            <charset val="134"/>
          </rPr>
          <t>Kevin She:</t>
        </r>
        <r>
          <rPr>
            <sz val="9"/>
            <rFont val="宋体"/>
            <family val="3"/>
            <charset val="134"/>
          </rPr>
          <t xml:space="preserve">
数量
</t>
        </r>
      </text>
    </comment>
    <comment ref="D455" authorId="0" shapeId="0" xr:uid="{00000000-0006-0000-0500-00007B010000}">
      <text>
        <r>
          <rPr>
            <b/>
            <sz val="9"/>
            <rFont val="宋体"/>
            <family val="3"/>
            <charset val="134"/>
          </rPr>
          <t>Kevin She:</t>
        </r>
        <r>
          <rPr>
            <sz val="9"/>
            <rFont val="宋体"/>
            <family val="3"/>
            <charset val="134"/>
          </rPr>
          <t xml:space="preserve">
楼梯重量</t>
        </r>
      </text>
    </comment>
    <comment ref="E455" authorId="0" shapeId="0" xr:uid="{00000000-0006-0000-0500-00007C010000}">
      <text>
        <r>
          <rPr>
            <b/>
            <sz val="9"/>
            <rFont val="宋体"/>
            <family val="3"/>
            <charset val="134"/>
          </rPr>
          <t>Kevin She:</t>
        </r>
        <r>
          <rPr>
            <sz val="9"/>
            <rFont val="宋体"/>
            <family val="3"/>
            <charset val="134"/>
          </rPr>
          <t xml:space="preserve">
工费
</t>
        </r>
      </text>
    </comment>
    <comment ref="F455" authorId="0" shapeId="0" xr:uid="{00000000-0006-0000-0500-00007D010000}">
      <text>
        <r>
          <rPr>
            <b/>
            <sz val="9"/>
            <rFont val="宋体"/>
            <family val="3"/>
            <charset val="134"/>
          </rPr>
          <t>Kevin She:</t>
        </r>
        <r>
          <rPr>
            <sz val="9"/>
            <rFont val="宋体"/>
            <family val="3"/>
            <charset val="134"/>
          </rPr>
          <t xml:space="preserve">
数量
</t>
        </r>
      </text>
    </comment>
    <comment ref="D456" authorId="0" shapeId="0" xr:uid="{00000000-0006-0000-0500-00007E010000}">
      <text>
        <r>
          <rPr>
            <b/>
            <sz val="9"/>
            <rFont val="宋体"/>
            <family val="3"/>
            <charset val="134"/>
          </rPr>
          <t>Kevin She:</t>
        </r>
        <r>
          <rPr>
            <sz val="9"/>
            <rFont val="宋体"/>
            <family val="3"/>
            <charset val="134"/>
          </rPr>
          <t xml:space="preserve">
楼梯重量</t>
        </r>
      </text>
    </comment>
    <comment ref="E456" authorId="0" shapeId="0" xr:uid="{00000000-0006-0000-0500-00007F010000}">
      <text>
        <r>
          <rPr>
            <b/>
            <sz val="9"/>
            <rFont val="宋体"/>
            <family val="3"/>
            <charset val="134"/>
          </rPr>
          <t>Kevin She:</t>
        </r>
        <r>
          <rPr>
            <sz val="9"/>
            <rFont val="宋体"/>
            <family val="3"/>
            <charset val="134"/>
          </rPr>
          <t xml:space="preserve">
工费
</t>
        </r>
      </text>
    </comment>
    <comment ref="F456" authorId="0" shapeId="0" xr:uid="{00000000-0006-0000-0500-000080010000}">
      <text>
        <r>
          <rPr>
            <b/>
            <sz val="9"/>
            <rFont val="宋体"/>
            <family val="3"/>
            <charset val="134"/>
          </rPr>
          <t>Kevin She:</t>
        </r>
        <r>
          <rPr>
            <sz val="9"/>
            <rFont val="宋体"/>
            <family val="3"/>
            <charset val="134"/>
          </rPr>
          <t xml:space="preserve">
数量
</t>
        </r>
      </text>
    </comment>
    <comment ref="D457" authorId="0" shapeId="0" xr:uid="{00000000-0006-0000-0500-000081010000}">
      <text>
        <r>
          <rPr>
            <b/>
            <sz val="9"/>
            <rFont val="宋体"/>
            <family val="3"/>
            <charset val="134"/>
          </rPr>
          <t>Kevin She:</t>
        </r>
        <r>
          <rPr>
            <sz val="9"/>
            <rFont val="宋体"/>
            <family val="3"/>
            <charset val="134"/>
          </rPr>
          <t xml:space="preserve">
楼梯重量</t>
        </r>
      </text>
    </comment>
    <comment ref="E457" authorId="0" shapeId="0" xr:uid="{00000000-0006-0000-0500-000082010000}">
      <text>
        <r>
          <rPr>
            <b/>
            <sz val="9"/>
            <rFont val="宋体"/>
            <family val="3"/>
            <charset val="134"/>
          </rPr>
          <t>Kevin She:</t>
        </r>
        <r>
          <rPr>
            <sz val="9"/>
            <rFont val="宋体"/>
            <family val="3"/>
            <charset val="134"/>
          </rPr>
          <t xml:space="preserve">
工费
</t>
        </r>
      </text>
    </comment>
    <comment ref="F457" authorId="0" shapeId="0" xr:uid="{00000000-0006-0000-0500-000083010000}">
      <text>
        <r>
          <rPr>
            <b/>
            <sz val="9"/>
            <rFont val="宋体"/>
            <family val="3"/>
            <charset val="134"/>
          </rPr>
          <t>Kevin She:</t>
        </r>
        <r>
          <rPr>
            <sz val="9"/>
            <rFont val="宋体"/>
            <family val="3"/>
            <charset val="134"/>
          </rPr>
          <t xml:space="preserve">
数量
</t>
        </r>
      </text>
    </comment>
    <comment ref="D458" authorId="0" shapeId="0" xr:uid="{00000000-0006-0000-0500-000084010000}">
      <text>
        <r>
          <rPr>
            <b/>
            <sz val="9"/>
            <rFont val="宋体"/>
            <family val="3"/>
            <charset val="134"/>
          </rPr>
          <t>Kevin She:</t>
        </r>
        <r>
          <rPr>
            <sz val="9"/>
            <rFont val="宋体"/>
            <family val="3"/>
            <charset val="134"/>
          </rPr>
          <t xml:space="preserve">
楼梯重量</t>
        </r>
      </text>
    </comment>
    <comment ref="E458" authorId="0" shapeId="0" xr:uid="{00000000-0006-0000-0500-000085010000}">
      <text>
        <r>
          <rPr>
            <b/>
            <sz val="9"/>
            <rFont val="宋体"/>
            <family val="3"/>
            <charset val="134"/>
          </rPr>
          <t>Kevin She:</t>
        </r>
        <r>
          <rPr>
            <sz val="9"/>
            <rFont val="宋体"/>
            <family val="3"/>
            <charset val="134"/>
          </rPr>
          <t xml:space="preserve">
工费
</t>
        </r>
      </text>
    </comment>
    <comment ref="F458" authorId="0" shapeId="0" xr:uid="{00000000-0006-0000-0500-000086010000}">
      <text>
        <r>
          <rPr>
            <b/>
            <sz val="9"/>
            <rFont val="宋体"/>
            <family val="3"/>
            <charset val="134"/>
          </rPr>
          <t>Kevin She:</t>
        </r>
        <r>
          <rPr>
            <sz val="9"/>
            <rFont val="宋体"/>
            <family val="3"/>
            <charset val="134"/>
          </rPr>
          <t xml:space="preserve">
数量
</t>
        </r>
      </text>
    </comment>
    <comment ref="D459" authorId="0" shapeId="0" xr:uid="{00000000-0006-0000-0500-000087010000}">
      <text>
        <r>
          <rPr>
            <b/>
            <sz val="9"/>
            <rFont val="宋体"/>
            <family val="3"/>
            <charset val="134"/>
          </rPr>
          <t>Kevin She:</t>
        </r>
        <r>
          <rPr>
            <sz val="9"/>
            <rFont val="宋体"/>
            <family val="3"/>
            <charset val="134"/>
          </rPr>
          <t xml:space="preserve">
楼梯重量</t>
        </r>
      </text>
    </comment>
    <comment ref="E459" authorId="0" shapeId="0" xr:uid="{00000000-0006-0000-0500-000088010000}">
      <text>
        <r>
          <rPr>
            <b/>
            <sz val="9"/>
            <rFont val="宋体"/>
            <family val="3"/>
            <charset val="134"/>
          </rPr>
          <t>Kevin She:</t>
        </r>
        <r>
          <rPr>
            <sz val="9"/>
            <rFont val="宋体"/>
            <family val="3"/>
            <charset val="134"/>
          </rPr>
          <t xml:space="preserve">
工费
</t>
        </r>
      </text>
    </comment>
    <comment ref="F459" authorId="0" shapeId="0" xr:uid="{00000000-0006-0000-0500-000089010000}">
      <text>
        <r>
          <rPr>
            <b/>
            <sz val="9"/>
            <rFont val="宋体"/>
            <family val="3"/>
            <charset val="134"/>
          </rPr>
          <t>Kevin She:</t>
        </r>
        <r>
          <rPr>
            <sz val="9"/>
            <rFont val="宋体"/>
            <family val="3"/>
            <charset val="134"/>
          </rPr>
          <t xml:space="preserve">
数量
</t>
        </r>
      </text>
    </comment>
    <comment ref="D464" authorId="0" shapeId="0" xr:uid="{00000000-0006-0000-0500-00008A010000}">
      <text>
        <r>
          <rPr>
            <b/>
            <sz val="9"/>
            <rFont val="宋体"/>
            <family val="3"/>
            <charset val="134"/>
          </rPr>
          <t>Kevin She:</t>
        </r>
        <r>
          <rPr>
            <sz val="9"/>
            <rFont val="宋体"/>
            <family val="3"/>
            <charset val="134"/>
          </rPr>
          <t xml:space="preserve">
重量</t>
        </r>
      </text>
    </comment>
    <comment ref="E464" authorId="0" shapeId="0" xr:uid="{00000000-0006-0000-0500-00008B010000}">
      <text>
        <r>
          <rPr>
            <b/>
            <sz val="9"/>
            <rFont val="宋体"/>
            <family val="3"/>
            <charset val="134"/>
          </rPr>
          <t>Kevin She:</t>
        </r>
        <r>
          <rPr>
            <sz val="9"/>
            <rFont val="宋体"/>
            <family val="3"/>
            <charset val="134"/>
          </rPr>
          <t xml:space="preserve">
重量</t>
        </r>
      </text>
    </comment>
    <comment ref="F464" authorId="0" shapeId="0" xr:uid="{00000000-0006-0000-0500-00008C010000}">
      <text>
        <r>
          <rPr>
            <b/>
            <sz val="9"/>
            <rFont val="宋体"/>
            <family val="3"/>
            <charset val="134"/>
          </rPr>
          <t>Kevin She:</t>
        </r>
        <r>
          <rPr>
            <sz val="9"/>
            <rFont val="宋体"/>
            <family val="3"/>
            <charset val="134"/>
          </rPr>
          <t xml:space="preserve">
数量
</t>
        </r>
      </text>
    </comment>
    <comment ref="D466" authorId="0" shapeId="0" xr:uid="{00000000-0006-0000-0500-00008D010000}">
      <text>
        <r>
          <rPr>
            <b/>
            <sz val="9"/>
            <rFont val="宋体"/>
            <family val="3"/>
            <charset val="134"/>
          </rPr>
          <t>Kevin She:</t>
        </r>
        <r>
          <rPr>
            <sz val="9"/>
            <rFont val="宋体"/>
            <family val="3"/>
            <charset val="134"/>
          </rPr>
          <t xml:space="preserve">
工费单价</t>
        </r>
      </text>
    </comment>
    <comment ref="D467" authorId="0" shapeId="0" xr:uid="{00000000-0006-0000-0500-00008E010000}">
      <text>
        <r>
          <rPr>
            <b/>
            <sz val="9"/>
            <rFont val="宋体"/>
            <family val="3"/>
            <charset val="134"/>
          </rPr>
          <t>Kevin She:</t>
        </r>
        <r>
          <rPr>
            <sz val="9"/>
            <rFont val="宋体"/>
            <family val="3"/>
            <charset val="134"/>
          </rPr>
          <t xml:space="preserve">
喷塑单价</t>
        </r>
      </text>
    </comment>
    <comment ref="E467" authorId="0" shapeId="0" xr:uid="{00000000-0006-0000-0500-00008F010000}">
      <text>
        <r>
          <rPr>
            <b/>
            <sz val="9"/>
            <rFont val="宋体"/>
            <family val="3"/>
            <charset val="134"/>
          </rPr>
          <t>Kevin She:</t>
        </r>
        <r>
          <rPr>
            <sz val="9"/>
            <rFont val="宋体"/>
            <family val="3"/>
            <charset val="134"/>
          </rPr>
          <t xml:space="preserve">
标准件单价</t>
        </r>
      </text>
    </comment>
    <comment ref="D471" authorId="0" shapeId="0" xr:uid="{00000000-0006-0000-0500-000090010000}">
      <text>
        <r>
          <rPr>
            <b/>
            <sz val="9"/>
            <rFont val="宋体"/>
            <family val="3"/>
            <charset val="134"/>
          </rPr>
          <t>Kevin She:</t>
        </r>
        <r>
          <rPr>
            <sz val="9"/>
            <rFont val="宋体"/>
            <family val="3"/>
            <charset val="134"/>
          </rPr>
          <t xml:space="preserve">
楼梯重量</t>
        </r>
      </text>
    </comment>
    <comment ref="E471" authorId="0" shapeId="0" xr:uid="{00000000-0006-0000-0500-000091010000}">
      <text>
        <r>
          <rPr>
            <b/>
            <sz val="9"/>
            <rFont val="宋体"/>
            <family val="3"/>
            <charset val="134"/>
          </rPr>
          <t>Kevin She:</t>
        </r>
        <r>
          <rPr>
            <sz val="9"/>
            <rFont val="宋体"/>
            <family val="3"/>
            <charset val="134"/>
          </rPr>
          <t xml:space="preserve">
工费
</t>
        </r>
      </text>
    </comment>
    <comment ref="F471" authorId="0" shapeId="0" xr:uid="{00000000-0006-0000-0500-000092010000}">
      <text>
        <r>
          <rPr>
            <b/>
            <sz val="9"/>
            <rFont val="宋体"/>
            <family val="3"/>
            <charset val="134"/>
          </rPr>
          <t>Kevin She:</t>
        </r>
        <r>
          <rPr>
            <sz val="9"/>
            <rFont val="宋体"/>
            <family val="3"/>
            <charset val="134"/>
          </rPr>
          <t xml:space="preserve">
数量
</t>
        </r>
      </text>
    </comment>
    <comment ref="C472" authorId="0" shapeId="0" xr:uid="{00000000-0006-0000-0500-000093010000}">
      <text>
        <r>
          <rPr>
            <b/>
            <sz val="9"/>
            <rFont val="宋体"/>
            <family val="3"/>
            <charset val="134"/>
          </rPr>
          <t>Kevin She:</t>
        </r>
        <r>
          <rPr>
            <sz val="9"/>
            <rFont val="宋体"/>
            <family val="3"/>
            <charset val="134"/>
          </rPr>
          <t xml:space="preserve">
重量</t>
        </r>
      </text>
    </comment>
    <comment ref="D472" authorId="0" shapeId="0" xr:uid="{00000000-0006-0000-0500-000094010000}">
      <text>
        <r>
          <rPr>
            <b/>
            <sz val="9"/>
            <rFont val="宋体"/>
            <family val="3"/>
            <charset val="134"/>
          </rPr>
          <t>Kevin She:</t>
        </r>
        <r>
          <rPr>
            <sz val="9"/>
            <rFont val="宋体"/>
            <family val="3"/>
            <charset val="134"/>
          </rPr>
          <t xml:space="preserve">
喷塑单价</t>
        </r>
      </text>
    </comment>
    <comment ref="E472" authorId="0" shapeId="0" xr:uid="{00000000-0006-0000-0500-000095010000}">
      <text>
        <r>
          <rPr>
            <b/>
            <sz val="9"/>
            <rFont val="宋体"/>
            <family val="3"/>
            <charset val="134"/>
          </rPr>
          <t>Kevin She:</t>
        </r>
        <r>
          <rPr>
            <sz val="9"/>
            <rFont val="宋体"/>
            <family val="3"/>
            <charset val="134"/>
          </rPr>
          <t xml:space="preserve">
标准件单价</t>
        </r>
      </text>
    </comment>
    <comment ref="D476" authorId="0" shapeId="0" xr:uid="{00000000-0006-0000-0500-000096010000}">
      <text>
        <r>
          <rPr>
            <b/>
            <sz val="9"/>
            <rFont val="宋体"/>
            <family val="3"/>
            <charset val="134"/>
          </rPr>
          <t>Kevin She:</t>
        </r>
        <r>
          <rPr>
            <sz val="9"/>
            <rFont val="宋体"/>
            <family val="3"/>
            <charset val="134"/>
          </rPr>
          <t xml:space="preserve">
护脚单价</t>
        </r>
      </text>
    </comment>
    <comment ref="F476" authorId="0" shapeId="0" xr:uid="{00000000-0006-0000-0500-000097010000}">
      <text>
        <r>
          <rPr>
            <b/>
            <sz val="9"/>
            <rFont val="宋体"/>
            <family val="3"/>
            <charset val="134"/>
          </rPr>
          <t>Kevin She:</t>
        </r>
        <r>
          <rPr>
            <sz val="9"/>
            <rFont val="宋体"/>
            <family val="3"/>
            <charset val="134"/>
          </rPr>
          <t xml:space="preserve">
数量
</t>
        </r>
      </text>
    </comment>
    <comment ref="C477" authorId="0" shapeId="0" xr:uid="{00000000-0006-0000-0500-000098010000}">
      <text>
        <r>
          <rPr>
            <b/>
            <sz val="9"/>
            <rFont val="宋体"/>
            <family val="3"/>
            <charset val="134"/>
          </rPr>
          <t>Kevin She:</t>
        </r>
        <r>
          <rPr>
            <sz val="9"/>
            <rFont val="宋体"/>
            <family val="3"/>
            <charset val="134"/>
          </rPr>
          <t xml:space="preserve">
重量</t>
        </r>
      </text>
    </comment>
    <comment ref="D477" authorId="0" shapeId="0" xr:uid="{00000000-0006-0000-0500-000099010000}">
      <text>
        <r>
          <rPr>
            <b/>
            <sz val="9"/>
            <rFont val="宋体"/>
            <family val="3"/>
            <charset val="134"/>
          </rPr>
          <t>Kevin She:</t>
        </r>
        <r>
          <rPr>
            <sz val="9"/>
            <rFont val="宋体"/>
            <family val="3"/>
            <charset val="134"/>
          </rPr>
          <t xml:space="preserve">
喷塑单价</t>
        </r>
      </text>
    </comment>
    <comment ref="E477" authorId="0" shapeId="0" xr:uid="{00000000-0006-0000-0500-00009A010000}">
      <text>
        <r>
          <rPr>
            <b/>
            <sz val="9"/>
            <rFont val="宋体"/>
            <family val="3"/>
            <charset val="134"/>
          </rPr>
          <t>Kevin She:</t>
        </r>
        <r>
          <rPr>
            <sz val="9"/>
            <rFont val="宋体"/>
            <family val="3"/>
            <charset val="134"/>
          </rPr>
          <t xml:space="preserve">
标准件单价</t>
        </r>
      </text>
    </comment>
    <comment ref="C481" authorId="0" shapeId="0" xr:uid="{00000000-0006-0000-0500-00009B010000}">
      <text>
        <r>
          <rPr>
            <b/>
            <sz val="9"/>
            <rFont val="宋体"/>
            <family val="3"/>
            <charset val="134"/>
          </rPr>
          <t>Kevin She:</t>
        </r>
        <r>
          <rPr>
            <sz val="9"/>
            <rFont val="宋体"/>
            <family val="3"/>
            <charset val="134"/>
          </rPr>
          <t xml:space="preserve">
重量</t>
        </r>
      </text>
    </comment>
    <comment ref="D481" authorId="0" shapeId="0" xr:uid="{00000000-0006-0000-0500-00009C010000}">
      <text>
        <r>
          <rPr>
            <b/>
            <sz val="9"/>
            <rFont val="宋体"/>
            <family val="3"/>
            <charset val="134"/>
          </rPr>
          <t>Kevin She:</t>
        </r>
        <r>
          <rPr>
            <sz val="9"/>
            <rFont val="宋体"/>
            <family val="3"/>
            <charset val="134"/>
          </rPr>
          <t xml:space="preserve">
材料单价</t>
        </r>
      </text>
    </comment>
    <comment ref="E481" authorId="0" shapeId="0" xr:uid="{00000000-0006-0000-0500-00009D010000}">
      <text>
        <r>
          <rPr>
            <b/>
            <sz val="9"/>
            <rFont val="宋体"/>
            <family val="3"/>
            <charset val="134"/>
          </rPr>
          <t>Kevin She:</t>
        </r>
        <r>
          <rPr>
            <sz val="9"/>
            <rFont val="宋体"/>
            <family val="3"/>
            <charset val="134"/>
          </rPr>
          <t xml:space="preserve">
喷塑单价</t>
        </r>
      </text>
    </comment>
    <comment ref="F481" authorId="0" shapeId="0" xr:uid="{00000000-0006-0000-0500-00009E010000}">
      <text>
        <r>
          <rPr>
            <b/>
            <sz val="9"/>
            <rFont val="宋体"/>
            <family val="3"/>
            <charset val="134"/>
          </rPr>
          <t>Kevin She:</t>
        </r>
        <r>
          <rPr>
            <sz val="9"/>
            <rFont val="宋体"/>
            <family val="3"/>
            <charset val="134"/>
          </rPr>
          <t xml:space="preserve">
标准件单价
</t>
        </r>
      </text>
    </comment>
    <comment ref="C482" authorId="0" shapeId="0" xr:uid="{00000000-0006-0000-0500-00009F010000}">
      <text>
        <r>
          <rPr>
            <b/>
            <sz val="9"/>
            <rFont val="宋体"/>
            <family val="3"/>
            <charset val="134"/>
          </rPr>
          <t>Kevin She:</t>
        </r>
        <r>
          <rPr>
            <sz val="9"/>
            <rFont val="宋体"/>
            <family val="3"/>
            <charset val="134"/>
          </rPr>
          <t xml:space="preserve">
L,长</t>
        </r>
      </text>
    </comment>
    <comment ref="D482" authorId="0" shapeId="0" xr:uid="{00000000-0006-0000-0500-0000A0010000}">
      <text>
        <r>
          <rPr>
            <b/>
            <sz val="9"/>
            <rFont val="宋体"/>
            <family val="3"/>
            <charset val="134"/>
          </rPr>
          <t>Kevin She:</t>
        </r>
        <r>
          <rPr>
            <sz val="9"/>
            <rFont val="宋体"/>
            <family val="3"/>
            <charset val="134"/>
          </rPr>
          <t xml:space="preserve">
根数</t>
        </r>
      </text>
    </comment>
    <comment ref="E482" authorId="0" shapeId="0" xr:uid="{00000000-0006-0000-0500-0000A1010000}">
      <text>
        <r>
          <rPr>
            <b/>
            <sz val="9"/>
            <rFont val="宋体"/>
            <family val="3"/>
            <charset val="134"/>
          </rPr>
          <t>Kevin She:</t>
        </r>
        <r>
          <rPr>
            <sz val="9"/>
            <rFont val="宋体"/>
            <family val="3"/>
            <charset val="134"/>
          </rPr>
          <t xml:space="preserve">
高</t>
        </r>
      </text>
    </comment>
    <comment ref="F482" authorId="0" shapeId="0" xr:uid="{00000000-0006-0000-0500-0000A2010000}">
      <text>
        <r>
          <rPr>
            <b/>
            <sz val="9"/>
            <rFont val="宋体"/>
            <family val="3"/>
            <charset val="134"/>
          </rPr>
          <t>Kevin She:</t>
        </r>
        <r>
          <rPr>
            <sz val="9"/>
            <rFont val="宋体"/>
            <family val="3"/>
            <charset val="134"/>
          </rPr>
          <t xml:space="preserve">
根数</t>
        </r>
      </text>
    </comment>
    <comment ref="D486" authorId="0" shapeId="0" xr:uid="{00000000-0006-0000-0500-0000A3010000}">
      <text>
        <r>
          <rPr>
            <b/>
            <sz val="9"/>
            <rFont val="宋体"/>
            <family val="3"/>
            <charset val="134"/>
          </rPr>
          <t>Kevin She:</t>
        </r>
        <r>
          <rPr>
            <sz val="9"/>
            <rFont val="宋体"/>
            <family val="3"/>
            <charset val="134"/>
          </rPr>
          <t xml:space="preserve">
护脚单价</t>
        </r>
      </text>
    </comment>
    <comment ref="F486" authorId="0" shapeId="0" xr:uid="{00000000-0006-0000-0500-0000A4010000}">
      <text>
        <r>
          <rPr>
            <b/>
            <sz val="9"/>
            <rFont val="宋体"/>
            <family val="3"/>
            <charset val="134"/>
          </rPr>
          <t>Kevin She:</t>
        </r>
        <r>
          <rPr>
            <sz val="9"/>
            <rFont val="宋体"/>
            <family val="3"/>
            <charset val="134"/>
          </rPr>
          <t xml:space="preserve">
数量
</t>
        </r>
      </text>
    </comment>
    <comment ref="C487" authorId="0" shapeId="0" xr:uid="{00000000-0006-0000-0500-0000A5010000}">
      <text>
        <r>
          <rPr>
            <b/>
            <sz val="9"/>
            <rFont val="宋体"/>
            <family val="3"/>
            <charset val="134"/>
          </rPr>
          <t>Kevin She:</t>
        </r>
        <r>
          <rPr>
            <sz val="9"/>
            <rFont val="宋体"/>
            <family val="3"/>
            <charset val="134"/>
          </rPr>
          <t xml:space="preserve">
重量</t>
        </r>
      </text>
    </comment>
    <comment ref="D487" authorId="0" shapeId="0" xr:uid="{00000000-0006-0000-0500-0000A6010000}">
      <text>
        <r>
          <rPr>
            <b/>
            <sz val="9"/>
            <rFont val="宋体"/>
            <family val="3"/>
            <charset val="134"/>
          </rPr>
          <t>Kevin She:</t>
        </r>
        <r>
          <rPr>
            <sz val="9"/>
            <rFont val="宋体"/>
            <family val="3"/>
            <charset val="134"/>
          </rPr>
          <t xml:space="preserve">
喷塑单价</t>
        </r>
      </text>
    </comment>
    <comment ref="E487" authorId="0" shapeId="0" xr:uid="{00000000-0006-0000-0500-0000A7010000}">
      <text>
        <r>
          <rPr>
            <b/>
            <sz val="9"/>
            <rFont val="宋体"/>
            <family val="3"/>
            <charset val="134"/>
          </rPr>
          <t>Kevin She:</t>
        </r>
        <r>
          <rPr>
            <sz val="9"/>
            <rFont val="宋体"/>
            <family val="3"/>
            <charset val="134"/>
          </rPr>
          <t xml:space="preserve">
标准件单价</t>
        </r>
      </text>
    </comment>
    <comment ref="C492" authorId="0" shapeId="0" xr:uid="{00000000-0006-0000-0500-0000A8010000}">
      <text>
        <r>
          <rPr>
            <b/>
            <sz val="9"/>
            <rFont val="宋体"/>
            <family val="3"/>
            <charset val="134"/>
          </rPr>
          <t>Kevin She:</t>
        </r>
        <r>
          <rPr>
            <sz val="9"/>
            <rFont val="宋体"/>
            <family val="3"/>
            <charset val="134"/>
          </rPr>
          <t xml:space="preserve">
采购件名称</t>
        </r>
      </text>
    </comment>
    <comment ref="D492" authorId="0" shapeId="0" xr:uid="{00000000-0006-0000-0500-0000A9010000}">
      <text>
        <r>
          <rPr>
            <b/>
            <sz val="9"/>
            <rFont val="宋体"/>
            <family val="3"/>
            <charset val="134"/>
          </rPr>
          <t>Kevin She:</t>
        </r>
        <r>
          <rPr>
            <sz val="9"/>
            <rFont val="宋体"/>
            <family val="3"/>
            <charset val="134"/>
          </rPr>
          <t xml:space="preserve">
含税价 13%税率</t>
        </r>
      </text>
    </comment>
    <comment ref="C493" authorId="0" shapeId="0" xr:uid="{00000000-0006-0000-0500-0000AA010000}">
      <text>
        <r>
          <rPr>
            <b/>
            <sz val="9"/>
            <rFont val="宋体"/>
            <family val="3"/>
            <charset val="134"/>
          </rPr>
          <t>Kevin She:</t>
        </r>
        <r>
          <rPr>
            <sz val="9"/>
            <rFont val="宋体"/>
            <family val="3"/>
            <charset val="134"/>
          </rPr>
          <t xml:space="preserve">
采购件名称</t>
        </r>
      </text>
    </comment>
    <comment ref="D493" authorId="0" shapeId="0" xr:uid="{00000000-0006-0000-0500-0000AB010000}">
      <text>
        <r>
          <rPr>
            <b/>
            <sz val="9"/>
            <rFont val="宋体"/>
            <family val="3"/>
            <charset val="134"/>
          </rPr>
          <t>Kevin She:</t>
        </r>
        <r>
          <rPr>
            <sz val="9"/>
            <rFont val="宋体"/>
            <family val="3"/>
            <charset val="134"/>
          </rPr>
          <t xml:space="preserve">
含税价，6%税率</t>
        </r>
      </text>
    </comment>
    <comment ref="D498" authorId="0" shapeId="0" xr:uid="{00000000-0006-0000-0500-0000AC010000}">
      <text>
        <r>
          <rPr>
            <b/>
            <sz val="9"/>
            <rFont val="宋体"/>
            <family val="3"/>
            <charset val="134"/>
          </rPr>
          <t>Kevin She:</t>
        </r>
        <r>
          <rPr>
            <sz val="9"/>
            <rFont val="宋体"/>
            <family val="3"/>
            <charset val="134"/>
          </rPr>
          <t xml:space="preserve">
重量</t>
        </r>
      </text>
    </comment>
    <comment ref="E498" authorId="0" shapeId="0" xr:uid="{00000000-0006-0000-0500-0000AD010000}">
      <text>
        <r>
          <rPr>
            <b/>
            <sz val="9"/>
            <rFont val="宋体"/>
            <family val="3"/>
            <charset val="134"/>
          </rPr>
          <t>Kevin She:</t>
        </r>
        <r>
          <rPr>
            <sz val="9"/>
            <rFont val="宋体"/>
            <family val="3"/>
            <charset val="134"/>
          </rPr>
          <t xml:space="preserve">
工费单价</t>
        </r>
      </text>
    </comment>
    <comment ref="F498" authorId="0" shapeId="0" xr:uid="{00000000-0006-0000-0500-0000AE010000}">
      <text>
        <r>
          <rPr>
            <b/>
            <sz val="9"/>
            <rFont val="宋体"/>
            <family val="3"/>
            <charset val="134"/>
          </rPr>
          <t>Kevin She:</t>
        </r>
        <r>
          <rPr>
            <sz val="9"/>
            <rFont val="宋体"/>
            <family val="3"/>
            <charset val="134"/>
          </rPr>
          <t xml:space="preserve">
数量
</t>
        </r>
      </text>
    </comment>
    <comment ref="C499" authorId="0" shapeId="0" xr:uid="{00000000-0006-0000-0500-0000AF010000}">
      <text>
        <r>
          <rPr>
            <b/>
            <sz val="9"/>
            <rFont val="宋体"/>
            <family val="3"/>
            <charset val="134"/>
          </rPr>
          <t>Kevin She:</t>
        </r>
        <r>
          <rPr>
            <sz val="9"/>
            <rFont val="宋体"/>
            <family val="3"/>
            <charset val="134"/>
          </rPr>
          <t xml:space="preserve">
重量</t>
        </r>
      </text>
    </comment>
    <comment ref="D499" authorId="0" shapeId="0" xr:uid="{00000000-0006-0000-0500-0000B0010000}">
      <text>
        <r>
          <rPr>
            <b/>
            <sz val="9"/>
            <rFont val="宋体"/>
            <family val="3"/>
            <charset val="134"/>
          </rPr>
          <t>Kevin She:</t>
        </r>
        <r>
          <rPr>
            <sz val="9"/>
            <rFont val="宋体"/>
            <family val="3"/>
            <charset val="134"/>
          </rPr>
          <t xml:space="preserve">
喷塑单价</t>
        </r>
      </text>
    </comment>
    <comment ref="E499" authorId="0" shapeId="0" xr:uid="{00000000-0006-0000-0500-0000B1010000}">
      <text>
        <r>
          <rPr>
            <b/>
            <sz val="9"/>
            <rFont val="宋体"/>
            <family val="3"/>
            <charset val="134"/>
          </rPr>
          <t>Kevin She:</t>
        </r>
        <r>
          <rPr>
            <sz val="9"/>
            <rFont val="宋体"/>
            <family val="3"/>
            <charset val="134"/>
          </rPr>
          <t xml:space="preserve">
标准件单价</t>
        </r>
      </text>
    </comment>
    <comment ref="D503" authorId="0" shapeId="0" xr:uid="{00000000-0006-0000-0500-0000B2010000}">
      <text>
        <r>
          <rPr>
            <b/>
            <sz val="9"/>
            <rFont val="宋体"/>
            <family val="3"/>
            <charset val="134"/>
          </rPr>
          <t>Kevin She:</t>
        </r>
        <r>
          <rPr>
            <sz val="9"/>
            <rFont val="宋体"/>
            <family val="3"/>
            <charset val="134"/>
          </rPr>
          <t xml:space="preserve">
长</t>
        </r>
      </text>
    </comment>
    <comment ref="E503" authorId="0" shapeId="0" xr:uid="{00000000-0006-0000-0500-0000B3010000}">
      <text>
        <r>
          <rPr>
            <b/>
            <sz val="9"/>
            <rFont val="宋体"/>
            <family val="3"/>
            <charset val="134"/>
          </rPr>
          <t>Kevin She:</t>
        </r>
        <r>
          <rPr>
            <sz val="9"/>
            <rFont val="宋体"/>
            <family val="3"/>
            <charset val="134"/>
          </rPr>
          <t xml:space="preserve">
宽</t>
        </r>
      </text>
    </comment>
    <comment ref="F503" authorId="0" shapeId="0" xr:uid="{00000000-0006-0000-0500-0000B4010000}">
      <text>
        <r>
          <rPr>
            <b/>
            <sz val="9"/>
            <rFont val="宋体"/>
            <family val="3"/>
            <charset val="134"/>
          </rPr>
          <t>Kevin She:</t>
        </r>
        <r>
          <rPr>
            <sz val="9"/>
            <rFont val="宋体"/>
            <family val="3"/>
            <charset val="134"/>
          </rPr>
          <t xml:space="preserve">
数量
</t>
        </r>
      </text>
    </comment>
    <comment ref="C504" authorId="0" shapeId="0" xr:uid="{00000000-0006-0000-0500-0000B5010000}">
      <text>
        <r>
          <rPr>
            <b/>
            <sz val="9"/>
            <rFont val="宋体"/>
            <family val="3"/>
            <charset val="134"/>
          </rPr>
          <t>Kevin She:</t>
        </r>
        <r>
          <rPr>
            <sz val="9"/>
            <rFont val="宋体"/>
            <family val="3"/>
            <charset val="134"/>
          </rPr>
          <t xml:space="preserve">
重量</t>
        </r>
      </text>
    </comment>
    <comment ref="D504" authorId="0" shapeId="0" xr:uid="{00000000-0006-0000-0500-0000B6010000}">
      <text>
        <r>
          <rPr>
            <b/>
            <sz val="9"/>
            <rFont val="宋体"/>
            <family val="3"/>
            <charset val="134"/>
          </rPr>
          <t>Kevin She:</t>
        </r>
        <r>
          <rPr>
            <sz val="9"/>
            <rFont val="宋体"/>
            <family val="3"/>
            <charset val="134"/>
          </rPr>
          <t xml:space="preserve">
重量</t>
        </r>
      </text>
    </comment>
    <comment ref="E504" authorId="0" shapeId="0" xr:uid="{00000000-0006-0000-0500-0000B7010000}">
      <text>
        <r>
          <rPr>
            <b/>
            <sz val="9"/>
            <rFont val="宋体"/>
            <family val="3"/>
            <charset val="134"/>
          </rPr>
          <t>Kevin She:</t>
        </r>
        <r>
          <rPr>
            <sz val="9"/>
            <rFont val="宋体"/>
            <family val="3"/>
            <charset val="134"/>
          </rPr>
          <t xml:space="preserve">
工费单价</t>
        </r>
      </text>
    </comment>
    <comment ref="C505" authorId="0" shapeId="0" xr:uid="{00000000-0006-0000-0500-0000B8010000}">
      <text>
        <r>
          <rPr>
            <b/>
            <sz val="9"/>
            <rFont val="宋体"/>
            <family val="3"/>
            <charset val="134"/>
          </rPr>
          <t>Kevin She:</t>
        </r>
        <r>
          <rPr>
            <sz val="9"/>
            <rFont val="宋体"/>
            <family val="3"/>
            <charset val="134"/>
          </rPr>
          <t xml:space="preserve">
片数</t>
        </r>
      </text>
    </comment>
    <comment ref="D505" authorId="0" shapeId="0" xr:uid="{00000000-0006-0000-0500-0000B9010000}">
      <text>
        <r>
          <rPr>
            <b/>
            <sz val="9"/>
            <rFont val="宋体"/>
            <family val="3"/>
            <charset val="134"/>
          </rPr>
          <t>Kevin She:</t>
        </r>
        <r>
          <rPr>
            <sz val="9"/>
            <rFont val="宋体"/>
            <family val="3"/>
            <charset val="134"/>
          </rPr>
          <t xml:space="preserve">
喷塑单价</t>
        </r>
      </text>
    </comment>
    <comment ref="E505" authorId="0" shapeId="0" xr:uid="{00000000-0006-0000-0500-0000BA010000}">
      <text>
        <r>
          <rPr>
            <b/>
            <sz val="9"/>
            <rFont val="宋体"/>
            <family val="3"/>
            <charset val="134"/>
          </rPr>
          <t>Kevin She:</t>
        </r>
        <r>
          <rPr>
            <sz val="9"/>
            <rFont val="宋体"/>
            <family val="3"/>
            <charset val="134"/>
          </rPr>
          <t xml:space="preserve">
标准件单价</t>
        </r>
      </text>
    </comment>
    <comment ref="D514" authorId="0" shapeId="0" xr:uid="{00000000-0006-0000-0500-0000BB010000}">
      <text>
        <r>
          <rPr>
            <b/>
            <sz val="9"/>
            <rFont val="宋体"/>
            <family val="3"/>
            <charset val="134"/>
          </rPr>
          <t>Kevin She:</t>
        </r>
        <r>
          <rPr>
            <sz val="9"/>
            <rFont val="宋体"/>
            <family val="3"/>
            <charset val="134"/>
          </rPr>
          <t xml:space="preserve">
长</t>
        </r>
      </text>
    </comment>
    <comment ref="E514" authorId="0" shapeId="0" xr:uid="{00000000-0006-0000-0500-0000BC010000}">
      <text>
        <r>
          <rPr>
            <b/>
            <sz val="9"/>
            <rFont val="宋体"/>
            <family val="3"/>
            <charset val="134"/>
          </rPr>
          <t>Kevin She:</t>
        </r>
        <r>
          <rPr>
            <sz val="9"/>
            <rFont val="宋体"/>
            <family val="3"/>
            <charset val="134"/>
          </rPr>
          <t xml:space="preserve">
宽</t>
        </r>
      </text>
    </comment>
    <comment ref="F514" authorId="0" shapeId="0" xr:uid="{00000000-0006-0000-0500-0000BD010000}">
      <text>
        <r>
          <rPr>
            <b/>
            <sz val="9"/>
            <rFont val="宋体"/>
            <family val="3"/>
            <charset val="134"/>
          </rPr>
          <t>Kevin She:</t>
        </r>
        <r>
          <rPr>
            <sz val="9"/>
            <rFont val="宋体"/>
            <family val="3"/>
            <charset val="134"/>
          </rPr>
          <t xml:space="preserve">
数量
</t>
        </r>
      </text>
    </comment>
    <comment ref="C515" authorId="0" shapeId="0" xr:uid="{00000000-0006-0000-0500-0000BE010000}">
      <text>
        <r>
          <rPr>
            <b/>
            <sz val="9"/>
            <rFont val="宋体"/>
            <family val="3"/>
            <charset val="134"/>
          </rPr>
          <t>Kevin She:</t>
        </r>
        <r>
          <rPr>
            <sz val="9"/>
            <rFont val="宋体"/>
            <family val="3"/>
            <charset val="134"/>
          </rPr>
          <t xml:space="preserve">
重量</t>
        </r>
      </text>
    </comment>
    <comment ref="D515" authorId="0" shapeId="0" xr:uid="{00000000-0006-0000-0500-0000BF010000}">
      <text>
        <r>
          <rPr>
            <b/>
            <sz val="9"/>
            <rFont val="宋体"/>
            <family val="3"/>
            <charset val="134"/>
          </rPr>
          <t>Kevin She:</t>
        </r>
        <r>
          <rPr>
            <sz val="9"/>
            <rFont val="宋体"/>
            <family val="3"/>
            <charset val="134"/>
          </rPr>
          <t xml:space="preserve">
重量</t>
        </r>
      </text>
    </comment>
    <comment ref="E515" authorId="0" shapeId="0" xr:uid="{00000000-0006-0000-0500-0000C0010000}">
      <text>
        <r>
          <rPr>
            <b/>
            <sz val="9"/>
            <rFont val="宋体"/>
            <family val="3"/>
            <charset val="134"/>
          </rPr>
          <t>Kevin She:</t>
        </r>
        <r>
          <rPr>
            <sz val="9"/>
            <rFont val="宋体"/>
            <family val="3"/>
            <charset val="134"/>
          </rPr>
          <t xml:space="preserve">
工费单价</t>
        </r>
      </text>
    </comment>
    <comment ref="C516" authorId="0" shapeId="0" xr:uid="{00000000-0006-0000-0500-0000C1010000}">
      <text>
        <r>
          <rPr>
            <b/>
            <sz val="9"/>
            <rFont val="宋体"/>
            <family val="3"/>
            <charset val="134"/>
          </rPr>
          <t>Kevin She:</t>
        </r>
        <r>
          <rPr>
            <sz val="9"/>
            <rFont val="宋体"/>
            <family val="3"/>
            <charset val="134"/>
          </rPr>
          <t xml:space="preserve">
片数</t>
        </r>
      </text>
    </comment>
    <comment ref="D516" authorId="0" shapeId="0" xr:uid="{00000000-0006-0000-0500-0000C2010000}">
      <text>
        <r>
          <rPr>
            <b/>
            <sz val="9"/>
            <rFont val="宋体"/>
            <family val="3"/>
            <charset val="134"/>
          </rPr>
          <t>Kevin She:</t>
        </r>
        <r>
          <rPr>
            <sz val="9"/>
            <rFont val="宋体"/>
            <family val="3"/>
            <charset val="134"/>
          </rPr>
          <t xml:space="preserve">
喷塑单价</t>
        </r>
      </text>
    </comment>
    <comment ref="E516" authorId="0" shapeId="0" xr:uid="{00000000-0006-0000-0500-0000C3010000}">
      <text>
        <r>
          <rPr>
            <b/>
            <sz val="9"/>
            <rFont val="宋体"/>
            <family val="3"/>
            <charset val="134"/>
          </rPr>
          <t>Kevin She:</t>
        </r>
        <r>
          <rPr>
            <sz val="9"/>
            <rFont val="宋体"/>
            <family val="3"/>
            <charset val="134"/>
          </rPr>
          <t xml:space="preserve">
标准件单价</t>
        </r>
      </text>
    </comment>
    <comment ref="D525" authorId="0" shapeId="0" xr:uid="{00000000-0006-0000-0500-0000C4010000}">
      <text>
        <r>
          <rPr>
            <b/>
            <sz val="9"/>
            <rFont val="宋体"/>
            <family val="3"/>
            <charset val="134"/>
          </rPr>
          <t>Kevin She:</t>
        </r>
        <r>
          <rPr>
            <sz val="9"/>
            <rFont val="宋体"/>
            <family val="3"/>
            <charset val="134"/>
          </rPr>
          <t xml:space="preserve">
长</t>
        </r>
      </text>
    </comment>
    <comment ref="E525" authorId="0" shapeId="0" xr:uid="{00000000-0006-0000-0500-0000C5010000}">
      <text>
        <r>
          <rPr>
            <b/>
            <sz val="9"/>
            <rFont val="宋体"/>
            <family val="3"/>
            <charset val="134"/>
          </rPr>
          <t>Kevin She:</t>
        </r>
        <r>
          <rPr>
            <sz val="9"/>
            <rFont val="宋体"/>
            <family val="3"/>
            <charset val="134"/>
          </rPr>
          <t xml:space="preserve">
宽</t>
        </r>
      </text>
    </comment>
    <comment ref="F525" authorId="0" shapeId="0" xr:uid="{00000000-0006-0000-0500-0000C6010000}">
      <text>
        <r>
          <rPr>
            <b/>
            <sz val="9"/>
            <rFont val="宋体"/>
            <family val="3"/>
            <charset val="134"/>
          </rPr>
          <t>Kevin She:</t>
        </r>
        <r>
          <rPr>
            <sz val="9"/>
            <rFont val="宋体"/>
            <family val="3"/>
            <charset val="134"/>
          </rPr>
          <t xml:space="preserve">
数量
</t>
        </r>
      </text>
    </comment>
    <comment ref="C526" authorId="0" shapeId="0" xr:uid="{00000000-0006-0000-0500-0000C7010000}">
      <text>
        <r>
          <rPr>
            <b/>
            <sz val="9"/>
            <rFont val="宋体"/>
            <family val="3"/>
            <charset val="134"/>
          </rPr>
          <t>Kevin She:</t>
        </r>
        <r>
          <rPr>
            <sz val="9"/>
            <rFont val="宋体"/>
            <family val="3"/>
            <charset val="134"/>
          </rPr>
          <t xml:space="preserve">
重量</t>
        </r>
      </text>
    </comment>
    <comment ref="D526" authorId="0" shapeId="0" xr:uid="{00000000-0006-0000-0500-0000C8010000}">
      <text>
        <r>
          <rPr>
            <b/>
            <sz val="9"/>
            <rFont val="宋体"/>
            <family val="3"/>
            <charset val="134"/>
          </rPr>
          <t>Kevin She:</t>
        </r>
        <r>
          <rPr>
            <sz val="9"/>
            <rFont val="宋体"/>
            <family val="3"/>
            <charset val="134"/>
          </rPr>
          <t xml:space="preserve">
重量</t>
        </r>
      </text>
    </comment>
    <comment ref="E526" authorId="0" shapeId="0" xr:uid="{00000000-0006-0000-0500-0000C9010000}">
      <text>
        <r>
          <rPr>
            <b/>
            <sz val="9"/>
            <rFont val="宋体"/>
            <family val="3"/>
            <charset val="134"/>
          </rPr>
          <t>Kevin She:</t>
        </r>
        <r>
          <rPr>
            <sz val="9"/>
            <rFont val="宋体"/>
            <family val="3"/>
            <charset val="134"/>
          </rPr>
          <t xml:space="preserve">
采购件成本
合页铰链
不锈钢插销
万向轮
地插件</t>
        </r>
      </text>
    </comment>
    <comment ref="D527" authorId="0" shapeId="0" xr:uid="{00000000-0006-0000-0500-0000CA010000}">
      <text>
        <r>
          <rPr>
            <b/>
            <sz val="9"/>
            <rFont val="宋体"/>
            <family val="3"/>
            <charset val="134"/>
          </rPr>
          <t>Kevin She:</t>
        </r>
        <r>
          <rPr>
            <sz val="9"/>
            <rFont val="宋体"/>
            <family val="3"/>
            <charset val="134"/>
          </rPr>
          <t xml:space="preserve">
片数</t>
        </r>
      </text>
    </comment>
    <comment ref="E527" authorId="0" shapeId="0" xr:uid="{00000000-0006-0000-0500-0000CB010000}">
      <text>
        <r>
          <rPr>
            <b/>
            <sz val="9"/>
            <rFont val="宋体"/>
            <family val="3"/>
            <charset val="134"/>
          </rPr>
          <t>Kevin She:</t>
        </r>
        <r>
          <rPr>
            <sz val="9"/>
            <rFont val="宋体"/>
            <family val="3"/>
            <charset val="134"/>
          </rPr>
          <t xml:space="preserve">
喷塑单价</t>
        </r>
      </text>
    </comment>
    <comment ref="F527" authorId="0" shapeId="0" xr:uid="{00000000-0006-0000-0500-0000CC010000}">
      <text>
        <r>
          <rPr>
            <b/>
            <sz val="9"/>
            <rFont val="宋体"/>
            <family val="3"/>
            <charset val="134"/>
          </rPr>
          <t>Kevin She:</t>
        </r>
        <r>
          <rPr>
            <sz val="9"/>
            <rFont val="宋体"/>
            <family val="3"/>
            <charset val="134"/>
          </rPr>
          <t xml:space="preserve">
标准件单价</t>
        </r>
      </text>
    </comment>
    <comment ref="D530" authorId="0" shapeId="0" xr:uid="{00000000-0006-0000-0500-0000CD010000}">
      <text>
        <r>
          <rPr>
            <b/>
            <sz val="9"/>
            <rFont val="宋体"/>
            <family val="3"/>
            <charset val="134"/>
          </rPr>
          <t>Kevin She:</t>
        </r>
        <r>
          <rPr>
            <sz val="9"/>
            <rFont val="宋体"/>
            <family val="3"/>
            <charset val="134"/>
          </rPr>
          <t xml:space="preserve">
材料单价</t>
        </r>
      </text>
    </comment>
    <comment ref="E530" authorId="0" shapeId="0" xr:uid="{00000000-0006-0000-0500-0000CE010000}">
      <text>
        <r>
          <rPr>
            <b/>
            <sz val="9"/>
            <rFont val="宋体"/>
            <family val="3"/>
            <charset val="134"/>
          </rPr>
          <t>Kevin She:</t>
        </r>
        <r>
          <rPr>
            <sz val="9"/>
            <rFont val="宋体"/>
            <family val="3"/>
            <charset val="134"/>
          </rPr>
          <t xml:space="preserve">
喷塑单价</t>
        </r>
      </text>
    </comment>
    <comment ref="F530" authorId="0" shapeId="0" xr:uid="{00000000-0006-0000-0500-0000CF010000}">
      <text>
        <r>
          <rPr>
            <b/>
            <sz val="9"/>
            <rFont val="宋体"/>
            <family val="3"/>
            <charset val="134"/>
          </rPr>
          <t>Kevin She:</t>
        </r>
        <r>
          <rPr>
            <sz val="9"/>
            <rFont val="宋体"/>
            <family val="3"/>
            <charset val="134"/>
          </rPr>
          <t xml:space="preserve">
标准件单价
</t>
        </r>
      </text>
    </comment>
    <comment ref="D531" authorId="0" shapeId="0" xr:uid="{00000000-0006-0000-0500-0000D0010000}">
      <text>
        <r>
          <rPr>
            <b/>
            <sz val="9"/>
            <rFont val="宋体"/>
            <family val="3"/>
            <charset val="134"/>
          </rPr>
          <t>Kevin She:</t>
        </r>
        <r>
          <rPr>
            <sz val="9"/>
            <rFont val="宋体"/>
            <family val="3"/>
            <charset val="134"/>
          </rPr>
          <t xml:space="preserve">
每套背拉根数</t>
        </r>
      </text>
    </comment>
    <comment ref="E531" authorId="0" shapeId="0" xr:uid="{00000000-0006-0000-0500-0000D1010000}">
      <text>
        <r>
          <rPr>
            <b/>
            <sz val="9"/>
            <rFont val="宋体"/>
            <family val="3"/>
            <charset val="134"/>
          </rPr>
          <t>Kevin She:</t>
        </r>
        <r>
          <rPr>
            <sz val="9"/>
            <rFont val="宋体"/>
            <family val="3"/>
            <charset val="134"/>
          </rPr>
          <t xml:space="preserve">
工费</t>
        </r>
      </text>
    </comment>
    <comment ref="D535" authorId="0" shapeId="0" xr:uid="{00000000-0006-0000-0500-0000D2010000}">
      <text>
        <r>
          <rPr>
            <b/>
            <sz val="9"/>
            <rFont val="宋体"/>
            <family val="3"/>
            <charset val="134"/>
          </rPr>
          <t>Kevin She:</t>
        </r>
        <r>
          <rPr>
            <sz val="9"/>
            <rFont val="宋体"/>
            <family val="3"/>
            <charset val="134"/>
          </rPr>
          <t xml:space="preserve">
材料单价</t>
        </r>
      </text>
    </comment>
    <comment ref="E535" authorId="0" shapeId="0" xr:uid="{00000000-0006-0000-0500-0000D3010000}">
      <text>
        <r>
          <rPr>
            <b/>
            <sz val="9"/>
            <rFont val="宋体"/>
            <family val="3"/>
            <charset val="134"/>
          </rPr>
          <t>Kevin She:</t>
        </r>
        <r>
          <rPr>
            <sz val="9"/>
            <rFont val="宋体"/>
            <family val="3"/>
            <charset val="134"/>
          </rPr>
          <t xml:space="preserve">
喷塑单价</t>
        </r>
      </text>
    </comment>
    <comment ref="F535" authorId="0" shapeId="0" xr:uid="{00000000-0006-0000-0500-0000D4010000}">
      <text>
        <r>
          <rPr>
            <b/>
            <sz val="9"/>
            <rFont val="宋体"/>
            <family val="3"/>
            <charset val="134"/>
          </rPr>
          <t>Kevin She:</t>
        </r>
        <r>
          <rPr>
            <sz val="9"/>
            <rFont val="宋体"/>
            <family val="3"/>
            <charset val="134"/>
          </rPr>
          <t xml:space="preserve">
标准件单价
</t>
        </r>
      </text>
    </comment>
    <comment ref="D536" authorId="0" shapeId="0" xr:uid="{00000000-0006-0000-0500-0000D5010000}">
      <text>
        <r>
          <rPr>
            <b/>
            <sz val="9"/>
            <rFont val="宋体"/>
            <family val="3"/>
            <charset val="134"/>
          </rPr>
          <t>Kevin She:</t>
        </r>
        <r>
          <rPr>
            <sz val="9"/>
            <rFont val="宋体"/>
            <family val="3"/>
            <charset val="134"/>
          </rPr>
          <t xml:space="preserve">
每套背拉根数</t>
        </r>
      </text>
    </comment>
    <comment ref="D540" authorId="0" shapeId="0" xr:uid="{00000000-0006-0000-0500-0000D6010000}">
      <text>
        <r>
          <rPr>
            <b/>
            <sz val="9"/>
            <rFont val="宋体"/>
            <family val="3"/>
            <charset val="134"/>
          </rPr>
          <t>Kevin She:</t>
        </r>
        <r>
          <rPr>
            <sz val="9"/>
            <rFont val="宋体"/>
            <family val="3"/>
            <charset val="134"/>
          </rPr>
          <t xml:space="preserve">
重量</t>
        </r>
      </text>
    </comment>
    <comment ref="E540" authorId="0" shapeId="0" xr:uid="{00000000-0006-0000-0500-0000D7010000}">
      <text>
        <r>
          <rPr>
            <b/>
            <sz val="9"/>
            <rFont val="宋体"/>
            <family val="3"/>
            <charset val="134"/>
          </rPr>
          <t>Kevin She:</t>
        </r>
        <r>
          <rPr>
            <sz val="9"/>
            <rFont val="宋体"/>
            <family val="3"/>
            <charset val="134"/>
          </rPr>
          <t xml:space="preserve">
工费单价</t>
        </r>
      </text>
    </comment>
    <comment ref="F540" authorId="0" shapeId="0" xr:uid="{00000000-0006-0000-0500-0000D8010000}">
      <text>
        <r>
          <rPr>
            <b/>
            <sz val="9"/>
            <rFont val="宋体"/>
            <family val="3"/>
            <charset val="134"/>
          </rPr>
          <t>Kevin She:</t>
        </r>
        <r>
          <rPr>
            <sz val="9"/>
            <rFont val="宋体"/>
            <family val="3"/>
            <charset val="134"/>
          </rPr>
          <t xml:space="preserve">
数量
</t>
        </r>
      </text>
    </comment>
    <comment ref="C541" authorId="0" shapeId="0" xr:uid="{00000000-0006-0000-0500-0000D9010000}">
      <text>
        <r>
          <rPr>
            <b/>
            <sz val="9"/>
            <rFont val="宋体"/>
            <family val="3"/>
            <charset val="134"/>
          </rPr>
          <t>Kevin She:</t>
        </r>
        <r>
          <rPr>
            <sz val="9"/>
            <rFont val="宋体"/>
            <family val="3"/>
            <charset val="134"/>
          </rPr>
          <t xml:space="preserve">
重量</t>
        </r>
      </text>
    </comment>
    <comment ref="D541" authorId="0" shapeId="0" xr:uid="{00000000-0006-0000-0500-0000DA010000}">
      <text>
        <r>
          <rPr>
            <b/>
            <sz val="9"/>
            <rFont val="宋体"/>
            <family val="3"/>
            <charset val="134"/>
          </rPr>
          <t>Kevin She:</t>
        </r>
        <r>
          <rPr>
            <sz val="9"/>
            <rFont val="宋体"/>
            <family val="3"/>
            <charset val="134"/>
          </rPr>
          <t xml:space="preserve">
喷塑单价</t>
        </r>
      </text>
    </comment>
    <comment ref="E541" authorId="0" shapeId="0" xr:uid="{00000000-0006-0000-0500-0000DB010000}">
      <text>
        <r>
          <rPr>
            <b/>
            <sz val="9"/>
            <rFont val="宋体"/>
            <family val="3"/>
            <charset val="134"/>
          </rPr>
          <t>Kevin She:</t>
        </r>
        <r>
          <rPr>
            <sz val="9"/>
            <rFont val="宋体"/>
            <family val="3"/>
            <charset val="134"/>
          </rPr>
          <t xml:space="preserve">
标准件单价</t>
        </r>
      </text>
    </comment>
    <comment ref="Q544" authorId="0" shapeId="0" xr:uid="{00000000-0006-0000-0500-0000DC010000}">
      <text>
        <r>
          <rPr>
            <b/>
            <sz val="9"/>
            <rFont val="宋体"/>
            <family val="3"/>
            <charset val="134"/>
          </rPr>
          <t>Kevin She:</t>
        </r>
        <r>
          <rPr>
            <sz val="9"/>
            <rFont val="宋体"/>
            <family val="3"/>
            <charset val="134"/>
          </rPr>
          <t xml:space="preserve">
横斜撑节距</t>
        </r>
      </text>
    </comment>
    <comment ref="AC544" authorId="0" shapeId="0" xr:uid="{00000000-0006-0000-0500-0000DD010000}">
      <text>
        <r>
          <rPr>
            <b/>
            <sz val="9"/>
            <rFont val="宋体"/>
            <family val="3"/>
            <charset val="134"/>
          </rPr>
          <t>Kevin She:</t>
        </r>
        <r>
          <rPr>
            <sz val="9"/>
            <rFont val="宋体"/>
            <family val="3"/>
            <charset val="134"/>
          </rPr>
          <t xml:space="preserve">
≥8米时，增加额外成本</t>
        </r>
      </text>
    </comment>
    <comment ref="E545" authorId="0" shapeId="0" xr:uid="{00000000-0006-0000-0500-0000DE010000}">
      <text>
        <r>
          <rPr>
            <b/>
            <sz val="9"/>
            <rFont val="宋体"/>
            <family val="3"/>
            <charset val="134"/>
          </rPr>
          <t>Kevin She:</t>
        </r>
        <r>
          <rPr>
            <sz val="9"/>
            <rFont val="宋体"/>
            <family val="3"/>
            <charset val="134"/>
          </rPr>
          <t xml:space="preserve">
D</t>
        </r>
      </text>
    </comment>
    <comment ref="D548" authorId="0" shapeId="0" xr:uid="{00000000-0006-0000-0500-0000DF010000}">
      <text>
        <r>
          <rPr>
            <b/>
            <sz val="9"/>
            <rFont val="宋体"/>
            <family val="3"/>
            <charset val="134"/>
          </rPr>
          <t>Kevin She:</t>
        </r>
        <r>
          <rPr>
            <sz val="9"/>
            <rFont val="宋体"/>
            <family val="3"/>
            <charset val="134"/>
          </rPr>
          <t xml:space="preserve">
重量</t>
        </r>
      </text>
    </comment>
    <comment ref="E548" authorId="0" shapeId="0" xr:uid="{00000000-0006-0000-0500-0000E0010000}">
      <text>
        <r>
          <rPr>
            <b/>
            <sz val="9"/>
            <rFont val="宋体"/>
            <family val="3"/>
            <charset val="134"/>
          </rPr>
          <t>Kevin She:</t>
        </r>
        <r>
          <rPr>
            <sz val="9"/>
            <rFont val="宋体"/>
            <family val="3"/>
            <charset val="134"/>
          </rPr>
          <t xml:space="preserve">
6.5*1.02+1+2</t>
        </r>
      </text>
    </comment>
    <comment ref="C552" authorId="0" shapeId="0" xr:uid="{00000000-0006-0000-0500-0000E1010000}">
      <text>
        <r>
          <rPr>
            <b/>
            <sz val="9"/>
            <rFont val="宋体"/>
            <family val="3"/>
            <charset val="134"/>
          </rPr>
          <t>Kevin She:</t>
        </r>
        <r>
          <rPr>
            <sz val="9"/>
            <rFont val="宋体"/>
            <family val="3"/>
            <charset val="134"/>
          </rPr>
          <t xml:space="preserve">
采购件名称</t>
        </r>
      </text>
    </comment>
    <comment ref="D552" authorId="0" shapeId="0" xr:uid="{00000000-0006-0000-0500-0000E2010000}">
      <text>
        <r>
          <rPr>
            <b/>
            <sz val="9"/>
            <rFont val="宋体"/>
            <family val="3"/>
            <charset val="134"/>
          </rPr>
          <t>Kevin She:</t>
        </r>
        <r>
          <rPr>
            <sz val="9"/>
            <rFont val="宋体"/>
            <family val="3"/>
            <charset val="134"/>
          </rPr>
          <t xml:space="preserve">
含税价 13%税率</t>
        </r>
      </text>
    </comment>
    <comment ref="C553" authorId="0" shapeId="0" xr:uid="{00000000-0006-0000-0500-0000E3010000}">
      <text>
        <r>
          <rPr>
            <b/>
            <sz val="9"/>
            <rFont val="宋体"/>
            <family val="3"/>
            <charset val="134"/>
          </rPr>
          <t>Kevin She:</t>
        </r>
        <r>
          <rPr>
            <sz val="9"/>
            <rFont val="宋体"/>
            <family val="3"/>
            <charset val="134"/>
          </rPr>
          <t xml:space="preserve">
采购件名称</t>
        </r>
      </text>
    </comment>
    <comment ref="D553" authorId="0" shapeId="0" xr:uid="{00000000-0006-0000-0500-0000E4010000}">
      <text>
        <r>
          <rPr>
            <b/>
            <sz val="9"/>
            <rFont val="宋体"/>
            <family val="3"/>
            <charset val="134"/>
          </rPr>
          <t>Kevin She:</t>
        </r>
        <r>
          <rPr>
            <sz val="9"/>
            <rFont val="宋体"/>
            <family val="3"/>
            <charset val="134"/>
          </rPr>
          <t xml:space="preserve">
含税价，6%税率</t>
        </r>
      </text>
    </comment>
    <comment ref="C558" authorId="0" shapeId="0" xr:uid="{00000000-0006-0000-0500-0000E5010000}">
      <text>
        <r>
          <rPr>
            <b/>
            <sz val="9"/>
            <rFont val="宋体"/>
            <family val="3"/>
            <charset val="134"/>
          </rPr>
          <t>Kevin She:</t>
        </r>
        <r>
          <rPr>
            <sz val="9"/>
            <rFont val="宋体"/>
            <family val="3"/>
            <charset val="134"/>
          </rPr>
          <t xml:space="preserve">
采购件名称</t>
        </r>
      </text>
    </comment>
    <comment ref="D558" authorId="0" shapeId="0" xr:uid="{00000000-0006-0000-0500-0000E6010000}">
      <text>
        <r>
          <rPr>
            <b/>
            <sz val="9"/>
            <rFont val="宋体"/>
            <family val="3"/>
            <charset val="134"/>
          </rPr>
          <t>Kevin She:</t>
        </r>
        <r>
          <rPr>
            <sz val="9"/>
            <rFont val="宋体"/>
            <family val="3"/>
            <charset val="134"/>
          </rPr>
          <t xml:space="preserve">
含税价 13%税率</t>
        </r>
      </text>
    </comment>
    <comment ref="C559" authorId="0" shapeId="0" xr:uid="{00000000-0006-0000-0500-0000E7010000}">
      <text>
        <r>
          <rPr>
            <b/>
            <sz val="9"/>
            <rFont val="宋体"/>
            <family val="3"/>
            <charset val="134"/>
          </rPr>
          <t>Kevin She:</t>
        </r>
        <r>
          <rPr>
            <sz val="9"/>
            <rFont val="宋体"/>
            <family val="3"/>
            <charset val="134"/>
          </rPr>
          <t xml:space="preserve">
采购件名称</t>
        </r>
      </text>
    </comment>
    <comment ref="D559" authorId="0" shapeId="0" xr:uid="{00000000-0006-0000-0500-0000E8010000}">
      <text>
        <r>
          <rPr>
            <b/>
            <sz val="9"/>
            <rFont val="宋体"/>
            <family val="3"/>
            <charset val="134"/>
          </rPr>
          <t>Kevin She:</t>
        </r>
        <r>
          <rPr>
            <sz val="9"/>
            <rFont val="宋体"/>
            <family val="3"/>
            <charset val="134"/>
          </rPr>
          <t xml:space="preserve">
含税价，6%税率</t>
        </r>
      </text>
    </comment>
    <comment ref="C564" authorId="0" shapeId="0" xr:uid="{00000000-0006-0000-0500-0000E9010000}">
      <text>
        <r>
          <rPr>
            <b/>
            <sz val="9"/>
            <rFont val="宋体"/>
            <family val="3"/>
            <charset val="134"/>
          </rPr>
          <t>Kevin She:</t>
        </r>
        <r>
          <rPr>
            <sz val="9"/>
            <rFont val="宋体"/>
            <family val="3"/>
            <charset val="134"/>
          </rPr>
          <t xml:space="preserve">
采购件名称</t>
        </r>
      </text>
    </comment>
    <comment ref="D564" authorId="0" shapeId="0" xr:uid="{00000000-0006-0000-0500-0000EA010000}">
      <text>
        <r>
          <rPr>
            <b/>
            <sz val="9"/>
            <rFont val="宋体"/>
            <family val="3"/>
            <charset val="134"/>
          </rPr>
          <t>Kevin She:</t>
        </r>
        <r>
          <rPr>
            <sz val="9"/>
            <rFont val="宋体"/>
            <family val="3"/>
            <charset val="134"/>
          </rPr>
          <t xml:space="preserve">
含税价 13%税率</t>
        </r>
      </text>
    </comment>
    <comment ref="C565" authorId="0" shapeId="0" xr:uid="{00000000-0006-0000-0500-0000EB010000}">
      <text>
        <r>
          <rPr>
            <b/>
            <sz val="9"/>
            <rFont val="宋体"/>
            <family val="3"/>
            <charset val="134"/>
          </rPr>
          <t>Kevin She:</t>
        </r>
        <r>
          <rPr>
            <sz val="9"/>
            <rFont val="宋体"/>
            <family val="3"/>
            <charset val="134"/>
          </rPr>
          <t xml:space="preserve">
采购件名称</t>
        </r>
      </text>
    </comment>
    <comment ref="D565" authorId="0" shapeId="0" xr:uid="{00000000-0006-0000-0500-0000EC010000}">
      <text>
        <r>
          <rPr>
            <b/>
            <sz val="9"/>
            <rFont val="宋体"/>
            <family val="3"/>
            <charset val="134"/>
          </rPr>
          <t>Kevin She:</t>
        </r>
        <r>
          <rPr>
            <sz val="9"/>
            <rFont val="宋体"/>
            <family val="3"/>
            <charset val="134"/>
          </rPr>
          <t xml:space="preserve">
含税价，6%税率</t>
        </r>
      </text>
    </comment>
    <comment ref="Q569" authorId="0" shapeId="0" xr:uid="{00000000-0006-0000-0500-0000ED010000}">
      <text>
        <r>
          <rPr>
            <b/>
            <sz val="9"/>
            <rFont val="宋体"/>
            <family val="3"/>
            <charset val="134"/>
          </rPr>
          <t>Kevin She:</t>
        </r>
        <r>
          <rPr>
            <sz val="9"/>
            <rFont val="宋体"/>
            <family val="3"/>
            <charset val="134"/>
          </rPr>
          <t xml:space="preserve">
横斜撑节距</t>
        </r>
      </text>
    </comment>
    <comment ref="AC569" authorId="0" shapeId="0" xr:uid="{00000000-0006-0000-0500-0000EE010000}">
      <text>
        <r>
          <rPr>
            <b/>
            <sz val="9"/>
            <rFont val="宋体"/>
            <family val="3"/>
            <charset val="134"/>
          </rPr>
          <t>Kevin She:</t>
        </r>
        <r>
          <rPr>
            <sz val="9"/>
            <rFont val="宋体"/>
            <family val="3"/>
            <charset val="134"/>
          </rPr>
          <t xml:space="preserve">
≥8米时，增加额外成本</t>
        </r>
      </text>
    </comment>
    <comment ref="E570" authorId="0" shapeId="0" xr:uid="{00000000-0006-0000-0500-0000EF010000}">
      <text>
        <r>
          <rPr>
            <b/>
            <sz val="9"/>
            <rFont val="宋体"/>
            <family val="3"/>
            <charset val="134"/>
          </rPr>
          <t>Kevin She:</t>
        </r>
        <r>
          <rPr>
            <sz val="9"/>
            <rFont val="宋体"/>
            <family val="3"/>
            <charset val="134"/>
          </rPr>
          <t xml:space="preserve">
D</t>
        </r>
      </text>
    </comment>
    <comment ref="D573" authorId="0" shapeId="0" xr:uid="{00000000-0006-0000-0500-0000F0010000}">
      <text>
        <r>
          <rPr>
            <b/>
            <sz val="9"/>
            <rFont val="宋体"/>
            <family val="3"/>
            <charset val="134"/>
          </rPr>
          <t>Kevin She:</t>
        </r>
        <r>
          <rPr>
            <sz val="9"/>
            <rFont val="宋体"/>
            <family val="3"/>
            <charset val="134"/>
          </rPr>
          <t xml:space="preserve">
重量</t>
        </r>
      </text>
    </comment>
    <comment ref="E573" authorId="0" shapeId="0" xr:uid="{00000000-0006-0000-0500-0000F1010000}">
      <text>
        <r>
          <rPr>
            <b/>
            <sz val="9"/>
            <rFont val="宋体"/>
            <family val="3"/>
            <charset val="134"/>
          </rPr>
          <t>Kevin She:</t>
        </r>
        <r>
          <rPr>
            <sz val="9"/>
            <rFont val="宋体"/>
            <family val="3"/>
            <charset val="134"/>
          </rPr>
          <t xml:space="preserve">
6.5*1.02+1+2</t>
        </r>
      </text>
    </comment>
    <comment ref="D580" authorId="0" shapeId="0" xr:uid="{00000000-0006-0000-0500-0000F2010000}">
      <text>
        <r>
          <rPr>
            <b/>
            <sz val="9"/>
            <rFont val="宋体"/>
            <family val="3"/>
            <charset val="134"/>
          </rPr>
          <t>Kevin She:</t>
        </r>
        <r>
          <rPr>
            <sz val="9"/>
            <rFont val="宋体"/>
            <family val="3"/>
            <charset val="134"/>
          </rPr>
          <t xml:space="preserve">
附件重量</t>
        </r>
      </text>
    </comment>
    <comment ref="E580" authorId="0" shapeId="0" xr:uid="{00000000-0006-0000-0500-0000F3010000}">
      <text>
        <r>
          <rPr>
            <b/>
            <sz val="9"/>
            <rFont val="宋体"/>
            <family val="3"/>
            <charset val="134"/>
          </rPr>
          <t>Kevin She:</t>
        </r>
        <r>
          <rPr>
            <sz val="9"/>
            <rFont val="宋体"/>
            <family val="3"/>
            <charset val="134"/>
          </rPr>
          <t xml:space="preserve">
连接件单价</t>
        </r>
      </text>
    </comment>
    <comment ref="D581" authorId="0" shapeId="0" xr:uid="{00000000-0006-0000-0500-0000F4010000}">
      <text>
        <r>
          <rPr>
            <b/>
            <sz val="9"/>
            <rFont val="宋体"/>
            <family val="3"/>
            <charset val="134"/>
          </rPr>
          <t>Kevin She:</t>
        </r>
        <r>
          <rPr>
            <sz val="9"/>
            <rFont val="宋体"/>
            <family val="3"/>
            <charset val="134"/>
          </rPr>
          <t xml:space="preserve">
工费</t>
        </r>
      </text>
    </comment>
    <comment ref="E581" authorId="0" shapeId="0" xr:uid="{00000000-0006-0000-0500-0000F5010000}">
      <text>
        <r>
          <rPr>
            <b/>
            <sz val="9"/>
            <rFont val="宋体"/>
            <family val="3"/>
            <charset val="134"/>
          </rPr>
          <t>Kevin She:</t>
        </r>
        <r>
          <rPr>
            <sz val="9"/>
            <rFont val="宋体"/>
            <family val="3"/>
            <charset val="134"/>
          </rPr>
          <t xml:space="preserve">
连接件喷塑单价</t>
        </r>
      </text>
    </comment>
    <comment ref="D588" authorId="0" shapeId="0" xr:uid="{00000000-0006-0000-0500-0000F6010000}">
      <text>
        <r>
          <rPr>
            <b/>
            <sz val="9"/>
            <rFont val="宋体"/>
            <family val="3"/>
            <charset val="134"/>
          </rPr>
          <t>Kevin She:</t>
        </r>
        <r>
          <rPr>
            <sz val="9"/>
            <rFont val="宋体"/>
            <family val="3"/>
            <charset val="134"/>
          </rPr>
          <t xml:space="preserve">
附件重量</t>
        </r>
      </text>
    </comment>
    <comment ref="E588" authorId="0" shapeId="0" xr:uid="{00000000-0006-0000-0500-0000F7010000}">
      <text>
        <r>
          <rPr>
            <b/>
            <sz val="9"/>
            <rFont val="宋体"/>
            <family val="3"/>
            <charset val="134"/>
          </rPr>
          <t>Kevin She:</t>
        </r>
        <r>
          <rPr>
            <sz val="9"/>
            <rFont val="宋体"/>
            <family val="3"/>
            <charset val="134"/>
          </rPr>
          <t xml:space="preserve">
连接件单价</t>
        </r>
      </text>
    </comment>
    <comment ref="D589" authorId="0" shapeId="0" xr:uid="{00000000-0006-0000-0500-0000F8010000}">
      <text>
        <r>
          <rPr>
            <b/>
            <sz val="9"/>
            <rFont val="宋体"/>
            <family val="3"/>
            <charset val="134"/>
          </rPr>
          <t>Kevin She:</t>
        </r>
        <r>
          <rPr>
            <sz val="9"/>
            <rFont val="宋体"/>
            <family val="3"/>
            <charset val="134"/>
          </rPr>
          <t xml:space="preserve">
工费</t>
        </r>
      </text>
    </comment>
    <comment ref="E589" authorId="0" shapeId="0" xr:uid="{00000000-0006-0000-0500-0000F9010000}">
      <text>
        <r>
          <rPr>
            <b/>
            <sz val="9"/>
            <rFont val="宋体"/>
            <family val="3"/>
            <charset val="134"/>
          </rPr>
          <t>Kevin She:</t>
        </r>
        <r>
          <rPr>
            <sz val="9"/>
            <rFont val="宋体"/>
            <family val="3"/>
            <charset val="134"/>
          </rPr>
          <t xml:space="preserve">
连接件喷塑单价</t>
        </r>
      </text>
    </comment>
    <comment ref="D596" authorId="0" shapeId="0" xr:uid="{00000000-0006-0000-0500-0000FA010000}">
      <text>
        <r>
          <rPr>
            <b/>
            <sz val="9"/>
            <rFont val="宋体"/>
            <family val="3"/>
            <charset val="134"/>
          </rPr>
          <t>Kevin She:</t>
        </r>
        <r>
          <rPr>
            <sz val="9"/>
            <rFont val="宋体"/>
            <family val="3"/>
            <charset val="134"/>
          </rPr>
          <t xml:space="preserve">
附件重量</t>
        </r>
      </text>
    </comment>
    <comment ref="E596" authorId="0" shapeId="0" xr:uid="{00000000-0006-0000-0500-0000FB010000}">
      <text>
        <r>
          <rPr>
            <b/>
            <sz val="9"/>
            <rFont val="宋体"/>
            <family val="3"/>
            <charset val="134"/>
          </rPr>
          <t>Kevin She:</t>
        </r>
        <r>
          <rPr>
            <sz val="9"/>
            <rFont val="宋体"/>
            <family val="3"/>
            <charset val="134"/>
          </rPr>
          <t xml:space="preserve">
连接件单价</t>
        </r>
      </text>
    </comment>
    <comment ref="D597" authorId="0" shapeId="0" xr:uid="{00000000-0006-0000-0500-0000FC010000}">
      <text>
        <r>
          <rPr>
            <b/>
            <sz val="9"/>
            <rFont val="宋体"/>
            <family val="3"/>
            <charset val="134"/>
          </rPr>
          <t>Kevin She:</t>
        </r>
        <r>
          <rPr>
            <sz val="9"/>
            <rFont val="宋体"/>
            <family val="3"/>
            <charset val="134"/>
          </rPr>
          <t xml:space="preserve">
工费</t>
        </r>
      </text>
    </comment>
    <comment ref="E597" authorId="0" shapeId="0" xr:uid="{00000000-0006-0000-0500-0000FD010000}">
      <text>
        <r>
          <rPr>
            <b/>
            <sz val="9"/>
            <rFont val="宋体"/>
            <family val="3"/>
            <charset val="134"/>
          </rPr>
          <t>Kevin She:</t>
        </r>
        <r>
          <rPr>
            <sz val="9"/>
            <rFont val="宋体"/>
            <family val="3"/>
            <charset val="134"/>
          </rPr>
          <t xml:space="preserve">
连接件喷塑单价</t>
        </r>
      </text>
    </comment>
    <comment ref="D604" authorId="0" shapeId="0" xr:uid="{00000000-0006-0000-0500-0000FE010000}">
      <text>
        <r>
          <rPr>
            <b/>
            <sz val="9"/>
            <rFont val="宋体"/>
            <family val="3"/>
            <charset val="134"/>
          </rPr>
          <t>Kevin She:</t>
        </r>
        <r>
          <rPr>
            <sz val="9"/>
            <rFont val="宋体"/>
            <family val="3"/>
            <charset val="134"/>
          </rPr>
          <t xml:space="preserve">
附件重量</t>
        </r>
      </text>
    </comment>
    <comment ref="E604" authorId="0" shapeId="0" xr:uid="{00000000-0006-0000-0500-0000FF010000}">
      <text>
        <r>
          <rPr>
            <b/>
            <sz val="9"/>
            <rFont val="宋体"/>
            <family val="3"/>
            <charset val="134"/>
          </rPr>
          <t>Kevin She:</t>
        </r>
        <r>
          <rPr>
            <sz val="9"/>
            <rFont val="宋体"/>
            <family val="3"/>
            <charset val="134"/>
          </rPr>
          <t xml:space="preserve">
连接件单价</t>
        </r>
      </text>
    </comment>
    <comment ref="D605" authorId="0" shapeId="0" xr:uid="{00000000-0006-0000-0500-000000020000}">
      <text>
        <r>
          <rPr>
            <b/>
            <sz val="9"/>
            <rFont val="宋体"/>
            <family val="3"/>
            <charset val="134"/>
          </rPr>
          <t>Kevin She:</t>
        </r>
        <r>
          <rPr>
            <sz val="9"/>
            <rFont val="宋体"/>
            <family val="3"/>
            <charset val="134"/>
          </rPr>
          <t xml:space="preserve">
工费</t>
        </r>
      </text>
    </comment>
    <comment ref="E605" authorId="0" shapeId="0" xr:uid="{00000000-0006-0000-0500-000001020000}">
      <text>
        <r>
          <rPr>
            <b/>
            <sz val="9"/>
            <rFont val="宋体"/>
            <family val="3"/>
            <charset val="134"/>
          </rPr>
          <t>Kevin She:</t>
        </r>
        <r>
          <rPr>
            <sz val="9"/>
            <rFont val="宋体"/>
            <family val="3"/>
            <charset val="134"/>
          </rPr>
          <t xml:space="preserve">
连接件喷塑单价</t>
        </r>
      </text>
    </comment>
    <comment ref="D612" authorId="0" shapeId="0" xr:uid="{00000000-0006-0000-0500-000002020000}">
      <text>
        <r>
          <rPr>
            <b/>
            <sz val="9"/>
            <rFont val="宋体"/>
            <family val="3"/>
            <charset val="134"/>
          </rPr>
          <t>Kevin She:</t>
        </r>
        <r>
          <rPr>
            <sz val="9"/>
            <rFont val="宋体"/>
            <family val="3"/>
            <charset val="134"/>
          </rPr>
          <t xml:space="preserve">
附件重量</t>
        </r>
      </text>
    </comment>
    <comment ref="E612" authorId="0" shapeId="0" xr:uid="{00000000-0006-0000-0500-000003020000}">
      <text>
        <r>
          <rPr>
            <b/>
            <sz val="9"/>
            <rFont val="宋体"/>
            <family val="3"/>
            <charset val="134"/>
          </rPr>
          <t>Kevin She:</t>
        </r>
        <r>
          <rPr>
            <sz val="9"/>
            <rFont val="宋体"/>
            <family val="3"/>
            <charset val="134"/>
          </rPr>
          <t xml:space="preserve">
连接件单价</t>
        </r>
      </text>
    </comment>
    <comment ref="D613" authorId="0" shapeId="0" xr:uid="{00000000-0006-0000-0500-000004020000}">
      <text>
        <r>
          <rPr>
            <b/>
            <sz val="9"/>
            <rFont val="宋体"/>
            <family val="3"/>
            <charset val="134"/>
          </rPr>
          <t>Kevin She:</t>
        </r>
        <r>
          <rPr>
            <sz val="9"/>
            <rFont val="宋体"/>
            <family val="3"/>
            <charset val="134"/>
          </rPr>
          <t xml:space="preserve">
工费</t>
        </r>
      </text>
    </comment>
    <comment ref="E613" authorId="0" shapeId="0" xr:uid="{00000000-0006-0000-0500-000005020000}">
      <text>
        <r>
          <rPr>
            <b/>
            <sz val="9"/>
            <rFont val="宋体"/>
            <family val="3"/>
            <charset val="134"/>
          </rPr>
          <t>Kevin She:</t>
        </r>
        <r>
          <rPr>
            <sz val="9"/>
            <rFont val="宋体"/>
            <family val="3"/>
            <charset val="134"/>
          </rPr>
          <t xml:space="preserve">
连接件喷塑单价</t>
        </r>
      </text>
    </comment>
    <comment ref="D616" authorId="0" shapeId="0" xr:uid="{00000000-0006-0000-0500-000006020000}">
      <text>
        <r>
          <rPr>
            <b/>
            <sz val="9"/>
            <rFont val="宋体"/>
            <family val="3"/>
            <charset val="134"/>
          </rPr>
          <t>Kevin She:</t>
        </r>
        <r>
          <rPr>
            <sz val="9"/>
            <rFont val="宋体"/>
            <family val="3"/>
            <charset val="134"/>
          </rPr>
          <t xml:space="preserve">
重量</t>
        </r>
      </text>
    </comment>
    <comment ref="E616" authorId="0" shapeId="0" xr:uid="{00000000-0006-0000-0500-000007020000}">
      <text>
        <r>
          <rPr>
            <b/>
            <sz val="9"/>
            <rFont val="宋体"/>
            <family val="3"/>
            <charset val="134"/>
          </rPr>
          <t>Kevin She:</t>
        </r>
        <r>
          <rPr>
            <sz val="9"/>
            <rFont val="宋体"/>
            <family val="3"/>
            <charset val="134"/>
          </rPr>
          <t xml:space="preserve">
工费单价</t>
        </r>
      </text>
    </comment>
    <comment ref="F616" authorId="0" shapeId="0" xr:uid="{00000000-0006-0000-0500-000008020000}">
      <text>
        <r>
          <rPr>
            <b/>
            <sz val="9"/>
            <rFont val="宋体"/>
            <family val="3"/>
            <charset val="134"/>
          </rPr>
          <t>Kevin She:</t>
        </r>
        <r>
          <rPr>
            <sz val="9"/>
            <rFont val="宋体"/>
            <family val="3"/>
            <charset val="134"/>
          </rPr>
          <t xml:space="preserve">
数量
</t>
        </r>
      </text>
    </comment>
    <comment ref="C617" authorId="0" shapeId="0" xr:uid="{00000000-0006-0000-0500-000009020000}">
      <text>
        <r>
          <rPr>
            <b/>
            <sz val="9"/>
            <rFont val="宋体"/>
            <family val="3"/>
            <charset val="134"/>
          </rPr>
          <t>Kevin She:</t>
        </r>
        <r>
          <rPr>
            <sz val="9"/>
            <rFont val="宋体"/>
            <family val="3"/>
            <charset val="134"/>
          </rPr>
          <t xml:space="preserve">
重量</t>
        </r>
      </text>
    </comment>
    <comment ref="D617" authorId="0" shapeId="0" xr:uid="{00000000-0006-0000-0500-00000A020000}">
      <text>
        <r>
          <rPr>
            <b/>
            <sz val="9"/>
            <rFont val="宋体"/>
            <family val="3"/>
            <charset val="134"/>
          </rPr>
          <t>Kevin She:</t>
        </r>
        <r>
          <rPr>
            <sz val="9"/>
            <rFont val="宋体"/>
            <family val="3"/>
            <charset val="134"/>
          </rPr>
          <t xml:space="preserve">
喷塑单价</t>
        </r>
      </text>
    </comment>
    <comment ref="E617" authorId="0" shapeId="0" xr:uid="{00000000-0006-0000-0500-00000B020000}">
      <text>
        <r>
          <rPr>
            <b/>
            <sz val="9"/>
            <rFont val="宋体"/>
            <family val="3"/>
            <charset val="134"/>
          </rPr>
          <t>Kevin She:</t>
        </r>
        <r>
          <rPr>
            <sz val="9"/>
            <rFont val="宋体"/>
            <family val="3"/>
            <charset val="134"/>
          </rPr>
          <t xml:space="preserve">
标准件单价</t>
        </r>
      </text>
    </comment>
    <comment ref="D621" authorId="0" shapeId="0" xr:uid="{00000000-0006-0000-0500-00000C020000}">
      <text>
        <r>
          <rPr>
            <b/>
            <sz val="9"/>
            <rFont val="宋体"/>
            <family val="3"/>
            <charset val="134"/>
          </rPr>
          <t>Kevin She:</t>
        </r>
        <r>
          <rPr>
            <sz val="9"/>
            <rFont val="宋体"/>
            <family val="3"/>
            <charset val="134"/>
          </rPr>
          <t xml:space="preserve">
重量</t>
        </r>
      </text>
    </comment>
    <comment ref="E621" authorId="0" shapeId="0" xr:uid="{00000000-0006-0000-0500-00000D020000}">
      <text>
        <r>
          <rPr>
            <b/>
            <sz val="9"/>
            <rFont val="宋体"/>
            <family val="3"/>
            <charset val="134"/>
          </rPr>
          <t>Kevin She:</t>
        </r>
        <r>
          <rPr>
            <sz val="9"/>
            <rFont val="宋体"/>
            <family val="3"/>
            <charset val="134"/>
          </rPr>
          <t xml:space="preserve">
工费单价</t>
        </r>
      </text>
    </comment>
    <comment ref="F621" authorId="0" shapeId="0" xr:uid="{00000000-0006-0000-0500-00000E020000}">
      <text>
        <r>
          <rPr>
            <b/>
            <sz val="9"/>
            <rFont val="宋体"/>
            <family val="3"/>
            <charset val="134"/>
          </rPr>
          <t>Kevin She:</t>
        </r>
        <r>
          <rPr>
            <sz val="9"/>
            <rFont val="宋体"/>
            <family val="3"/>
            <charset val="134"/>
          </rPr>
          <t xml:space="preserve">
数量
</t>
        </r>
      </text>
    </comment>
    <comment ref="C622" authorId="0" shapeId="0" xr:uid="{00000000-0006-0000-0500-00000F020000}">
      <text>
        <r>
          <rPr>
            <b/>
            <sz val="9"/>
            <rFont val="宋体"/>
            <family val="3"/>
            <charset val="134"/>
          </rPr>
          <t>Kevin She:</t>
        </r>
        <r>
          <rPr>
            <sz val="9"/>
            <rFont val="宋体"/>
            <family val="3"/>
            <charset val="134"/>
          </rPr>
          <t xml:space="preserve">
重量</t>
        </r>
      </text>
    </comment>
    <comment ref="D622" authorId="0" shapeId="0" xr:uid="{00000000-0006-0000-0500-000010020000}">
      <text>
        <r>
          <rPr>
            <b/>
            <sz val="9"/>
            <rFont val="宋体"/>
            <family val="3"/>
            <charset val="134"/>
          </rPr>
          <t>Kevin She:</t>
        </r>
        <r>
          <rPr>
            <sz val="9"/>
            <rFont val="宋体"/>
            <family val="3"/>
            <charset val="134"/>
          </rPr>
          <t xml:space="preserve">
喷塑单价</t>
        </r>
      </text>
    </comment>
    <comment ref="E622" authorId="0" shapeId="0" xr:uid="{00000000-0006-0000-0500-000011020000}">
      <text>
        <r>
          <rPr>
            <b/>
            <sz val="9"/>
            <rFont val="宋体"/>
            <family val="3"/>
            <charset val="134"/>
          </rPr>
          <t>Kevin She:</t>
        </r>
        <r>
          <rPr>
            <sz val="9"/>
            <rFont val="宋体"/>
            <family val="3"/>
            <charset val="134"/>
          </rPr>
          <t xml:space="preserve">
标准件单价</t>
        </r>
      </text>
    </comment>
    <comment ref="D626" authorId="0" shapeId="0" xr:uid="{00000000-0006-0000-0500-000012020000}">
      <text>
        <r>
          <rPr>
            <b/>
            <sz val="9"/>
            <rFont val="宋体"/>
            <family val="3"/>
            <charset val="134"/>
          </rPr>
          <t>Kevin She:</t>
        </r>
        <r>
          <rPr>
            <sz val="9"/>
            <rFont val="宋体"/>
            <family val="3"/>
            <charset val="134"/>
          </rPr>
          <t xml:space="preserve">
楼梯重量</t>
        </r>
      </text>
    </comment>
    <comment ref="E626" authorId="0" shapeId="0" xr:uid="{00000000-0006-0000-0500-000013020000}">
      <text>
        <r>
          <rPr>
            <b/>
            <sz val="9"/>
            <rFont val="宋体"/>
            <family val="3"/>
            <charset val="134"/>
          </rPr>
          <t>Kevin She:</t>
        </r>
        <r>
          <rPr>
            <sz val="9"/>
            <rFont val="宋体"/>
            <family val="3"/>
            <charset val="134"/>
          </rPr>
          <t xml:space="preserve">
工费
</t>
        </r>
      </text>
    </comment>
    <comment ref="F626" authorId="0" shapeId="0" xr:uid="{00000000-0006-0000-0500-000014020000}">
      <text>
        <r>
          <rPr>
            <b/>
            <sz val="9"/>
            <rFont val="宋体"/>
            <family val="3"/>
            <charset val="134"/>
          </rPr>
          <t>Kevin She:</t>
        </r>
        <r>
          <rPr>
            <sz val="9"/>
            <rFont val="宋体"/>
            <family val="3"/>
            <charset val="134"/>
          </rPr>
          <t xml:space="preserve">
数量
</t>
        </r>
      </text>
    </comment>
    <comment ref="D627" authorId="0" shapeId="0" xr:uid="{00000000-0006-0000-0500-000015020000}">
      <text>
        <r>
          <rPr>
            <b/>
            <sz val="9"/>
            <rFont val="宋体"/>
            <family val="3"/>
            <charset val="134"/>
          </rPr>
          <t>Kevin She:</t>
        </r>
        <r>
          <rPr>
            <sz val="9"/>
            <rFont val="宋体"/>
            <family val="3"/>
            <charset val="134"/>
          </rPr>
          <t xml:space="preserve">
楼梯重量</t>
        </r>
      </text>
    </comment>
    <comment ref="E627" authorId="0" shapeId="0" xr:uid="{00000000-0006-0000-0500-000016020000}">
      <text>
        <r>
          <rPr>
            <b/>
            <sz val="9"/>
            <rFont val="宋体"/>
            <family val="3"/>
            <charset val="134"/>
          </rPr>
          <t>Kevin She:</t>
        </r>
        <r>
          <rPr>
            <sz val="9"/>
            <rFont val="宋体"/>
            <family val="3"/>
            <charset val="134"/>
          </rPr>
          <t xml:space="preserve">
工费
</t>
        </r>
      </text>
    </comment>
    <comment ref="F627" authorId="0" shapeId="0" xr:uid="{00000000-0006-0000-0500-000017020000}">
      <text>
        <r>
          <rPr>
            <b/>
            <sz val="9"/>
            <rFont val="宋体"/>
            <family val="3"/>
            <charset val="134"/>
          </rPr>
          <t>Kevin She:</t>
        </r>
        <r>
          <rPr>
            <sz val="9"/>
            <rFont val="宋体"/>
            <family val="3"/>
            <charset val="134"/>
          </rPr>
          <t xml:space="preserve">
数量
</t>
        </r>
      </text>
    </comment>
    <comment ref="D628" authorId="0" shapeId="0" xr:uid="{00000000-0006-0000-0500-000018020000}">
      <text>
        <r>
          <rPr>
            <b/>
            <sz val="9"/>
            <rFont val="宋体"/>
            <family val="3"/>
            <charset val="134"/>
          </rPr>
          <t>Kevin She:</t>
        </r>
        <r>
          <rPr>
            <sz val="9"/>
            <rFont val="宋体"/>
            <family val="3"/>
            <charset val="134"/>
          </rPr>
          <t xml:space="preserve">
楼梯重量</t>
        </r>
      </text>
    </comment>
    <comment ref="E628" authorId="0" shapeId="0" xr:uid="{00000000-0006-0000-0500-000019020000}">
      <text>
        <r>
          <rPr>
            <b/>
            <sz val="9"/>
            <rFont val="宋体"/>
            <family val="3"/>
            <charset val="134"/>
          </rPr>
          <t>Kevin She:</t>
        </r>
        <r>
          <rPr>
            <sz val="9"/>
            <rFont val="宋体"/>
            <family val="3"/>
            <charset val="134"/>
          </rPr>
          <t xml:space="preserve">
工费
</t>
        </r>
      </text>
    </comment>
    <comment ref="F628" authorId="0" shapeId="0" xr:uid="{00000000-0006-0000-0500-00001A020000}">
      <text>
        <r>
          <rPr>
            <b/>
            <sz val="9"/>
            <rFont val="宋体"/>
            <family val="3"/>
            <charset val="134"/>
          </rPr>
          <t>Kevin She:</t>
        </r>
        <r>
          <rPr>
            <sz val="9"/>
            <rFont val="宋体"/>
            <family val="3"/>
            <charset val="134"/>
          </rPr>
          <t xml:space="preserve">
数量
</t>
        </r>
      </text>
    </comment>
    <comment ref="D629" authorId="0" shapeId="0" xr:uid="{00000000-0006-0000-0500-00001B020000}">
      <text>
        <r>
          <rPr>
            <b/>
            <sz val="9"/>
            <rFont val="宋体"/>
            <family val="3"/>
            <charset val="134"/>
          </rPr>
          <t>Kevin She:</t>
        </r>
        <r>
          <rPr>
            <sz val="9"/>
            <rFont val="宋体"/>
            <family val="3"/>
            <charset val="134"/>
          </rPr>
          <t xml:space="preserve">
楼梯重量</t>
        </r>
      </text>
    </comment>
    <comment ref="E629" authorId="0" shapeId="0" xr:uid="{00000000-0006-0000-0500-00001C020000}">
      <text>
        <r>
          <rPr>
            <b/>
            <sz val="9"/>
            <rFont val="宋体"/>
            <family val="3"/>
            <charset val="134"/>
          </rPr>
          <t>Kevin She:</t>
        </r>
        <r>
          <rPr>
            <sz val="9"/>
            <rFont val="宋体"/>
            <family val="3"/>
            <charset val="134"/>
          </rPr>
          <t xml:space="preserve">
工费
</t>
        </r>
      </text>
    </comment>
    <comment ref="F629" authorId="0" shapeId="0" xr:uid="{00000000-0006-0000-0500-00001D020000}">
      <text>
        <r>
          <rPr>
            <b/>
            <sz val="9"/>
            <rFont val="宋体"/>
            <family val="3"/>
            <charset val="134"/>
          </rPr>
          <t>Kevin She:</t>
        </r>
        <r>
          <rPr>
            <sz val="9"/>
            <rFont val="宋体"/>
            <family val="3"/>
            <charset val="134"/>
          </rPr>
          <t xml:space="preserve">
数量
</t>
        </r>
      </text>
    </comment>
    <comment ref="D630" authorId="0" shapeId="0" xr:uid="{00000000-0006-0000-0500-00001E020000}">
      <text>
        <r>
          <rPr>
            <b/>
            <sz val="9"/>
            <rFont val="宋体"/>
            <family val="3"/>
            <charset val="134"/>
          </rPr>
          <t>Kevin She:</t>
        </r>
        <r>
          <rPr>
            <sz val="9"/>
            <rFont val="宋体"/>
            <family val="3"/>
            <charset val="134"/>
          </rPr>
          <t xml:space="preserve">
楼梯重量</t>
        </r>
      </text>
    </comment>
    <comment ref="E630" authorId="0" shapeId="0" xr:uid="{00000000-0006-0000-0500-00001F020000}">
      <text>
        <r>
          <rPr>
            <b/>
            <sz val="9"/>
            <rFont val="宋体"/>
            <family val="3"/>
            <charset val="134"/>
          </rPr>
          <t>Kevin She:</t>
        </r>
        <r>
          <rPr>
            <sz val="9"/>
            <rFont val="宋体"/>
            <family val="3"/>
            <charset val="134"/>
          </rPr>
          <t xml:space="preserve">
工费
</t>
        </r>
      </text>
    </comment>
    <comment ref="F630" authorId="0" shapeId="0" xr:uid="{00000000-0006-0000-0500-000020020000}">
      <text>
        <r>
          <rPr>
            <b/>
            <sz val="9"/>
            <rFont val="宋体"/>
            <family val="3"/>
            <charset val="134"/>
          </rPr>
          <t>Kevin She:</t>
        </r>
        <r>
          <rPr>
            <sz val="9"/>
            <rFont val="宋体"/>
            <family val="3"/>
            <charset val="134"/>
          </rPr>
          <t xml:space="preserve">
数量
</t>
        </r>
      </text>
    </comment>
    <comment ref="D631" authorId="0" shapeId="0" xr:uid="{00000000-0006-0000-0500-000021020000}">
      <text>
        <r>
          <rPr>
            <b/>
            <sz val="9"/>
            <rFont val="宋体"/>
            <family val="3"/>
            <charset val="134"/>
          </rPr>
          <t>Kevin She:</t>
        </r>
        <r>
          <rPr>
            <sz val="9"/>
            <rFont val="宋体"/>
            <family val="3"/>
            <charset val="134"/>
          </rPr>
          <t xml:space="preserve">
楼梯重量</t>
        </r>
      </text>
    </comment>
    <comment ref="E631" authorId="0" shapeId="0" xr:uid="{00000000-0006-0000-0500-000022020000}">
      <text>
        <r>
          <rPr>
            <b/>
            <sz val="9"/>
            <rFont val="宋体"/>
            <family val="3"/>
            <charset val="134"/>
          </rPr>
          <t>Kevin She:</t>
        </r>
        <r>
          <rPr>
            <sz val="9"/>
            <rFont val="宋体"/>
            <family val="3"/>
            <charset val="134"/>
          </rPr>
          <t xml:space="preserve">
工费
</t>
        </r>
      </text>
    </comment>
    <comment ref="F631" authorId="0" shapeId="0" xr:uid="{00000000-0006-0000-0500-000023020000}">
      <text>
        <r>
          <rPr>
            <b/>
            <sz val="9"/>
            <rFont val="宋体"/>
            <family val="3"/>
            <charset val="134"/>
          </rPr>
          <t>Kevin She:</t>
        </r>
        <r>
          <rPr>
            <sz val="9"/>
            <rFont val="宋体"/>
            <family val="3"/>
            <charset val="134"/>
          </rPr>
          <t xml:space="preserve">
数量
</t>
        </r>
      </text>
    </comment>
    <comment ref="D635" authorId="0" shapeId="0" xr:uid="{00000000-0006-0000-0500-000024020000}">
      <text>
        <r>
          <rPr>
            <b/>
            <sz val="9"/>
            <rFont val="宋体"/>
            <family val="3"/>
            <charset val="134"/>
          </rPr>
          <t>Kevin She:</t>
        </r>
        <r>
          <rPr>
            <sz val="9"/>
            <rFont val="宋体"/>
            <family val="3"/>
            <charset val="134"/>
          </rPr>
          <t xml:space="preserve">
楼梯重量</t>
        </r>
      </text>
    </comment>
    <comment ref="E635" authorId="0" shapeId="0" xr:uid="{00000000-0006-0000-0500-000025020000}">
      <text>
        <r>
          <rPr>
            <b/>
            <sz val="9"/>
            <rFont val="宋体"/>
            <family val="3"/>
            <charset val="134"/>
          </rPr>
          <t>Kevin She:</t>
        </r>
        <r>
          <rPr>
            <sz val="9"/>
            <rFont val="宋体"/>
            <family val="3"/>
            <charset val="134"/>
          </rPr>
          <t xml:space="preserve">
工费
</t>
        </r>
      </text>
    </comment>
    <comment ref="F635" authorId="0" shapeId="0" xr:uid="{00000000-0006-0000-0500-000026020000}">
      <text>
        <r>
          <rPr>
            <b/>
            <sz val="9"/>
            <rFont val="宋体"/>
            <family val="3"/>
            <charset val="134"/>
          </rPr>
          <t>Kevin She:</t>
        </r>
        <r>
          <rPr>
            <sz val="9"/>
            <rFont val="宋体"/>
            <family val="3"/>
            <charset val="134"/>
          </rPr>
          <t xml:space="preserve">
数量
</t>
        </r>
      </text>
    </comment>
    <comment ref="D636" authorId="0" shapeId="0" xr:uid="{00000000-0006-0000-0500-000027020000}">
      <text>
        <r>
          <rPr>
            <b/>
            <sz val="9"/>
            <rFont val="宋体"/>
            <family val="3"/>
            <charset val="134"/>
          </rPr>
          <t>Kevin She:</t>
        </r>
        <r>
          <rPr>
            <sz val="9"/>
            <rFont val="宋体"/>
            <family val="3"/>
            <charset val="134"/>
          </rPr>
          <t xml:space="preserve">
楼梯重量</t>
        </r>
      </text>
    </comment>
    <comment ref="E636" authorId="0" shapeId="0" xr:uid="{00000000-0006-0000-0500-000028020000}">
      <text>
        <r>
          <rPr>
            <b/>
            <sz val="9"/>
            <rFont val="宋体"/>
            <family val="3"/>
            <charset val="134"/>
          </rPr>
          <t>Kevin She:</t>
        </r>
        <r>
          <rPr>
            <sz val="9"/>
            <rFont val="宋体"/>
            <family val="3"/>
            <charset val="134"/>
          </rPr>
          <t xml:space="preserve">
工费
</t>
        </r>
      </text>
    </comment>
    <comment ref="F636" authorId="0" shapeId="0" xr:uid="{00000000-0006-0000-0500-000029020000}">
      <text>
        <r>
          <rPr>
            <b/>
            <sz val="9"/>
            <rFont val="宋体"/>
            <family val="3"/>
            <charset val="134"/>
          </rPr>
          <t>Kevin She:</t>
        </r>
        <r>
          <rPr>
            <sz val="9"/>
            <rFont val="宋体"/>
            <family val="3"/>
            <charset val="134"/>
          </rPr>
          <t xml:space="preserve">
数量
</t>
        </r>
      </text>
    </comment>
    <comment ref="D637" authorId="0" shapeId="0" xr:uid="{00000000-0006-0000-0500-00002A020000}">
      <text>
        <r>
          <rPr>
            <b/>
            <sz val="9"/>
            <rFont val="宋体"/>
            <family val="3"/>
            <charset val="134"/>
          </rPr>
          <t>Kevin She:</t>
        </r>
        <r>
          <rPr>
            <sz val="9"/>
            <rFont val="宋体"/>
            <family val="3"/>
            <charset val="134"/>
          </rPr>
          <t xml:space="preserve">
楼梯重量</t>
        </r>
      </text>
    </comment>
    <comment ref="E637" authorId="0" shapeId="0" xr:uid="{00000000-0006-0000-0500-00002B020000}">
      <text>
        <r>
          <rPr>
            <b/>
            <sz val="9"/>
            <rFont val="宋体"/>
            <family val="3"/>
            <charset val="134"/>
          </rPr>
          <t>Kevin She:</t>
        </r>
        <r>
          <rPr>
            <sz val="9"/>
            <rFont val="宋体"/>
            <family val="3"/>
            <charset val="134"/>
          </rPr>
          <t xml:space="preserve">
工费
</t>
        </r>
      </text>
    </comment>
    <comment ref="F637" authorId="0" shapeId="0" xr:uid="{00000000-0006-0000-0500-00002C020000}">
      <text>
        <r>
          <rPr>
            <b/>
            <sz val="9"/>
            <rFont val="宋体"/>
            <family val="3"/>
            <charset val="134"/>
          </rPr>
          <t>Kevin She:</t>
        </r>
        <r>
          <rPr>
            <sz val="9"/>
            <rFont val="宋体"/>
            <family val="3"/>
            <charset val="134"/>
          </rPr>
          <t xml:space="preserve">
数量
</t>
        </r>
      </text>
    </comment>
    <comment ref="D638" authorId="0" shapeId="0" xr:uid="{00000000-0006-0000-0500-00002D020000}">
      <text>
        <r>
          <rPr>
            <b/>
            <sz val="9"/>
            <rFont val="宋体"/>
            <family val="3"/>
            <charset val="134"/>
          </rPr>
          <t>Kevin She:</t>
        </r>
        <r>
          <rPr>
            <sz val="9"/>
            <rFont val="宋体"/>
            <family val="3"/>
            <charset val="134"/>
          </rPr>
          <t xml:space="preserve">
楼梯重量</t>
        </r>
      </text>
    </comment>
    <comment ref="E638" authorId="0" shapeId="0" xr:uid="{00000000-0006-0000-0500-00002E020000}">
      <text>
        <r>
          <rPr>
            <b/>
            <sz val="9"/>
            <rFont val="宋体"/>
            <family val="3"/>
            <charset val="134"/>
          </rPr>
          <t>Kevin She:</t>
        </r>
        <r>
          <rPr>
            <sz val="9"/>
            <rFont val="宋体"/>
            <family val="3"/>
            <charset val="134"/>
          </rPr>
          <t xml:space="preserve">
工费
</t>
        </r>
      </text>
    </comment>
    <comment ref="F638" authorId="0" shapeId="0" xr:uid="{00000000-0006-0000-0500-00002F020000}">
      <text>
        <r>
          <rPr>
            <b/>
            <sz val="9"/>
            <rFont val="宋体"/>
            <family val="3"/>
            <charset val="134"/>
          </rPr>
          <t>Kevin She:</t>
        </r>
        <r>
          <rPr>
            <sz val="9"/>
            <rFont val="宋体"/>
            <family val="3"/>
            <charset val="134"/>
          </rPr>
          <t xml:space="preserve">
数量
</t>
        </r>
      </text>
    </comment>
    <comment ref="D639" authorId="0" shapeId="0" xr:uid="{00000000-0006-0000-0500-000030020000}">
      <text>
        <r>
          <rPr>
            <b/>
            <sz val="9"/>
            <rFont val="宋体"/>
            <family val="3"/>
            <charset val="134"/>
          </rPr>
          <t>Kevin She:</t>
        </r>
        <r>
          <rPr>
            <sz val="9"/>
            <rFont val="宋体"/>
            <family val="3"/>
            <charset val="134"/>
          </rPr>
          <t xml:space="preserve">
楼梯重量</t>
        </r>
      </text>
    </comment>
    <comment ref="E639" authorId="0" shapeId="0" xr:uid="{00000000-0006-0000-0500-000031020000}">
      <text>
        <r>
          <rPr>
            <b/>
            <sz val="9"/>
            <rFont val="宋体"/>
            <family val="3"/>
            <charset val="134"/>
          </rPr>
          <t>Kevin She:</t>
        </r>
        <r>
          <rPr>
            <sz val="9"/>
            <rFont val="宋体"/>
            <family val="3"/>
            <charset val="134"/>
          </rPr>
          <t xml:space="preserve">
工费
</t>
        </r>
      </text>
    </comment>
    <comment ref="F639" authorId="0" shapeId="0" xr:uid="{00000000-0006-0000-0500-000032020000}">
      <text>
        <r>
          <rPr>
            <b/>
            <sz val="9"/>
            <rFont val="宋体"/>
            <family val="3"/>
            <charset val="134"/>
          </rPr>
          <t>Kevin She:</t>
        </r>
        <r>
          <rPr>
            <sz val="9"/>
            <rFont val="宋体"/>
            <family val="3"/>
            <charset val="134"/>
          </rPr>
          <t xml:space="preserve">
数量
</t>
        </r>
      </text>
    </comment>
    <comment ref="D640" authorId="0" shapeId="0" xr:uid="{00000000-0006-0000-0500-000033020000}">
      <text>
        <r>
          <rPr>
            <b/>
            <sz val="9"/>
            <rFont val="宋体"/>
            <family val="3"/>
            <charset val="134"/>
          </rPr>
          <t>Kevin She:</t>
        </r>
        <r>
          <rPr>
            <sz val="9"/>
            <rFont val="宋体"/>
            <family val="3"/>
            <charset val="134"/>
          </rPr>
          <t xml:space="preserve">
楼梯重量</t>
        </r>
      </text>
    </comment>
    <comment ref="E640" authorId="0" shapeId="0" xr:uid="{00000000-0006-0000-0500-000034020000}">
      <text>
        <r>
          <rPr>
            <b/>
            <sz val="9"/>
            <rFont val="宋体"/>
            <family val="3"/>
            <charset val="134"/>
          </rPr>
          <t>Kevin She:</t>
        </r>
        <r>
          <rPr>
            <sz val="9"/>
            <rFont val="宋体"/>
            <family val="3"/>
            <charset val="134"/>
          </rPr>
          <t xml:space="preserve">
工费
</t>
        </r>
      </text>
    </comment>
    <comment ref="F640" authorId="0" shapeId="0" xr:uid="{00000000-0006-0000-0500-000035020000}">
      <text>
        <r>
          <rPr>
            <b/>
            <sz val="9"/>
            <rFont val="宋体"/>
            <family val="3"/>
            <charset val="134"/>
          </rPr>
          <t>Kevin She:</t>
        </r>
        <r>
          <rPr>
            <sz val="9"/>
            <rFont val="宋体"/>
            <family val="3"/>
            <charset val="134"/>
          </rPr>
          <t xml:space="preserve">
数量
</t>
        </r>
      </text>
    </comment>
    <comment ref="E644" authorId="0" shapeId="0" xr:uid="{00000000-0006-0000-0500-000036020000}">
      <text>
        <r>
          <rPr>
            <b/>
            <sz val="9"/>
            <rFont val="宋体"/>
            <family val="3"/>
            <charset val="134"/>
          </rPr>
          <t>Kevin She:</t>
        </r>
        <r>
          <rPr>
            <sz val="9"/>
            <rFont val="宋体"/>
            <family val="3"/>
            <charset val="134"/>
          </rPr>
          <t xml:space="preserve">
D</t>
        </r>
      </text>
    </comment>
    <comment ref="F644" authorId="0" shapeId="0" xr:uid="{00000000-0006-0000-0500-000037020000}">
      <text>
        <r>
          <rPr>
            <b/>
            <sz val="9"/>
            <rFont val="宋体"/>
            <family val="3"/>
            <charset val="134"/>
          </rPr>
          <t>Kevin She:</t>
        </r>
        <r>
          <rPr>
            <sz val="9"/>
            <rFont val="宋体"/>
            <family val="3"/>
            <charset val="134"/>
          </rPr>
          <t xml:space="preserve">
W</t>
        </r>
      </text>
    </comment>
    <comment ref="D645" authorId="0" shapeId="0" xr:uid="{00000000-0006-0000-0500-000038020000}">
      <text>
        <r>
          <rPr>
            <b/>
            <sz val="9"/>
            <rFont val="宋体"/>
            <family val="3"/>
            <charset val="134"/>
          </rPr>
          <t>Kevin She:</t>
        </r>
        <r>
          <rPr>
            <sz val="9"/>
            <rFont val="宋体"/>
            <family val="3"/>
            <charset val="134"/>
          </rPr>
          <t xml:space="preserve">
线径</t>
        </r>
      </text>
    </comment>
    <comment ref="E645" authorId="0" shapeId="0" xr:uid="{00000000-0006-0000-0500-000039020000}">
      <text>
        <r>
          <rPr>
            <b/>
            <sz val="9"/>
            <rFont val="宋体"/>
            <family val="3"/>
            <charset val="134"/>
          </rPr>
          <t>Kevin She:</t>
        </r>
        <r>
          <rPr>
            <sz val="9"/>
            <rFont val="宋体"/>
            <family val="3"/>
            <charset val="134"/>
          </rPr>
          <t xml:space="preserve">
筋数</t>
        </r>
      </text>
    </comment>
    <comment ref="F645" authorId="0" shapeId="0" xr:uid="{00000000-0006-0000-0500-00003A020000}">
      <text>
        <r>
          <rPr>
            <b/>
            <sz val="9"/>
            <rFont val="宋体"/>
            <family val="3"/>
            <charset val="134"/>
          </rPr>
          <t>Kevin She:</t>
        </r>
        <r>
          <rPr>
            <sz val="9"/>
            <rFont val="宋体"/>
            <family val="3"/>
            <charset val="134"/>
          </rPr>
          <t xml:space="preserve">
筋厚</t>
        </r>
      </text>
    </comment>
    <comment ref="G645" authorId="0" shapeId="0" xr:uid="{00000000-0006-0000-0500-00003B020000}">
      <text>
        <r>
          <rPr>
            <b/>
            <sz val="9"/>
            <rFont val="宋体"/>
            <family val="3"/>
            <charset val="134"/>
          </rPr>
          <t>Kevin She:</t>
        </r>
        <r>
          <rPr>
            <sz val="9"/>
            <rFont val="宋体"/>
            <family val="3"/>
            <charset val="134"/>
          </rPr>
          <t xml:space="preserve">
分成几块</t>
        </r>
      </text>
    </comment>
    <comment ref="E649" authorId="0" shapeId="0" xr:uid="{00000000-0006-0000-0500-00003C020000}">
      <text>
        <r>
          <rPr>
            <b/>
            <sz val="9"/>
            <rFont val="宋体"/>
            <family val="3"/>
            <charset val="134"/>
          </rPr>
          <t>Kevin She:</t>
        </r>
        <r>
          <rPr>
            <sz val="9"/>
            <rFont val="宋体"/>
            <family val="3"/>
            <charset val="134"/>
          </rPr>
          <t xml:space="preserve">
D</t>
        </r>
      </text>
    </comment>
    <comment ref="F649" authorId="0" shapeId="0" xr:uid="{00000000-0006-0000-0500-00003D020000}">
      <text>
        <r>
          <rPr>
            <b/>
            <sz val="9"/>
            <rFont val="宋体"/>
            <family val="3"/>
            <charset val="134"/>
          </rPr>
          <t>Kevin She:</t>
        </r>
        <r>
          <rPr>
            <sz val="9"/>
            <rFont val="宋体"/>
            <family val="3"/>
            <charset val="134"/>
          </rPr>
          <t xml:space="preserve">
W</t>
        </r>
      </text>
    </comment>
    <comment ref="D650" authorId="0" shapeId="0" xr:uid="{00000000-0006-0000-0500-00003E020000}">
      <text>
        <r>
          <rPr>
            <b/>
            <sz val="9"/>
            <rFont val="宋体"/>
            <family val="3"/>
            <charset val="134"/>
          </rPr>
          <t>Kevin She:</t>
        </r>
        <r>
          <rPr>
            <sz val="9"/>
            <rFont val="宋体"/>
            <family val="3"/>
            <charset val="134"/>
          </rPr>
          <t xml:space="preserve">
线径</t>
        </r>
      </text>
    </comment>
    <comment ref="E650" authorId="0" shapeId="0" xr:uid="{00000000-0006-0000-0500-00003F020000}">
      <text>
        <r>
          <rPr>
            <b/>
            <sz val="9"/>
            <rFont val="宋体"/>
            <family val="3"/>
            <charset val="134"/>
          </rPr>
          <t>Kevin She:</t>
        </r>
        <r>
          <rPr>
            <sz val="9"/>
            <rFont val="宋体"/>
            <family val="3"/>
            <charset val="134"/>
          </rPr>
          <t xml:space="preserve">
筋数</t>
        </r>
      </text>
    </comment>
    <comment ref="F650" authorId="0" shapeId="0" xr:uid="{00000000-0006-0000-0500-000040020000}">
      <text>
        <r>
          <rPr>
            <b/>
            <sz val="9"/>
            <rFont val="宋体"/>
            <family val="3"/>
            <charset val="134"/>
          </rPr>
          <t>Kevin She:</t>
        </r>
        <r>
          <rPr>
            <sz val="9"/>
            <rFont val="宋体"/>
            <family val="3"/>
            <charset val="134"/>
          </rPr>
          <t xml:space="preserve">
筋厚</t>
        </r>
      </text>
    </comment>
    <comment ref="G650" authorId="0" shapeId="0" xr:uid="{00000000-0006-0000-0500-000041020000}">
      <text>
        <r>
          <rPr>
            <b/>
            <sz val="9"/>
            <rFont val="宋体"/>
            <family val="3"/>
            <charset val="134"/>
          </rPr>
          <t>Kevin She:</t>
        </r>
        <r>
          <rPr>
            <sz val="9"/>
            <rFont val="宋体"/>
            <family val="3"/>
            <charset val="134"/>
          </rPr>
          <t xml:space="preserve">
分成几块</t>
        </r>
      </text>
    </comment>
    <comment ref="D654" authorId="0" shapeId="0" xr:uid="{00000000-0006-0000-0500-000042020000}">
      <text>
        <r>
          <rPr>
            <b/>
            <sz val="9"/>
            <rFont val="宋体"/>
            <family val="3"/>
            <charset val="134"/>
          </rPr>
          <t>Kevin She:</t>
        </r>
        <r>
          <rPr>
            <sz val="9"/>
            <rFont val="宋体"/>
            <family val="3"/>
            <charset val="134"/>
          </rPr>
          <t xml:space="preserve">
护脚单价</t>
        </r>
      </text>
    </comment>
    <comment ref="F654" authorId="0" shapeId="0" xr:uid="{00000000-0006-0000-0500-000043020000}">
      <text>
        <r>
          <rPr>
            <b/>
            <sz val="9"/>
            <rFont val="宋体"/>
            <family val="3"/>
            <charset val="134"/>
          </rPr>
          <t>Kevin She:</t>
        </r>
        <r>
          <rPr>
            <sz val="9"/>
            <rFont val="宋体"/>
            <family val="3"/>
            <charset val="134"/>
          </rPr>
          <t xml:space="preserve">
数量
</t>
        </r>
      </text>
    </comment>
    <comment ref="C655" authorId="0" shapeId="0" xr:uid="{00000000-0006-0000-0500-000044020000}">
      <text>
        <r>
          <rPr>
            <b/>
            <sz val="9"/>
            <rFont val="宋体"/>
            <family val="3"/>
            <charset val="134"/>
          </rPr>
          <t>Kevin She:</t>
        </r>
        <r>
          <rPr>
            <sz val="9"/>
            <rFont val="宋体"/>
            <family val="3"/>
            <charset val="134"/>
          </rPr>
          <t xml:space="preserve">
重量</t>
        </r>
      </text>
    </comment>
    <comment ref="D655" authorId="0" shapeId="0" xr:uid="{00000000-0006-0000-0500-000045020000}">
      <text>
        <r>
          <rPr>
            <b/>
            <sz val="9"/>
            <rFont val="宋体"/>
            <family val="3"/>
            <charset val="134"/>
          </rPr>
          <t>Kevin She:</t>
        </r>
        <r>
          <rPr>
            <sz val="9"/>
            <rFont val="宋体"/>
            <family val="3"/>
            <charset val="134"/>
          </rPr>
          <t xml:space="preserve">
喷塑单价</t>
        </r>
      </text>
    </comment>
    <comment ref="E655" authorId="0" shapeId="0" xr:uid="{00000000-0006-0000-0500-000046020000}">
      <text>
        <r>
          <rPr>
            <b/>
            <sz val="9"/>
            <rFont val="宋体"/>
            <family val="3"/>
            <charset val="134"/>
          </rPr>
          <t>Kevin She:</t>
        </r>
        <r>
          <rPr>
            <sz val="9"/>
            <rFont val="宋体"/>
            <family val="3"/>
            <charset val="134"/>
          </rPr>
          <t xml:space="preserve">
标准件单价</t>
        </r>
      </text>
    </comment>
    <comment ref="D659" authorId="0" shapeId="0" xr:uid="{00000000-0006-0000-0500-000047020000}">
      <text>
        <r>
          <rPr>
            <b/>
            <sz val="9"/>
            <rFont val="宋体"/>
            <family val="3"/>
            <charset val="134"/>
          </rPr>
          <t>Kevin She:</t>
        </r>
        <r>
          <rPr>
            <sz val="9"/>
            <rFont val="宋体"/>
            <family val="3"/>
            <charset val="134"/>
          </rPr>
          <t xml:space="preserve">
重量</t>
        </r>
      </text>
    </comment>
    <comment ref="E659" authorId="0" shapeId="0" xr:uid="{00000000-0006-0000-0500-000048020000}">
      <text>
        <r>
          <rPr>
            <b/>
            <sz val="9"/>
            <rFont val="宋体"/>
            <family val="3"/>
            <charset val="134"/>
          </rPr>
          <t>Kevin She:</t>
        </r>
        <r>
          <rPr>
            <sz val="9"/>
            <rFont val="宋体"/>
            <family val="3"/>
            <charset val="134"/>
          </rPr>
          <t xml:space="preserve">
工费单价</t>
        </r>
      </text>
    </comment>
    <comment ref="F659" authorId="0" shapeId="0" xr:uid="{00000000-0006-0000-0500-000049020000}">
      <text>
        <r>
          <rPr>
            <b/>
            <sz val="9"/>
            <rFont val="宋体"/>
            <family val="3"/>
            <charset val="134"/>
          </rPr>
          <t>Kevin She:</t>
        </r>
        <r>
          <rPr>
            <sz val="9"/>
            <rFont val="宋体"/>
            <family val="3"/>
            <charset val="134"/>
          </rPr>
          <t xml:space="preserve">
数量
</t>
        </r>
      </text>
    </comment>
    <comment ref="C660" authorId="0" shapeId="0" xr:uid="{00000000-0006-0000-0500-00004A020000}">
      <text>
        <r>
          <rPr>
            <b/>
            <sz val="9"/>
            <rFont val="宋体"/>
            <family val="3"/>
            <charset val="134"/>
          </rPr>
          <t>Kevin She:</t>
        </r>
        <r>
          <rPr>
            <sz val="9"/>
            <rFont val="宋体"/>
            <family val="3"/>
            <charset val="134"/>
          </rPr>
          <t xml:space="preserve">
重量</t>
        </r>
      </text>
    </comment>
    <comment ref="D660" authorId="0" shapeId="0" xr:uid="{00000000-0006-0000-0500-00004B020000}">
      <text>
        <r>
          <rPr>
            <b/>
            <sz val="9"/>
            <rFont val="宋体"/>
            <family val="3"/>
            <charset val="134"/>
          </rPr>
          <t>Kevin She:</t>
        </r>
        <r>
          <rPr>
            <sz val="9"/>
            <rFont val="宋体"/>
            <family val="3"/>
            <charset val="134"/>
          </rPr>
          <t xml:space="preserve">
喷塑单价</t>
        </r>
      </text>
    </comment>
    <comment ref="E660" authorId="0" shapeId="0" xr:uid="{00000000-0006-0000-0500-00004C020000}">
      <text>
        <r>
          <rPr>
            <b/>
            <sz val="9"/>
            <rFont val="宋体"/>
            <family val="3"/>
            <charset val="134"/>
          </rPr>
          <t>Kevin She:</t>
        </r>
        <r>
          <rPr>
            <sz val="9"/>
            <rFont val="宋体"/>
            <family val="3"/>
            <charset val="134"/>
          </rPr>
          <t xml:space="preserve">
标准件单价</t>
        </r>
      </text>
    </comment>
    <comment ref="D664" authorId="0" shapeId="0" xr:uid="{00000000-0006-0000-0500-00004D020000}">
      <text>
        <r>
          <rPr>
            <b/>
            <sz val="9"/>
            <rFont val="宋体"/>
            <family val="3"/>
            <charset val="134"/>
          </rPr>
          <t>Kevin She:</t>
        </r>
        <r>
          <rPr>
            <sz val="9"/>
            <rFont val="宋体"/>
            <family val="3"/>
            <charset val="134"/>
          </rPr>
          <t xml:space="preserve">
重量</t>
        </r>
      </text>
    </comment>
    <comment ref="E664" authorId="0" shapeId="0" xr:uid="{00000000-0006-0000-0500-00004E020000}">
      <text>
        <r>
          <rPr>
            <b/>
            <sz val="9"/>
            <rFont val="宋体"/>
            <family val="3"/>
            <charset val="134"/>
          </rPr>
          <t>Kevin She:</t>
        </r>
        <r>
          <rPr>
            <sz val="9"/>
            <rFont val="宋体"/>
            <family val="3"/>
            <charset val="134"/>
          </rPr>
          <t xml:space="preserve">
工费单价</t>
        </r>
      </text>
    </comment>
    <comment ref="F664" authorId="0" shapeId="0" xr:uid="{00000000-0006-0000-0500-00004F020000}">
      <text>
        <r>
          <rPr>
            <b/>
            <sz val="9"/>
            <rFont val="宋体"/>
            <family val="3"/>
            <charset val="134"/>
          </rPr>
          <t>Kevin She:</t>
        </r>
        <r>
          <rPr>
            <sz val="9"/>
            <rFont val="宋体"/>
            <family val="3"/>
            <charset val="134"/>
          </rPr>
          <t xml:space="preserve">
数量
</t>
        </r>
      </text>
    </comment>
    <comment ref="C665" authorId="0" shapeId="0" xr:uid="{00000000-0006-0000-0500-000050020000}">
      <text>
        <r>
          <rPr>
            <b/>
            <sz val="9"/>
            <rFont val="宋体"/>
            <family val="3"/>
            <charset val="134"/>
          </rPr>
          <t>Kevin She:</t>
        </r>
        <r>
          <rPr>
            <sz val="9"/>
            <rFont val="宋体"/>
            <family val="3"/>
            <charset val="134"/>
          </rPr>
          <t xml:space="preserve">
重量</t>
        </r>
      </text>
    </comment>
    <comment ref="D665" authorId="0" shapeId="0" xr:uid="{00000000-0006-0000-0500-000051020000}">
      <text>
        <r>
          <rPr>
            <b/>
            <sz val="9"/>
            <rFont val="宋体"/>
            <family val="3"/>
            <charset val="134"/>
          </rPr>
          <t>Kevin She:</t>
        </r>
        <r>
          <rPr>
            <sz val="9"/>
            <rFont val="宋体"/>
            <family val="3"/>
            <charset val="134"/>
          </rPr>
          <t xml:space="preserve">
喷塑单价</t>
        </r>
      </text>
    </comment>
    <comment ref="E665" authorId="0" shapeId="0" xr:uid="{00000000-0006-0000-0500-000052020000}">
      <text>
        <r>
          <rPr>
            <b/>
            <sz val="9"/>
            <rFont val="宋体"/>
            <family val="3"/>
            <charset val="134"/>
          </rPr>
          <t>Kevin She:</t>
        </r>
        <r>
          <rPr>
            <sz val="9"/>
            <rFont val="宋体"/>
            <family val="3"/>
            <charset val="134"/>
          </rPr>
          <t xml:space="preserve">
标准件单价</t>
        </r>
      </text>
    </comment>
    <comment ref="D669" authorId="0" shapeId="0" xr:uid="{00000000-0006-0000-0500-000053020000}">
      <text>
        <r>
          <rPr>
            <b/>
            <sz val="9"/>
            <rFont val="宋体"/>
            <family val="3"/>
            <charset val="134"/>
          </rPr>
          <t>Kevin She:</t>
        </r>
        <r>
          <rPr>
            <sz val="9"/>
            <rFont val="宋体"/>
            <family val="3"/>
            <charset val="134"/>
          </rPr>
          <t xml:space="preserve">
长</t>
        </r>
      </text>
    </comment>
    <comment ref="E669" authorId="0" shapeId="0" xr:uid="{00000000-0006-0000-0500-000054020000}">
      <text>
        <r>
          <rPr>
            <b/>
            <sz val="9"/>
            <rFont val="宋体"/>
            <family val="3"/>
            <charset val="134"/>
          </rPr>
          <t>Kevin She:</t>
        </r>
        <r>
          <rPr>
            <sz val="9"/>
            <rFont val="宋体"/>
            <family val="3"/>
            <charset val="134"/>
          </rPr>
          <t xml:space="preserve">
宽</t>
        </r>
      </text>
    </comment>
    <comment ref="F669" authorId="0" shapeId="0" xr:uid="{00000000-0006-0000-0500-000055020000}">
      <text>
        <r>
          <rPr>
            <b/>
            <sz val="9"/>
            <rFont val="宋体"/>
            <family val="3"/>
            <charset val="134"/>
          </rPr>
          <t>Kevin She:</t>
        </r>
        <r>
          <rPr>
            <sz val="9"/>
            <rFont val="宋体"/>
            <family val="3"/>
            <charset val="134"/>
          </rPr>
          <t xml:space="preserve">
数量
</t>
        </r>
      </text>
    </comment>
    <comment ref="C670" authorId="0" shapeId="0" xr:uid="{00000000-0006-0000-0500-000056020000}">
      <text>
        <r>
          <rPr>
            <b/>
            <sz val="9"/>
            <rFont val="宋体"/>
            <family val="3"/>
            <charset val="134"/>
          </rPr>
          <t>Kevin She:</t>
        </r>
        <r>
          <rPr>
            <sz val="9"/>
            <rFont val="宋体"/>
            <family val="3"/>
            <charset val="134"/>
          </rPr>
          <t xml:space="preserve">
重量</t>
        </r>
      </text>
    </comment>
    <comment ref="D670" authorId="0" shapeId="0" xr:uid="{00000000-0006-0000-0500-000057020000}">
      <text>
        <r>
          <rPr>
            <b/>
            <sz val="9"/>
            <rFont val="宋体"/>
            <family val="3"/>
            <charset val="134"/>
          </rPr>
          <t>Kevin She:</t>
        </r>
        <r>
          <rPr>
            <sz val="9"/>
            <rFont val="宋体"/>
            <family val="3"/>
            <charset val="134"/>
          </rPr>
          <t xml:space="preserve">
重量</t>
        </r>
      </text>
    </comment>
    <comment ref="E670" authorId="0" shapeId="0" xr:uid="{00000000-0006-0000-0500-000058020000}">
      <text>
        <r>
          <rPr>
            <b/>
            <sz val="9"/>
            <rFont val="宋体"/>
            <family val="3"/>
            <charset val="134"/>
          </rPr>
          <t>Kevin She:</t>
        </r>
        <r>
          <rPr>
            <sz val="9"/>
            <rFont val="宋体"/>
            <family val="3"/>
            <charset val="134"/>
          </rPr>
          <t xml:space="preserve">
工费单价</t>
        </r>
      </text>
    </comment>
    <comment ref="C671" authorId="0" shapeId="0" xr:uid="{00000000-0006-0000-0500-000059020000}">
      <text>
        <r>
          <rPr>
            <b/>
            <sz val="9"/>
            <rFont val="宋体"/>
            <family val="3"/>
            <charset val="134"/>
          </rPr>
          <t>Kevin She:</t>
        </r>
        <r>
          <rPr>
            <sz val="9"/>
            <rFont val="宋体"/>
            <family val="3"/>
            <charset val="134"/>
          </rPr>
          <t xml:space="preserve">
片数</t>
        </r>
      </text>
    </comment>
    <comment ref="D671" authorId="0" shapeId="0" xr:uid="{00000000-0006-0000-0500-00005A020000}">
      <text>
        <r>
          <rPr>
            <b/>
            <sz val="9"/>
            <rFont val="宋体"/>
            <family val="3"/>
            <charset val="134"/>
          </rPr>
          <t>Kevin She:</t>
        </r>
        <r>
          <rPr>
            <sz val="9"/>
            <rFont val="宋体"/>
            <family val="3"/>
            <charset val="134"/>
          </rPr>
          <t xml:space="preserve">
喷塑单价</t>
        </r>
      </text>
    </comment>
    <comment ref="E671" authorId="0" shapeId="0" xr:uid="{00000000-0006-0000-0500-00005B020000}">
      <text>
        <r>
          <rPr>
            <b/>
            <sz val="9"/>
            <rFont val="宋体"/>
            <family val="3"/>
            <charset val="134"/>
          </rPr>
          <t>Kevin She:</t>
        </r>
        <r>
          <rPr>
            <sz val="9"/>
            <rFont val="宋体"/>
            <family val="3"/>
            <charset val="134"/>
          </rPr>
          <t xml:space="preserve">
标准件单价</t>
        </r>
      </text>
    </comment>
    <comment ref="D674" authorId="0" shapeId="0" xr:uid="{00000000-0006-0000-0500-00005C020000}">
      <text>
        <r>
          <rPr>
            <b/>
            <sz val="9"/>
            <rFont val="宋体"/>
            <family val="3"/>
            <charset val="134"/>
          </rPr>
          <t>Kevin She:</t>
        </r>
        <r>
          <rPr>
            <sz val="9"/>
            <rFont val="宋体"/>
            <family val="3"/>
            <charset val="134"/>
          </rPr>
          <t xml:space="preserve">
长</t>
        </r>
      </text>
    </comment>
    <comment ref="E674" authorId="0" shapeId="0" xr:uid="{00000000-0006-0000-0500-00005D020000}">
      <text>
        <r>
          <rPr>
            <b/>
            <sz val="9"/>
            <rFont val="宋体"/>
            <family val="3"/>
            <charset val="134"/>
          </rPr>
          <t>Kevin She:</t>
        </r>
        <r>
          <rPr>
            <sz val="9"/>
            <rFont val="宋体"/>
            <family val="3"/>
            <charset val="134"/>
          </rPr>
          <t xml:space="preserve">
宽</t>
        </r>
      </text>
    </comment>
    <comment ref="F674" authorId="0" shapeId="0" xr:uid="{00000000-0006-0000-0500-00005E020000}">
      <text>
        <r>
          <rPr>
            <b/>
            <sz val="9"/>
            <rFont val="宋体"/>
            <family val="3"/>
            <charset val="134"/>
          </rPr>
          <t>Kevin She:</t>
        </r>
        <r>
          <rPr>
            <sz val="9"/>
            <rFont val="宋体"/>
            <family val="3"/>
            <charset val="134"/>
          </rPr>
          <t xml:space="preserve">
数量
</t>
        </r>
      </text>
    </comment>
    <comment ref="C675" authorId="0" shapeId="0" xr:uid="{00000000-0006-0000-0500-00005F020000}">
      <text>
        <r>
          <rPr>
            <b/>
            <sz val="9"/>
            <rFont val="宋体"/>
            <family val="3"/>
            <charset val="134"/>
          </rPr>
          <t>Kevin She:</t>
        </r>
        <r>
          <rPr>
            <sz val="9"/>
            <rFont val="宋体"/>
            <family val="3"/>
            <charset val="134"/>
          </rPr>
          <t xml:space="preserve">
重量</t>
        </r>
      </text>
    </comment>
    <comment ref="D675" authorId="0" shapeId="0" xr:uid="{00000000-0006-0000-0500-000060020000}">
      <text>
        <r>
          <rPr>
            <b/>
            <sz val="9"/>
            <rFont val="宋体"/>
            <family val="3"/>
            <charset val="134"/>
          </rPr>
          <t>Kevin She:</t>
        </r>
        <r>
          <rPr>
            <sz val="9"/>
            <rFont val="宋体"/>
            <family val="3"/>
            <charset val="134"/>
          </rPr>
          <t xml:space="preserve">
重量</t>
        </r>
      </text>
    </comment>
    <comment ref="E675" authorId="0" shapeId="0" xr:uid="{00000000-0006-0000-0500-000061020000}">
      <text>
        <r>
          <rPr>
            <b/>
            <sz val="9"/>
            <rFont val="宋体"/>
            <family val="3"/>
            <charset val="134"/>
          </rPr>
          <t>Kevin She:</t>
        </r>
        <r>
          <rPr>
            <sz val="9"/>
            <rFont val="宋体"/>
            <family val="3"/>
            <charset val="134"/>
          </rPr>
          <t xml:space="preserve">
工费单价</t>
        </r>
      </text>
    </comment>
    <comment ref="C676" authorId="0" shapeId="0" xr:uid="{00000000-0006-0000-0500-000062020000}">
      <text>
        <r>
          <rPr>
            <b/>
            <sz val="9"/>
            <rFont val="宋体"/>
            <family val="3"/>
            <charset val="134"/>
          </rPr>
          <t>Kevin She:</t>
        </r>
        <r>
          <rPr>
            <sz val="9"/>
            <rFont val="宋体"/>
            <family val="3"/>
            <charset val="134"/>
          </rPr>
          <t xml:space="preserve">
片数</t>
        </r>
      </text>
    </comment>
    <comment ref="D676" authorId="0" shapeId="0" xr:uid="{00000000-0006-0000-0500-000063020000}">
      <text>
        <r>
          <rPr>
            <b/>
            <sz val="9"/>
            <rFont val="宋体"/>
            <family val="3"/>
            <charset val="134"/>
          </rPr>
          <t>Kevin She:</t>
        </r>
        <r>
          <rPr>
            <sz val="9"/>
            <rFont val="宋体"/>
            <family val="3"/>
            <charset val="134"/>
          </rPr>
          <t xml:space="preserve">
喷塑单价</t>
        </r>
      </text>
    </comment>
    <comment ref="E676" authorId="0" shapeId="0" xr:uid="{00000000-0006-0000-0500-000064020000}">
      <text>
        <r>
          <rPr>
            <b/>
            <sz val="9"/>
            <rFont val="宋体"/>
            <family val="3"/>
            <charset val="134"/>
          </rPr>
          <t>Kevin She:</t>
        </r>
        <r>
          <rPr>
            <sz val="9"/>
            <rFont val="宋体"/>
            <family val="3"/>
            <charset val="134"/>
          </rPr>
          <t xml:space="preserve">
标准件单价</t>
        </r>
      </text>
    </comment>
    <comment ref="C679" authorId="0" shapeId="0" xr:uid="{00000000-0006-0000-0500-000065020000}">
      <text>
        <r>
          <rPr>
            <b/>
            <sz val="9"/>
            <rFont val="宋体"/>
            <family val="3"/>
            <charset val="134"/>
          </rPr>
          <t>Kevin She:</t>
        </r>
        <r>
          <rPr>
            <sz val="9"/>
            <rFont val="宋体"/>
            <family val="3"/>
            <charset val="134"/>
          </rPr>
          <t xml:space="preserve">
重量</t>
        </r>
      </text>
    </comment>
    <comment ref="D679" authorId="0" shapeId="0" xr:uid="{00000000-0006-0000-0500-000066020000}">
      <text>
        <r>
          <rPr>
            <b/>
            <sz val="9"/>
            <rFont val="宋体"/>
            <family val="3"/>
            <charset val="134"/>
          </rPr>
          <t>Kevin She:</t>
        </r>
        <r>
          <rPr>
            <sz val="9"/>
            <rFont val="宋体"/>
            <family val="3"/>
            <charset val="134"/>
          </rPr>
          <t xml:space="preserve">
材料单价</t>
        </r>
      </text>
    </comment>
    <comment ref="E679" authorId="0" shapeId="0" xr:uid="{00000000-0006-0000-0500-000067020000}">
      <text>
        <r>
          <rPr>
            <b/>
            <sz val="9"/>
            <rFont val="宋体"/>
            <family val="3"/>
            <charset val="134"/>
          </rPr>
          <t>Kevin She:</t>
        </r>
        <r>
          <rPr>
            <sz val="9"/>
            <rFont val="宋体"/>
            <family val="3"/>
            <charset val="134"/>
          </rPr>
          <t xml:space="preserve">
喷塑单价</t>
        </r>
      </text>
    </comment>
    <comment ref="F679" authorId="0" shapeId="0" xr:uid="{00000000-0006-0000-0500-000068020000}">
      <text>
        <r>
          <rPr>
            <b/>
            <sz val="9"/>
            <rFont val="宋体"/>
            <family val="3"/>
            <charset val="134"/>
          </rPr>
          <t>Kevin She:</t>
        </r>
        <r>
          <rPr>
            <sz val="9"/>
            <rFont val="宋体"/>
            <family val="3"/>
            <charset val="134"/>
          </rPr>
          <t xml:space="preserve">
标准件单价
</t>
        </r>
      </text>
    </comment>
    <comment ref="C680" authorId="0" shapeId="0" xr:uid="{00000000-0006-0000-0500-000069020000}">
      <text>
        <r>
          <rPr>
            <b/>
            <sz val="9"/>
            <rFont val="宋体"/>
            <family val="3"/>
            <charset val="134"/>
          </rPr>
          <t>Kevin She:</t>
        </r>
        <r>
          <rPr>
            <sz val="9"/>
            <rFont val="宋体"/>
            <family val="3"/>
            <charset val="134"/>
          </rPr>
          <t xml:space="preserve">
L,长</t>
        </r>
      </text>
    </comment>
    <comment ref="D680" authorId="0" shapeId="0" xr:uid="{00000000-0006-0000-0500-00006A020000}">
      <text>
        <r>
          <rPr>
            <b/>
            <sz val="9"/>
            <rFont val="宋体"/>
            <family val="3"/>
            <charset val="134"/>
          </rPr>
          <t>Kevin She:</t>
        </r>
        <r>
          <rPr>
            <sz val="9"/>
            <rFont val="宋体"/>
            <family val="3"/>
            <charset val="134"/>
          </rPr>
          <t xml:space="preserve">
根数</t>
        </r>
      </text>
    </comment>
    <comment ref="E680" authorId="0" shapeId="0" xr:uid="{00000000-0006-0000-0500-00006B020000}">
      <text>
        <r>
          <rPr>
            <b/>
            <sz val="9"/>
            <rFont val="宋体"/>
            <family val="3"/>
            <charset val="134"/>
          </rPr>
          <t>Kevin She:</t>
        </r>
        <r>
          <rPr>
            <sz val="9"/>
            <rFont val="宋体"/>
            <family val="3"/>
            <charset val="134"/>
          </rPr>
          <t xml:space="preserve">
高</t>
        </r>
      </text>
    </comment>
    <comment ref="F680" authorId="0" shapeId="0" xr:uid="{00000000-0006-0000-0500-00006C020000}">
      <text>
        <r>
          <rPr>
            <b/>
            <sz val="9"/>
            <rFont val="宋体"/>
            <family val="3"/>
            <charset val="134"/>
          </rPr>
          <t>Kevin She:</t>
        </r>
        <r>
          <rPr>
            <sz val="9"/>
            <rFont val="宋体"/>
            <family val="3"/>
            <charset val="134"/>
          </rPr>
          <t xml:space="preserve">
根数</t>
        </r>
      </text>
    </comment>
    <comment ref="D684" authorId="0" shapeId="0" xr:uid="{00000000-0006-0000-0500-00006D020000}">
      <text>
        <r>
          <rPr>
            <b/>
            <sz val="9"/>
            <rFont val="宋体"/>
            <family val="3"/>
            <charset val="134"/>
          </rPr>
          <t>Kevin She:</t>
        </r>
        <r>
          <rPr>
            <sz val="9"/>
            <rFont val="宋体"/>
            <family val="3"/>
            <charset val="134"/>
          </rPr>
          <t xml:space="preserve">
楼梯重量</t>
        </r>
      </text>
    </comment>
    <comment ref="E684" authorId="0" shapeId="0" xr:uid="{00000000-0006-0000-0500-00006E020000}">
      <text>
        <r>
          <rPr>
            <b/>
            <sz val="9"/>
            <rFont val="宋体"/>
            <family val="3"/>
            <charset val="134"/>
          </rPr>
          <t>Kevin She:</t>
        </r>
        <r>
          <rPr>
            <sz val="9"/>
            <rFont val="宋体"/>
            <family val="3"/>
            <charset val="134"/>
          </rPr>
          <t xml:space="preserve">
工费
</t>
        </r>
      </text>
    </comment>
    <comment ref="F684" authorId="0" shapeId="0" xr:uid="{00000000-0006-0000-0500-00006F020000}">
      <text>
        <r>
          <rPr>
            <b/>
            <sz val="9"/>
            <rFont val="宋体"/>
            <family val="3"/>
            <charset val="134"/>
          </rPr>
          <t>Kevin She:</t>
        </r>
        <r>
          <rPr>
            <sz val="9"/>
            <rFont val="宋体"/>
            <family val="3"/>
            <charset val="134"/>
          </rPr>
          <t xml:space="preserve">
数量
</t>
        </r>
      </text>
    </comment>
    <comment ref="D685" authorId="0" shapeId="0" xr:uid="{00000000-0006-0000-0500-000070020000}">
      <text>
        <r>
          <rPr>
            <b/>
            <sz val="9"/>
            <rFont val="宋体"/>
            <family val="3"/>
            <charset val="134"/>
          </rPr>
          <t>Kevin She:</t>
        </r>
        <r>
          <rPr>
            <sz val="9"/>
            <rFont val="宋体"/>
            <family val="3"/>
            <charset val="134"/>
          </rPr>
          <t xml:space="preserve">
楼梯重量</t>
        </r>
      </text>
    </comment>
    <comment ref="E685" authorId="0" shapeId="0" xr:uid="{00000000-0006-0000-0500-000071020000}">
      <text>
        <r>
          <rPr>
            <b/>
            <sz val="9"/>
            <rFont val="宋体"/>
            <family val="3"/>
            <charset val="134"/>
          </rPr>
          <t>Kevin She:</t>
        </r>
        <r>
          <rPr>
            <sz val="9"/>
            <rFont val="宋体"/>
            <family val="3"/>
            <charset val="134"/>
          </rPr>
          <t xml:space="preserve">
工费
</t>
        </r>
      </text>
    </comment>
    <comment ref="F685" authorId="0" shapeId="0" xr:uid="{00000000-0006-0000-0500-000072020000}">
      <text>
        <r>
          <rPr>
            <b/>
            <sz val="9"/>
            <rFont val="宋体"/>
            <family val="3"/>
            <charset val="134"/>
          </rPr>
          <t>Kevin She:</t>
        </r>
        <r>
          <rPr>
            <sz val="9"/>
            <rFont val="宋体"/>
            <family val="3"/>
            <charset val="134"/>
          </rPr>
          <t xml:space="preserve">
数量
</t>
        </r>
      </text>
    </comment>
    <comment ref="D689" authorId="0" shapeId="0" xr:uid="{00000000-0006-0000-0500-000073020000}">
      <text>
        <r>
          <rPr>
            <b/>
            <sz val="9"/>
            <rFont val="宋体"/>
            <family val="3"/>
            <charset val="134"/>
          </rPr>
          <t>Kevin She:</t>
        </r>
        <r>
          <rPr>
            <sz val="9"/>
            <rFont val="宋体"/>
            <family val="3"/>
            <charset val="134"/>
          </rPr>
          <t xml:space="preserve">
楼梯重量</t>
        </r>
      </text>
    </comment>
    <comment ref="E689" authorId="0" shapeId="0" xr:uid="{00000000-0006-0000-0500-000074020000}">
      <text>
        <r>
          <rPr>
            <b/>
            <sz val="9"/>
            <rFont val="宋体"/>
            <family val="3"/>
            <charset val="134"/>
          </rPr>
          <t>Kevin She:</t>
        </r>
        <r>
          <rPr>
            <sz val="9"/>
            <rFont val="宋体"/>
            <family val="3"/>
            <charset val="134"/>
          </rPr>
          <t xml:space="preserve">
工费
</t>
        </r>
      </text>
    </comment>
    <comment ref="F689" authorId="0" shapeId="0" xr:uid="{00000000-0006-0000-0500-000075020000}">
      <text>
        <r>
          <rPr>
            <b/>
            <sz val="9"/>
            <rFont val="宋体"/>
            <family val="3"/>
            <charset val="134"/>
          </rPr>
          <t>Kevin She:</t>
        </r>
        <r>
          <rPr>
            <sz val="9"/>
            <rFont val="宋体"/>
            <family val="3"/>
            <charset val="134"/>
          </rPr>
          <t xml:space="preserve">
数量
</t>
        </r>
      </text>
    </comment>
    <comment ref="D690" authorId="0" shapeId="0" xr:uid="{00000000-0006-0000-0500-000076020000}">
      <text>
        <r>
          <rPr>
            <b/>
            <sz val="9"/>
            <rFont val="宋体"/>
            <family val="3"/>
            <charset val="134"/>
          </rPr>
          <t>Kevin She:</t>
        </r>
        <r>
          <rPr>
            <sz val="9"/>
            <rFont val="宋体"/>
            <family val="3"/>
            <charset val="134"/>
          </rPr>
          <t xml:space="preserve">
楼梯重量</t>
        </r>
      </text>
    </comment>
    <comment ref="E690" authorId="0" shapeId="0" xr:uid="{00000000-0006-0000-0500-000077020000}">
      <text>
        <r>
          <rPr>
            <b/>
            <sz val="9"/>
            <rFont val="宋体"/>
            <family val="3"/>
            <charset val="134"/>
          </rPr>
          <t>Kevin She:</t>
        </r>
        <r>
          <rPr>
            <sz val="9"/>
            <rFont val="宋体"/>
            <family val="3"/>
            <charset val="134"/>
          </rPr>
          <t xml:space="preserve">
工费
</t>
        </r>
      </text>
    </comment>
    <comment ref="F690" authorId="0" shapeId="0" xr:uid="{00000000-0006-0000-0500-000078020000}">
      <text>
        <r>
          <rPr>
            <b/>
            <sz val="9"/>
            <rFont val="宋体"/>
            <family val="3"/>
            <charset val="134"/>
          </rPr>
          <t>Kevin She:</t>
        </r>
        <r>
          <rPr>
            <sz val="9"/>
            <rFont val="宋体"/>
            <family val="3"/>
            <charset val="134"/>
          </rPr>
          <t xml:space="preserve">
数量
</t>
        </r>
      </text>
    </comment>
    <comment ref="D691" authorId="0" shapeId="0" xr:uid="{00000000-0006-0000-0500-000079020000}">
      <text>
        <r>
          <rPr>
            <b/>
            <sz val="9"/>
            <rFont val="宋体"/>
            <family val="3"/>
            <charset val="134"/>
          </rPr>
          <t>Kevin She:</t>
        </r>
        <r>
          <rPr>
            <sz val="9"/>
            <rFont val="宋体"/>
            <family val="3"/>
            <charset val="134"/>
          </rPr>
          <t xml:space="preserve">
楼梯重量</t>
        </r>
      </text>
    </comment>
    <comment ref="E691" authorId="0" shapeId="0" xr:uid="{00000000-0006-0000-0500-00007A020000}">
      <text>
        <r>
          <rPr>
            <b/>
            <sz val="9"/>
            <rFont val="宋体"/>
            <family val="3"/>
            <charset val="134"/>
          </rPr>
          <t>Kevin She:</t>
        </r>
        <r>
          <rPr>
            <sz val="9"/>
            <rFont val="宋体"/>
            <family val="3"/>
            <charset val="134"/>
          </rPr>
          <t xml:space="preserve">
工费
</t>
        </r>
      </text>
    </comment>
    <comment ref="F691" authorId="0" shapeId="0" xr:uid="{00000000-0006-0000-0500-00007B020000}">
      <text>
        <r>
          <rPr>
            <b/>
            <sz val="9"/>
            <rFont val="宋体"/>
            <family val="3"/>
            <charset val="134"/>
          </rPr>
          <t>Kevin She:</t>
        </r>
        <r>
          <rPr>
            <sz val="9"/>
            <rFont val="宋体"/>
            <family val="3"/>
            <charset val="134"/>
          </rPr>
          <t xml:space="preserve">
数量
</t>
        </r>
      </text>
    </comment>
    <comment ref="D692" authorId="0" shapeId="0" xr:uid="{00000000-0006-0000-0500-00007C020000}">
      <text>
        <r>
          <rPr>
            <b/>
            <sz val="9"/>
            <rFont val="宋体"/>
            <family val="3"/>
            <charset val="134"/>
          </rPr>
          <t>Kevin She:</t>
        </r>
        <r>
          <rPr>
            <sz val="9"/>
            <rFont val="宋体"/>
            <family val="3"/>
            <charset val="134"/>
          </rPr>
          <t xml:space="preserve">
楼梯重量</t>
        </r>
      </text>
    </comment>
    <comment ref="E692" authorId="0" shapeId="0" xr:uid="{00000000-0006-0000-0500-00007D020000}">
      <text>
        <r>
          <rPr>
            <b/>
            <sz val="9"/>
            <rFont val="宋体"/>
            <family val="3"/>
            <charset val="134"/>
          </rPr>
          <t>Kevin She:</t>
        </r>
        <r>
          <rPr>
            <sz val="9"/>
            <rFont val="宋体"/>
            <family val="3"/>
            <charset val="134"/>
          </rPr>
          <t xml:space="preserve">
工费
</t>
        </r>
      </text>
    </comment>
    <comment ref="F692" authorId="0" shapeId="0" xr:uid="{00000000-0006-0000-0500-00007E020000}">
      <text>
        <r>
          <rPr>
            <b/>
            <sz val="9"/>
            <rFont val="宋体"/>
            <family val="3"/>
            <charset val="134"/>
          </rPr>
          <t>Kevin She:</t>
        </r>
        <r>
          <rPr>
            <sz val="9"/>
            <rFont val="宋体"/>
            <family val="3"/>
            <charset val="134"/>
          </rPr>
          <t xml:space="preserve">
数量
</t>
        </r>
      </text>
    </comment>
    <comment ref="D693" authorId="0" shapeId="0" xr:uid="{00000000-0006-0000-0500-00007F020000}">
      <text>
        <r>
          <rPr>
            <b/>
            <sz val="9"/>
            <rFont val="宋体"/>
            <family val="3"/>
            <charset val="134"/>
          </rPr>
          <t>Kevin She:</t>
        </r>
        <r>
          <rPr>
            <sz val="9"/>
            <rFont val="宋体"/>
            <family val="3"/>
            <charset val="134"/>
          </rPr>
          <t xml:space="preserve">
楼梯重量</t>
        </r>
      </text>
    </comment>
    <comment ref="E693" authorId="0" shapeId="0" xr:uid="{00000000-0006-0000-0500-000080020000}">
      <text>
        <r>
          <rPr>
            <b/>
            <sz val="9"/>
            <rFont val="宋体"/>
            <family val="3"/>
            <charset val="134"/>
          </rPr>
          <t>Kevin She:</t>
        </r>
        <r>
          <rPr>
            <sz val="9"/>
            <rFont val="宋体"/>
            <family val="3"/>
            <charset val="134"/>
          </rPr>
          <t xml:space="preserve">
工费
</t>
        </r>
      </text>
    </comment>
    <comment ref="F693" authorId="0" shapeId="0" xr:uid="{00000000-0006-0000-0500-000081020000}">
      <text>
        <r>
          <rPr>
            <b/>
            <sz val="9"/>
            <rFont val="宋体"/>
            <family val="3"/>
            <charset val="134"/>
          </rPr>
          <t>Kevin She:</t>
        </r>
        <r>
          <rPr>
            <sz val="9"/>
            <rFont val="宋体"/>
            <family val="3"/>
            <charset val="134"/>
          </rPr>
          <t xml:space="preserve">
数量
</t>
        </r>
      </text>
    </comment>
    <comment ref="D694" authorId="0" shapeId="0" xr:uid="{00000000-0006-0000-0500-000082020000}">
      <text>
        <r>
          <rPr>
            <b/>
            <sz val="9"/>
            <rFont val="宋体"/>
            <family val="3"/>
            <charset val="134"/>
          </rPr>
          <t>Kevin She:</t>
        </r>
        <r>
          <rPr>
            <sz val="9"/>
            <rFont val="宋体"/>
            <family val="3"/>
            <charset val="134"/>
          </rPr>
          <t xml:space="preserve">
楼梯重量</t>
        </r>
      </text>
    </comment>
    <comment ref="E694" authorId="0" shapeId="0" xr:uid="{00000000-0006-0000-0500-000083020000}">
      <text>
        <r>
          <rPr>
            <b/>
            <sz val="9"/>
            <rFont val="宋体"/>
            <family val="3"/>
            <charset val="134"/>
          </rPr>
          <t>Kevin She:</t>
        </r>
        <r>
          <rPr>
            <sz val="9"/>
            <rFont val="宋体"/>
            <family val="3"/>
            <charset val="134"/>
          </rPr>
          <t xml:space="preserve">
工费
</t>
        </r>
      </text>
    </comment>
    <comment ref="F694" authorId="0" shapeId="0" xr:uid="{00000000-0006-0000-0500-000084020000}">
      <text>
        <r>
          <rPr>
            <b/>
            <sz val="9"/>
            <rFont val="宋体"/>
            <family val="3"/>
            <charset val="134"/>
          </rPr>
          <t>Kevin She:</t>
        </r>
        <r>
          <rPr>
            <sz val="9"/>
            <rFont val="宋体"/>
            <family val="3"/>
            <charset val="134"/>
          </rPr>
          <t xml:space="preserve">
数量
</t>
        </r>
      </text>
    </comment>
    <comment ref="D698" authorId="0" shapeId="0" xr:uid="{00000000-0006-0000-0500-000085020000}">
      <text>
        <r>
          <rPr>
            <b/>
            <sz val="9"/>
            <rFont val="宋体"/>
            <family val="3"/>
            <charset val="134"/>
          </rPr>
          <t>Kevin She:</t>
        </r>
        <r>
          <rPr>
            <sz val="9"/>
            <rFont val="宋体"/>
            <family val="3"/>
            <charset val="134"/>
          </rPr>
          <t xml:space="preserve">
楼梯重量</t>
        </r>
      </text>
    </comment>
    <comment ref="E698" authorId="0" shapeId="0" xr:uid="{00000000-0006-0000-0500-000086020000}">
      <text>
        <r>
          <rPr>
            <b/>
            <sz val="9"/>
            <rFont val="宋体"/>
            <family val="3"/>
            <charset val="134"/>
          </rPr>
          <t>Kevin She:</t>
        </r>
        <r>
          <rPr>
            <sz val="9"/>
            <rFont val="宋体"/>
            <family val="3"/>
            <charset val="134"/>
          </rPr>
          <t xml:space="preserve">
工费
</t>
        </r>
      </text>
    </comment>
    <comment ref="F698" authorId="0" shapeId="0" xr:uid="{00000000-0006-0000-0500-000087020000}">
      <text>
        <r>
          <rPr>
            <b/>
            <sz val="9"/>
            <rFont val="宋体"/>
            <family val="3"/>
            <charset val="134"/>
          </rPr>
          <t>Kevin She:</t>
        </r>
        <r>
          <rPr>
            <sz val="9"/>
            <rFont val="宋体"/>
            <family val="3"/>
            <charset val="134"/>
          </rPr>
          <t xml:space="preserve">
数量
</t>
        </r>
      </text>
    </comment>
    <comment ref="D699" authorId="0" shapeId="0" xr:uid="{00000000-0006-0000-0500-000088020000}">
      <text>
        <r>
          <rPr>
            <b/>
            <sz val="9"/>
            <rFont val="宋体"/>
            <family val="3"/>
            <charset val="134"/>
          </rPr>
          <t>Kevin She:</t>
        </r>
        <r>
          <rPr>
            <sz val="9"/>
            <rFont val="宋体"/>
            <family val="3"/>
            <charset val="134"/>
          </rPr>
          <t xml:space="preserve">
楼梯重量</t>
        </r>
      </text>
    </comment>
    <comment ref="E699" authorId="0" shapeId="0" xr:uid="{00000000-0006-0000-0500-000089020000}">
      <text>
        <r>
          <rPr>
            <b/>
            <sz val="9"/>
            <rFont val="宋体"/>
            <family val="3"/>
            <charset val="134"/>
          </rPr>
          <t>Kevin She:</t>
        </r>
        <r>
          <rPr>
            <sz val="9"/>
            <rFont val="宋体"/>
            <family val="3"/>
            <charset val="134"/>
          </rPr>
          <t xml:space="preserve">
工费
</t>
        </r>
      </text>
    </comment>
    <comment ref="F699" authorId="0" shapeId="0" xr:uid="{00000000-0006-0000-0500-00008A020000}">
      <text>
        <r>
          <rPr>
            <b/>
            <sz val="9"/>
            <rFont val="宋体"/>
            <family val="3"/>
            <charset val="134"/>
          </rPr>
          <t>Kevin She:</t>
        </r>
        <r>
          <rPr>
            <sz val="9"/>
            <rFont val="宋体"/>
            <family val="3"/>
            <charset val="134"/>
          </rPr>
          <t xml:space="preserve">
数量
</t>
        </r>
      </text>
    </comment>
    <comment ref="D700" authorId="0" shapeId="0" xr:uid="{00000000-0006-0000-0500-00008B020000}">
      <text>
        <r>
          <rPr>
            <b/>
            <sz val="9"/>
            <rFont val="宋体"/>
            <family val="3"/>
            <charset val="134"/>
          </rPr>
          <t>Kevin She:</t>
        </r>
        <r>
          <rPr>
            <sz val="9"/>
            <rFont val="宋体"/>
            <family val="3"/>
            <charset val="134"/>
          </rPr>
          <t xml:space="preserve">
楼梯重量</t>
        </r>
      </text>
    </comment>
    <comment ref="E700" authorId="0" shapeId="0" xr:uid="{00000000-0006-0000-0500-00008C020000}">
      <text>
        <r>
          <rPr>
            <b/>
            <sz val="9"/>
            <rFont val="宋体"/>
            <family val="3"/>
            <charset val="134"/>
          </rPr>
          <t>Kevin She:</t>
        </r>
        <r>
          <rPr>
            <sz val="9"/>
            <rFont val="宋体"/>
            <family val="3"/>
            <charset val="134"/>
          </rPr>
          <t xml:space="preserve">
工费
</t>
        </r>
      </text>
    </comment>
    <comment ref="F700" authorId="0" shapeId="0" xr:uid="{00000000-0006-0000-0500-00008D020000}">
      <text>
        <r>
          <rPr>
            <b/>
            <sz val="9"/>
            <rFont val="宋体"/>
            <family val="3"/>
            <charset val="134"/>
          </rPr>
          <t>Kevin She:</t>
        </r>
        <r>
          <rPr>
            <sz val="9"/>
            <rFont val="宋体"/>
            <family val="3"/>
            <charset val="134"/>
          </rPr>
          <t xml:space="preserve">
数量
</t>
        </r>
      </text>
    </comment>
    <comment ref="D701" authorId="0" shapeId="0" xr:uid="{00000000-0006-0000-0500-00008E020000}">
      <text>
        <r>
          <rPr>
            <b/>
            <sz val="9"/>
            <rFont val="宋体"/>
            <family val="3"/>
            <charset val="134"/>
          </rPr>
          <t>Kevin She:</t>
        </r>
        <r>
          <rPr>
            <sz val="9"/>
            <rFont val="宋体"/>
            <family val="3"/>
            <charset val="134"/>
          </rPr>
          <t xml:space="preserve">
楼梯重量</t>
        </r>
      </text>
    </comment>
    <comment ref="E701" authorId="0" shapeId="0" xr:uid="{00000000-0006-0000-0500-00008F020000}">
      <text>
        <r>
          <rPr>
            <b/>
            <sz val="9"/>
            <rFont val="宋体"/>
            <family val="3"/>
            <charset val="134"/>
          </rPr>
          <t>Kevin She:</t>
        </r>
        <r>
          <rPr>
            <sz val="9"/>
            <rFont val="宋体"/>
            <family val="3"/>
            <charset val="134"/>
          </rPr>
          <t xml:space="preserve">
工费
</t>
        </r>
      </text>
    </comment>
    <comment ref="F701" authorId="0" shapeId="0" xr:uid="{00000000-0006-0000-0500-000090020000}">
      <text>
        <r>
          <rPr>
            <b/>
            <sz val="9"/>
            <rFont val="宋体"/>
            <family val="3"/>
            <charset val="134"/>
          </rPr>
          <t>Kevin She:</t>
        </r>
        <r>
          <rPr>
            <sz val="9"/>
            <rFont val="宋体"/>
            <family val="3"/>
            <charset val="134"/>
          </rPr>
          <t xml:space="preserve">
数量
</t>
        </r>
      </text>
    </comment>
    <comment ref="D702" authorId="0" shapeId="0" xr:uid="{00000000-0006-0000-0500-000091020000}">
      <text>
        <r>
          <rPr>
            <b/>
            <sz val="9"/>
            <rFont val="宋体"/>
            <family val="3"/>
            <charset val="134"/>
          </rPr>
          <t>Kevin She:</t>
        </r>
        <r>
          <rPr>
            <sz val="9"/>
            <rFont val="宋体"/>
            <family val="3"/>
            <charset val="134"/>
          </rPr>
          <t xml:space="preserve">
楼梯重量</t>
        </r>
      </text>
    </comment>
    <comment ref="E702" authorId="0" shapeId="0" xr:uid="{00000000-0006-0000-0500-000092020000}">
      <text>
        <r>
          <rPr>
            <b/>
            <sz val="9"/>
            <rFont val="宋体"/>
            <family val="3"/>
            <charset val="134"/>
          </rPr>
          <t>Kevin She:</t>
        </r>
        <r>
          <rPr>
            <sz val="9"/>
            <rFont val="宋体"/>
            <family val="3"/>
            <charset val="134"/>
          </rPr>
          <t xml:space="preserve">
工费
</t>
        </r>
      </text>
    </comment>
    <comment ref="F702" authorId="0" shapeId="0" xr:uid="{00000000-0006-0000-0500-000093020000}">
      <text>
        <r>
          <rPr>
            <b/>
            <sz val="9"/>
            <rFont val="宋体"/>
            <family val="3"/>
            <charset val="134"/>
          </rPr>
          <t>Kevin She:</t>
        </r>
        <r>
          <rPr>
            <sz val="9"/>
            <rFont val="宋体"/>
            <family val="3"/>
            <charset val="134"/>
          </rPr>
          <t xml:space="preserve">
数量
</t>
        </r>
      </text>
    </comment>
    <comment ref="D703" authorId="0" shapeId="0" xr:uid="{00000000-0006-0000-0500-000094020000}">
      <text>
        <r>
          <rPr>
            <b/>
            <sz val="9"/>
            <rFont val="宋体"/>
            <family val="3"/>
            <charset val="134"/>
          </rPr>
          <t>Kevin She:</t>
        </r>
        <r>
          <rPr>
            <sz val="9"/>
            <rFont val="宋体"/>
            <family val="3"/>
            <charset val="134"/>
          </rPr>
          <t xml:space="preserve">
楼梯重量</t>
        </r>
      </text>
    </comment>
    <comment ref="E703" authorId="0" shapeId="0" xr:uid="{00000000-0006-0000-0500-000095020000}">
      <text>
        <r>
          <rPr>
            <b/>
            <sz val="9"/>
            <rFont val="宋体"/>
            <family val="3"/>
            <charset val="134"/>
          </rPr>
          <t>Kevin She:</t>
        </r>
        <r>
          <rPr>
            <sz val="9"/>
            <rFont val="宋体"/>
            <family val="3"/>
            <charset val="134"/>
          </rPr>
          <t xml:space="preserve">
工费
</t>
        </r>
      </text>
    </comment>
    <comment ref="F703" authorId="0" shapeId="0" xr:uid="{00000000-0006-0000-0500-000096020000}">
      <text>
        <r>
          <rPr>
            <b/>
            <sz val="9"/>
            <rFont val="宋体"/>
            <family val="3"/>
            <charset val="134"/>
          </rPr>
          <t>Kevin She:</t>
        </r>
        <r>
          <rPr>
            <sz val="9"/>
            <rFont val="宋体"/>
            <family val="3"/>
            <charset val="134"/>
          </rPr>
          <t xml:space="preserve">
数量
</t>
        </r>
      </text>
    </comment>
    <comment ref="D707" authorId="0" shapeId="0" xr:uid="{00000000-0006-0000-0500-000097020000}">
      <text>
        <r>
          <rPr>
            <b/>
            <sz val="9"/>
            <rFont val="宋体"/>
            <family val="3"/>
            <charset val="134"/>
          </rPr>
          <t>Kevin She:</t>
        </r>
        <r>
          <rPr>
            <sz val="9"/>
            <rFont val="宋体"/>
            <family val="3"/>
            <charset val="134"/>
          </rPr>
          <t xml:space="preserve">
楼梯重量</t>
        </r>
      </text>
    </comment>
    <comment ref="E707" authorId="0" shapeId="0" xr:uid="{00000000-0006-0000-0500-000098020000}">
      <text>
        <r>
          <rPr>
            <b/>
            <sz val="9"/>
            <rFont val="宋体"/>
            <family val="3"/>
            <charset val="134"/>
          </rPr>
          <t>Kevin She:</t>
        </r>
        <r>
          <rPr>
            <sz val="9"/>
            <rFont val="宋体"/>
            <family val="3"/>
            <charset val="134"/>
          </rPr>
          <t xml:space="preserve">
工费
</t>
        </r>
      </text>
    </comment>
    <comment ref="F707" authorId="0" shapeId="0" xr:uid="{00000000-0006-0000-0500-000099020000}">
      <text>
        <r>
          <rPr>
            <b/>
            <sz val="9"/>
            <rFont val="宋体"/>
            <family val="3"/>
            <charset val="134"/>
          </rPr>
          <t>Kevin She:</t>
        </r>
        <r>
          <rPr>
            <sz val="9"/>
            <rFont val="宋体"/>
            <family val="3"/>
            <charset val="134"/>
          </rPr>
          <t xml:space="preserve">
数量
</t>
        </r>
      </text>
    </comment>
    <comment ref="D708" authorId="0" shapeId="0" xr:uid="{00000000-0006-0000-0500-00009A020000}">
      <text>
        <r>
          <rPr>
            <b/>
            <sz val="9"/>
            <rFont val="宋体"/>
            <family val="3"/>
            <charset val="134"/>
          </rPr>
          <t>Kevin She:</t>
        </r>
        <r>
          <rPr>
            <sz val="9"/>
            <rFont val="宋体"/>
            <family val="3"/>
            <charset val="134"/>
          </rPr>
          <t xml:space="preserve">
楼梯重量</t>
        </r>
      </text>
    </comment>
    <comment ref="E708" authorId="0" shapeId="0" xr:uid="{00000000-0006-0000-0500-00009B020000}">
      <text>
        <r>
          <rPr>
            <b/>
            <sz val="9"/>
            <rFont val="宋体"/>
            <family val="3"/>
            <charset val="134"/>
          </rPr>
          <t>Kevin She:</t>
        </r>
        <r>
          <rPr>
            <sz val="9"/>
            <rFont val="宋体"/>
            <family val="3"/>
            <charset val="134"/>
          </rPr>
          <t xml:space="preserve">
工费
</t>
        </r>
      </text>
    </comment>
    <comment ref="F708" authorId="0" shapeId="0" xr:uid="{00000000-0006-0000-0500-00009C020000}">
      <text>
        <r>
          <rPr>
            <b/>
            <sz val="9"/>
            <rFont val="宋体"/>
            <family val="3"/>
            <charset val="134"/>
          </rPr>
          <t>Kevin She:</t>
        </r>
        <r>
          <rPr>
            <sz val="9"/>
            <rFont val="宋体"/>
            <family val="3"/>
            <charset val="134"/>
          </rPr>
          <t xml:space="preserve">
数量
</t>
        </r>
      </text>
    </comment>
    <comment ref="D709" authorId="0" shapeId="0" xr:uid="{00000000-0006-0000-0500-00009D020000}">
      <text>
        <r>
          <rPr>
            <b/>
            <sz val="9"/>
            <rFont val="宋体"/>
            <family val="3"/>
            <charset val="134"/>
          </rPr>
          <t>Kevin She:</t>
        </r>
        <r>
          <rPr>
            <sz val="9"/>
            <rFont val="宋体"/>
            <family val="3"/>
            <charset val="134"/>
          </rPr>
          <t xml:space="preserve">
楼梯重量</t>
        </r>
      </text>
    </comment>
    <comment ref="E709" authorId="0" shapeId="0" xr:uid="{00000000-0006-0000-0500-00009E020000}">
      <text>
        <r>
          <rPr>
            <b/>
            <sz val="9"/>
            <rFont val="宋体"/>
            <family val="3"/>
            <charset val="134"/>
          </rPr>
          <t>Kevin She:</t>
        </r>
        <r>
          <rPr>
            <sz val="9"/>
            <rFont val="宋体"/>
            <family val="3"/>
            <charset val="134"/>
          </rPr>
          <t xml:space="preserve">
工费
</t>
        </r>
      </text>
    </comment>
    <comment ref="F709" authorId="0" shapeId="0" xr:uid="{00000000-0006-0000-0500-00009F020000}">
      <text>
        <r>
          <rPr>
            <b/>
            <sz val="9"/>
            <rFont val="宋体"/>
            <family val="3"/>
            <charset val="134"/>
          </rPr>
          <t>Kevin She:</t>
        </r>
        <r>
          <rPr>
            <sz val="9"/>
            <rFont val="宋体"/>
            <family val="3"/>
            <charset val="134"/>
          </rPr>
          <t xml:space="preserve">
数量
</t>
        </r>
      </text>
    </comment>
    <comment ref="D710" authorId="0" shapeId="0" xr:uid="{00000000-0006-0000-0500-0000A0020000}">
      <text>
        <r>
          <rPr>
            <b/>
            <sz val="9"/>
            <rFont val="宋体"/>
            <family val="3"/>
            <charset val="134"/>
          </rPr>
          <t>Kevin She:</t>
        </r>
        <r>
          <rPr>
            <sz val="9"/>
            <rFont val="宋体"/>
            <family val="3"/>
            <charset val="134"/>
          </rPr>
          <t xml:space="preserve">
楼梯重量</t>
        </r>
      </text>
    </comment>
    <comment ref="E710" authorId="0" shapeId="0" xr:uid="{00000000-0006-0000-0500-0000A1020000}">
      <text>
        <r>
          <rPr>
            <b/>
            <sz val="9"/>
            <rFont val="宋体"/>
            <family val="3"/>
            <charset val="134"/>
          </rPr>
          <t>Kevin She:</t>
        </r>
        <r>
          <rPr>
            <sz val="9"/>
            <rFont val="宋体"/>
            <family val="3"/>
            <charset val="134"/>
          </rPr>
          <t xml:space="preserve">
工费
</t>
        </r>
      </text>
    </comment>
    <comment ref="F710" authorId="0" shapeId="0" xr:uid="{00000000-0006-0000-0500-0000A2020000}">
      <text>
        <r>
          <rPr>
            <b/>
            <sz val="9"/>
            <rFont val="宋体"/>
            <family val="3"/>
            <charset val="134"/>
          </rPr>
          <t>Kevin She:</t>
        </r>
        <r>
          <rPr>
            <sz val="9"/>
            <rFont val="宋体"/>
            <family val="3"/>
            <charset val="134"/>
          </rPr>
          <t xml:space="preserve">
数量
</t>
        </r>
      </text>
    </comment>
    <comment ref="D711" authorId="0" shapeId="0" xr:uid="{00000000-0006-0000-0500-0000A3020000}">
      <text>
        <r>
          <rPr>
            <b/>
            <sz val="9"/>
            <rFont val="宋体"/>
            <family val="3"/>
            <charset val="134"/>
          </rPr>
          <t>Kevin She:</t>
        </r>
        <r>
          <rPr>
            <sz val="9"/>
            <rFont val="宋体"/>
            <family val="3"/>
            <charset val="134"/>
          </rPr>
          <t xml:space="preserve">
楼梯重量</t>
        </r>
      </text>
    </comment>
    <comment ref="E711" authorId="0" shapeId="0" xr:uid="{00000000-0006-0000-0500-0000A4020000}">
      <text>
        <r>
          <rPr>
            <b/>
            <sz val="9"/>
            <rFont val="宋体"/>
            <family val="3"/>
            <charset val="134"/>
          </rPr>
          <t>Kevin She:</t>
        </r>
        <r>
          <rPr>
            <sz val="9"/>
            <rFont val="宋体"/>
            <family val="3"/>
            <charset val="134"/>
          </rPr>
          <t xml:space="preserve">
工费
</t>
        </r>
      </text>
    </comment>
    <comment ref="F711" authorId="0" shapeId="0" xr:uid="{00000000-0006-0000-0500-0000A5020000}">
      <text>
        <r>
          <rPr>
            <b/>
            <sz val="9"/>
            <rFont val="宋体"/>
            <family val="3"/>
            <charset val="134"/>
          </rPr>
          <t>Kevin She:</t>
        </r>
        <r>
          <rPr>
            <sz val="9"/>
            <rFont val="宋体"/>
            <family val="3"/>
            <charset val="134"/>
          </rPr>
          <t xml:space="preserve">
数量
</t>
        </r>
      </text>
    </comment>
    <comment ref="D712" authorId="0" shapeId="0" xr:uid="{00000000-0006-0000-0500-0000A6020000}">
      <text>
        <r>
          <rPr>
            <b/>
            <sz val="9"/>
            <rFont val="宋体"/>
            <family val="3"/>
            <charset val="134"/>
          </rPr>
          <t>Kevin She:</t>
        </r>
        <r>
          <rPr>
            <sz val="9"/>
            <rFont val="宋体"/>
            <family val="3"/>
            <charset val="134"/>
          </rPr>
          <t xml:space="preserve">
楼梯重量</t>
        </r>
      </text>
    </comment>
    <comment ref="E712" authorId="0" shapeId="0" xr:uid="{00000000-0006-0000-0500-0000A7020000}">
      <text>
        <r>
          <rPr>
            <b/>
            <sz val="9"/>
            <rFont val="宋体"/>
            <family val="3"/>
            <charset val="134"/>
          </rPr>
          <t>Kevin She:</t>
        </r>
        <r>
          <rPr>
            <sz val="9"/>
            <rFont val="宋体"/>
            <family val="3"/>
            <charset val="134"/>
          </rPr>
          <t xml:space="preserve">
工费
</t>
        </r>
      </text>
    </comment>
    <comment ref="F712" authorId="0" shapeId="0" xr:uid="{00000000-0006-0000-0500-0000A8020000}">
      <text>
        <r>
          <rPr>
            <b/>
            <sz val="9"/>
            <rFont val="宋体"/>
            <family val="3"/>
            <charset val="134"/>
          </rPr>
          <t>Kevin She:</t>
        </r>
        <r>
          <rPr>
            <sz val="9"/>
            <rFont val="宋体"/>
            <family val="3"/>
            <charset val="134"/>
          </rPr>
          <t xml:space="preserve">
数量
</t>
        </r>
      </text>
    </comment>
    <comment ref="D716" authorId="0" shapeId="0" xr:uid="{00000000-0006-0000-0500-0000A9020000}">
      <text>
        <r>
          <rPr>
            <b/>
            <sz val="9"/>
            <rFont val="宋体"/>
            <family val="3"/>
            <charset val="134"/>
          </rPr>
          <t>Kevin She:</t>
        </r>
        <r>
          <rPr>
            <sz val="9"/>
            <rFont val="宋体"/>
            <family val="3"/>
            <charset val="134"/>
          </rPr>
          <t xml:space="preserve">
楼梯重量</t>
        </r>
      </text>
    </comment>
    <comment ref="E716" authorId="0" shapeId="0" xr:uid="{00000000-0006-0000-0500-0000AA020000}">
      <text>
        <r>
          <rPr>
            <b/>
            <sz val="9"/>
            <rFont val="宋体"/>
            <family val="3"/>
            <charset val="134"/>
          </rPr>
          <t>Kevin She:</t>
        </r>
        <r>
          <rPr>
            <sz val="9"/>
            <rFont val="宋体"/>
            <family val="3"/>
            <charset val="134"/>
          </rPr>
          <t xml:space="preserve">
工费
</t>
        </r>
      </text>
    </comment>
    <comment ref="F716" authorId="0" shapeId="0" xr:uid="{00000000-0006-0000-0500-0000AB020000}">
      <text>
        <r>
          <rPr>
            <b/>
            <sz val="9"/>
            <rFont val="宋体"/>
            <family val="3"/>
            <charset val="134"/>
          </rPr>
          <t>Kevin She:</t>
        </r>
        <r>
          <rPr>
            <sz val="9"/>
            <rFont val="宋体"/>
            <family val="3"/>
            <charset val="134"/>
          </rPr>
          <t xml:space="preserve">
数量
</t>
        </r>
      </text>
    </comment>
    <comment ref="D717" authorId="0" shapeId="0" xr:uid="{00000000-0006-0000-0500-0000AC020000}">
      <text>
        <r>
          <rPr>
            <b/>
            <sz val="9"/>
            <rFont val="宋体"/>
            <family val="3"/>
            <charset val="134"/>
          </rPr>
          <t>Kevin She:</t>
        </r>
        <r>
          <rPr>
            <sz val="9"/>
            <rFont val="宋体"/>
            <family val="3"/>
            <charset val="134"/>
          </rPr>
          <t xml:space="preserve">
楼梯重量</t>
        </r>
      </text>
    </comment>
    <comment ref="E717" authorId="0" shapeId="0" xr:uid="{00000000-0006-0000-0500-0000AD020000}">
      <text>
        <r>
          <rPr>
            <b/>
            <sz val="9"/>
            <rFont val="宋体"/>
            <family val="3"/>
            <charset val="134"/>
          </rPr>
          <t>Kevin She:</t>
        </r>
        <r>
          <rPr>
            <sz val="9"/>
            <rFont val="宋体"/>
            <family val="3"/>
            <charset val="134"/>
          </rPr>
          <t xml:space="preserve">
工费
</t>
        </r>
      </text>
    </comment>
    <comment ref="F717" authorId="0" shapeId="0" xr:uid="{00000000-0006-0000-0500-0000AE020000}">
      <text>
        <r>
          <rPr>
            <b/>
            <sz val="9"/>
            <rFont val="宋体"/>
            <family val="3"/>
            <charset val="134"/>
          </rPr>
          <t>Kevin She:</t>
        </r>
        <r>
          <rPr>
            <sz val="9"/>
            <rFont val="宋体"/>
            <family val="3"/>
            <charset val="134"/>
          </rPr>
          <t xml:space="preserve">
数量
</t>
        </r>
      </text>
    </comment>
    <comment ref="D718" authorId="0" shapeId="0" xr:uid="{00000000-0006-0000-0500-0000AF020000}">
      <text>
        <r>
          <rPr>
            <b/>
            <sz val="9"/>
            <rFont val="宋体"/>
            <family val="3"/>
            <charset val="134"/>
          </rPr>
          <t>Kevin She:</t>
        </r>
        <r>
          <rPr>
            <sz val="9"/>
            <rFont val="宋体"/>
            <family val="3"/>
            <charset val="134"/>
          </rPr>
          <t xml:space="preserve">
楼梯重量</t>
        </r>
      </text>
    </comment>
    <comment ref="E718" authorId="0" shapeId="0" xr:uid="{00000000-0006-0000-0500-0000B0020000}">
      <text>
        <r>
          <rPr>
            <b/>
            <sz val="9"/>
            <rFont val="宋体"/>
            <family val="3"/>
            <charset val="134"/>
          </rPr>
          <t>Kevin She:</t>
        </r>
        <r>
          <rPr>
            <sz val="9"/>
            <rFont val="宋体"/>
            <family val="3"/>
            <charset val="134"/>
          </rPr>
          <t xml:space="preserve">
工费
</t>
        </r>
      </text>
    </comment>
    <comment ref="F718" authorId="0" shapeId="0" xr:uid="{00000000-0006-0000-0500-0000B1020000}">
      <text>
        <r>
          <rPr>
            <b/>
            <sz val="9"/>
            <rFont val="宋体"/>
            <family val="3"/>
            <charset val="134"/>
          </rPr>
          <t>Kevin She:</t>
        </r>
        <r>
          <rPr>
            <sz val="9"/>
            <rFont val="宋体"/>
            <family val="3"/>
            <charset val="134"/>
          </rPr>
          <t xml:space="preserve">
数量
</t>
        </r>
      </text>
    </comment>
    <comment ref="D719" authorId="0" shapeId="0" xr:uid="{00000000-0006-0000-0500-0000B2020000}">
      <text>
        <r>
          <rPr>
            <b/>
            <sz val="9"/>
            <rFont val="宋体"/>
            <family val="3"/>
            <charset val="134"/>
          </rPr>
          <t>Kevin She:</t>
        </r>
        <r>
          <rPr>
            <sz val="9"/>
            <rFont val="宋体"/>
            <family val="3"/>
            <charset val="134"/>
          </rPr>
          <t xml:space="preserve">
楼梯重量</t>
        </r>
      </text>
    </comment>
    <comment ref="E719" authorId="0" shapeId="0" xr:uid="{00000000-0006-0000-0500-0000B3020000}">
      <text>
        <r>
          <rPr>
            <b/>
            <sz val="9"/>
            <rFont val="宋体"/>
            <family val="3"/>
            <charset val="134"/>
          </rPr>
          <t>Kevin She:</t>
        </r>
        <r>
          <rPr>
            <sz val="9"/>
            <rFont val="宋体"/>
            <family val="3"/>
            <charset val="134"/>
          </rPr>
          <t xml:space="preserve">
工费
</t>
        </r>
      </text>
    </comment>
    <comment ref="F719" authorId="0" shapeId="0" xr:uid="{00000000-0006-0000-0500-0000B4020000}">
      <text>
        <r>
          <rPr>
            <b/>
            <sz val="9"/>
            <rFont val="宋体"/>
            <family val="3"/>
            <charset val="134"/>
          </rPr>
          <t>Kevin She:</t>
        </r>
        <r>
          <rPr>
            <sz val="9"/>
            <rFont val="宋体"/>
            <family val="3"/>
            <charset val="134"/>
          </rPr>
          <t xml:space="preserve">
数量
</t>
        </r>
      </text>
    </comment>
    <comment ref="D720" authorId="0" shapeId="0" xr:uid="{00000000-0006-0000-0500-0000B5020000}">
      <text>
        <r>
          <rPr>
            <b/>
            <sz val="9"/>
            <rFont val="宋体"/>
            <family val="3"/>
            <charset val="134"/>
          </rPr>
          <t>Kevin She:</t>
        </r>
        <r>
          <rPr>
            <sz val="9"/>
            <rFont val="宋体"/>
            <family val="3"/>
            <charset val="134"/>
          </rPr>
          <t xml:space="preserve">
楼梯重量</t>
        </r>
      </text>
    </comment>
    <comment ref="E720" authorId="0" shapeId="0" xr:uid="{00000000-0006-0000-0500-0000B6020000}">
      <text>
        <r>
          <rPr>
            <b/>
            <sz val="9"/>
            <rFont val="宋体"/>
            <family val="3"/>
            <charset val="134"/>
          </rPr>
          <t>Kevin She:</t>
        </r>
        <r>
          <rPr>
            <sz val="9"/>
            <rFont val="宋体"/>
            <family val="3"/>
            <charset val="134"/>
          </rPr>
          <t xml:space="preserve">
工费
</t>
        </r>
      </text>
    </comment>
    <comment ref="F720" authorId="0" shapeId="0" xr:uid="{00000000-0006-0000-0500-0000B7020000}">
      <text>
        <r>
          <rPr>
            <b/>
            <sz val="9"/>
            <rFont val="宋体"/>
            <family val="3"/>
            <charset val="134"/>
          </rPr>
          <t>Kevin She:</t>
        </r>
        <r>
          <rPr>
            <sz val="9"/>
            <rFont val="宋体"/>
            <family val="3"/>
            <charset val="134"/>
          </rPr>
          <t xml:space="preserve">
数量
</t>
        </r>
      </text>
    </comment>
    <comment ref="D721" authorId="0" shapeId="0" xr:uid="{00000000-0006-0000-0500-0000B8020000}">
      <text>
        <r>
          <rPr>
            <b/>
            <sz val="9"/>
            <rFont val="宋体"/>
            <family val="3"/>
            <charset val="134"/>
          </rPr>
          <t>Kevin She:</t>
        </r>
        <r>
          <rPr>
            <sz val="9"/>
            <rFont val="宋体"/>
            <family val="3"/>
            <charset val="134"/>
          </rPr>
          <t xml:space="preserve">
楼梯重量</t>
        </r>
      </text>
    </comment>
    <comment ref="E721" authorId="0" shapeId="0" xr:uid="{00000000-0006-0000-0500-0000B9020000}">
      <text>
        <r>
          <rPr>
            <b/>
            <sz val="9"/>
            <rFont val="宋体"/>
            <family val="3"/>
            <charset val="134"/>
          </rPr>
          <t>Kevin She:</t>
        </r>
        <r>
          <rPr>
            <sz val="9"/>
            <rFont val="宋体"/>
            <family val="3"/>
            <charset val="134"/>
          </rPr>
          <t xml:space="preserve">
工费
</t>
        </r>
      </text>
    </comment>
    <comment ref="F721" authorId="0" shapeId="0" xr:uid="{00000000-0006-0000-0500-0000BA020000}">
      <text>
        <r>
          <rPr>
            <b/>
            <sz val="9"/>
            <rFont val="宋体"/>
            <family val="3"/>
            <charset val="134"/>
          </rPr>
          <t>Kevin She:</t>
        </r>
        <r>
          <rPr>
            <sz val="9"/>
            <rFont val="宋体"/>
            <family val="3"/>
            <charset val="134"/>
          </rPr>
          <t xml:space="preserve">
数量
</t>
        </r>
      </text>
    </comment>
    <comment ref="D726" authorId="0" shapeId="0" xr:uid="{00000000-0006-0000-0500-0000BB020000}">
      <text>
        <r>
          <rPr>
            <b/>
            <sz val="9"/>
            <rFont val="宋体"/>
            <family val="3"/>
            <charset val="134"/>
          </rPr>
          <t>Kevin She:</t>
        </r>
        <r>
          <rPr>
            <sz val="9"/>
            <rFont val="宋体"/>
            <family val="3"/>
            <charset val="134"/>
          </rPr>
          <t xml:space="preserve">
楼梯重量</t>
        </r>
      </text>
    </comment>
    <comment ref="E726" authorId="0" shapeId="0" xr:uid="{00000000-0006-0000-0500-0000BC020000}">
      <text>
        <r>
          <rPr>
            <b/>
            <sz val="9"/>
            <rFont val="宋体"/>
            <family val="3"/>
            <charset val="134"/>
          </rPr>
          <t>Kevin She:</t>
        </r>
        <r>
          <rPr>
            <sz val="9"/>
            <rFont val="宋体"/>
            <family val="3"/>
            <charset val="134"/>
          </rPr>
          <t xml:space="preserve">
工费
</t>
        </r>
      </text>
    </comment>
    <comment ref="F726" authorId="0" shapeId="0" xr:uid="{00000000-0006-0000-0500-0000BD020000}">
      <text>
        <r>
          <rPr>
            <b/>
            <sz val="9"/>
            <rFont val="宋体"/>
            <family val="3"/>
            <charset val="134"/>
          </rPr>
          <t>Kevin She:</t>
        </r>
        <r>
          <rPr>
            <sz val="9"/>
            <rFont val="宋体"/>
            <family val="3"/>
            <charset val="134"/>
          </rPr>
          <t xml:space="preserve">
数量
</t>
        </r>
      </text>
    </comment>
    <comment ref="D727" authorId="0" shapeId="0" xr:uid="{00000000-0006-0000-0500-0000BE020000}">
      <text>
        <r>
          <rPr>
            <b/>
            <sz val="9"/>
            <rFont val="宋体"/>
            <family val="3"/>
            <charset val="134"/>
          </rPr>
          <t>Kevin She:</t>
        </r>
        <r>
          <rPr>
            <sz val="9"/>
            <rFont val="宋体"/>
            <family val="3"/>
            <charset val="134"/>
          </rPr>
          <t xml:space="preserve">
楼梯重量</t>
        </r>
      </text>
    </comment>
    <comment ref="E727" authorId="0" shapeId="0" xr:uid="{00000000-0006-0000-0500-0000BF020000}">
      <text>
        <r>
          <rPr>
            <b/>
            <sz val="9"/>
            <rFont val="宋体"/>
            <family val="3"/>
            <charset val="134"/>
          </rPr>
          <t>Kevin She:</t>
        </r>
        <r>
          <rPr>
            <sz val="9"/>
            <rFont val="宋体"/>
            <family val="3"/>
            <charset val="134"/>
          </rPr>
          <t xml:space="preserve">
工费
</t>
        </r>
      </text>
    </comment>
    <comment ref="F727" authorId="0" shapeId="0" xr:uid="{00000000-0006-0000-0500-0000C0020000}">
      <text>
        <r>
          <rPr>
            <b/>
            <sz val="9"/>
            <rFont val="宋体"/>
            <family val="3"/>
            <charset val="134"/>
          </rPr>
          <t>Kevin She:</t>
        </r>
        <r>
          <rPr>
            <sz val="9"/>
            <rFont val="宋体"/>
            <family val="3"/>
            <charset val="134"/>
          </rPr>
          <t xml:space="preserve">
数量
</t>
        </r>
      </text>
    </comment>
    <comment ref="D731" authorId="0" shapeId="0" xr:uid="{00000000-0006-0000-0500-0000C1020000}">
      <text>
        <r>
          <rPr>
            <b/>
            <sz val="9"/>
            <rFont val="宋体"/>
            <family val="3"/>
            <charset val="134"/>
          </rPr>
          <t>Kevin She:</t>
        </r>
        <r>
          <rPr>
            <sz val="9"/>
            <rFont val="宋体"/>
            <family val="3"/>
            <charset val="134"/>
          </rPr>
          <t xml:space="preserve">
楼梯重量</t>
        </r>
      </text>
    </comment>
    <comment ref="E731" authorId="0" shapeId="0" xr:uid="{00000000-0006-0000-0500-0000C2020000}">
      <text>
        <r>
          <rPr>
            <b/>
            <sz val="9"/>
            <rFont val="宋体"/>
            <family val="3"/>
            <charset val="134"/>
          </rPr>
          <t>Kevin She:</t>
        </r>
        <r>
          <rPr>
            <sz val="9"/>
            <rFont val="宋体"/>
            <family val="3"/>
            <charset val="134"/>
          </rPr>
          <t xml:space="preserve">
工费
</t>
        </r>
      </text>
    </comment>
    <comment ref="F731" authorId="0" shapeId="0" xr:uid="{00000000-0006-0000-0500-0000C3020000}">
      <text>
        <r>
          <rPr>
            <b/>
            <sz val="9"/>
            <rFont val="宋体"/>
            <family val="3"/>
            <charset val="134"/>
          </rPr>
          <t>Kevin She:</t>
        </r>
        <r>
          <rPr>
            <sz val="9"/>
            <rFont val="宋体"/>
            <family val="3"/>
            <charset val="134"/>
          </rPr>
          <t xml:space="preserve">
数量
</t>
        </r>
      </text>
    </comment>
    <comment ref="D732" authorId="0" shapeId="0" xr:uid="{00000000-0006-0000-0500-0000C4020000}">
      <text>
        <r>
          <rPr>
            <b/>
            <sz val="9"/>
            <rFont val="宋体"/>
            <family val="3"/>
            <charset val="134"/>
          </rPr>
          <t>Kevin She:</t>
        </r>
        <r>
          <rPr>
            <sz val="9"/>
            <rFont val="宋体"/>
            <family val="3"/>
            <charset val="134"/>
          </rPr>
          <t xml:space="preserve">
楼梯重量</t>
        </r>
      </text>
    </comment>
    <comment ref="E732" authorId="0" shapeId="0" xr:uid="{00000000-0006-0000-0500-0000C5020000}">
      <text>
        <r>
          <rPr>
            <b/>
            <sz val="9"/>
            <rFont val="宋体"/>
            <family val="3"/>
            <charset val="134"/>
          </rPr>
          <t>Kevin She:</t>
        </r>
        <r>
          <rPr>
            <sz val="9"/>
            <rFont val="宋体"/>
            <family val="3"/>
            <charset val="134"/>
          </rPr>
          <t xml:space="preserve">
工费
</t>
        </r>
      </text>
    </comment>
    <comment ref="F732" authorId="0" shapeId="0" xr:uid="{00000000-0006-0000-0500-0000C6020000}">
      <text>
        <r>
          <rPr>
            <b/>
            <sz val="9"/>
            <rFont val="宋体"/>
            <family val="3"/>
            <charset val="134"/>
          </rPr>
          <t>Kevin She:</t>
        </r>
        <r>
          <rPr>
            <sz val="9"/>
            <rFont val="宋体"/>
            <family val="3"/>
            <charset val="134"/>
          </rPr>
          <t xml:space="preserve">
数量
</t>
        </r>
      </text>
    </comment>
    <comment ref="D733" authorId="0" shapeId="0" xr:uid="{00000000-0006-0000-0500-0000C7020000}">
      <text>
        <r>
          <rPr>
            <b/>
            <sz val="9"/>
            <rFont val="宋体"/>
            <family val="3"/>
            <charset val="134"/>
          </rPr>
          <t>Kevin She:</t>
        </r>
        <r>
          <rPr>
            <sz val="9"/>
            <rFont val="宋体"/>
            <family val="3"/>
            <charset val="134"/>
          </rPr>
          <t xml:space="preserve">
楼梯重量</t>
        </r>
      </text>
    </comment>
    <comment ref="E733" authorId="0" shapeId="0" xr:uid="{00000000-0006-0000-0500-0000C8020000}">
      <text>
        <r>
          <rPr>
            <b/>
            <sz val="9"/>
            <rFont val="宋体"/>
            <family val="3"/>
            <charset val="134"/>
          </rPr>
          <t>Kevin She:</t>
        </r>
        <r>
          <rPr>
            <sz val="9"/>
            <rFont val="宋体"/>
            <family val="3"/>
            <charset val="134"/>
          </rPr>
          <t xml:space="preserve">
工费
</t>
        </r>
      </text>
    </comment>
    <comment ref="F733" authorId="0" shapeId="0" xr:uid="{00000000-0006-0000-0500-0000C9020000}">
      <text>
        <r>
          <rPr>
            <b/>
            <sz val="9"/>
            <rFont val="宋体"/>
            <family val="3"/>
            <charset val="134"/>
          </rPr>
          <t>Kevin She:</t>
        </r>
        <r>
          <rPr>
            <sz val="9"/>
            <rFont val="宋体"/>
            <family val="3"/>
            <charset val="134"/>
          </rPr>
          <t xml:space="preserve">
数量
</t>
        </r>
      </text>
    </comment>
    <comment ref="D734" authorId="0" shapeId="0" xr:uid="{00000000-0006-0000-0500-0000CA020000}">
      <text>
        <r>
          <rPr>
            <b/>
            <sz val="9"/>
            <rFont val="宋体"/>
            <family val="3"/>
            <charset val="134"/>
          </rPr>
          <t>Kevin She:</t>
        </r>
        <r>
          <rPr>
            <sz val="9"/>
            <rFont val="宋体"/>
            <family val="3"/>
            <charset val="134"/>
          </rPr>
          <t xml:space="preserve">
楼梯重量</t>
        </r>
      </text>
    </comment>
    <comment ref="E734" authorId="0" shapeId="0" xr:uid="{00000000-0006-0000-0500-0000CB020000}">
      <text>
        <r>
          <rPr>
            <b/>
            <sz val="9"/>
            <rFont val="宋体"/>
            <family val="3"/>
            <charset val="134"/>
          </rPr>
          <t>Kevin She:</t>
        </r>
        <r>
          <rPr>
            <sz val="9"/>
            <rFont val="宋体"/>
            <family val="3"/>
            <charset val="134"/>
          </rPr>
          <t xml:space="preserve">
工费
</t>
        </r>
      </text>
    </comment>
    <comment ref="F734" authorId="0" shapeId="0" xr:uid="{00000000-0006-0000-0500-0000CC020000}">
      <text>
        <r>
          <rPr>
            <b/>
            <sz val="9"/>
            <rFont val="宋体"/>
            <family val="3"/>
            <charset val="134"/>
          </rPr>
          <t>Kevin She:</t>
        </r>
        <r>
          <rPr>
            <sz val="9"/>
            <rFont val="宋体"/>
            <family val="3"/>
            <charset val="134"/>
          </rPr>
          <t xml:space="preserve">
数量
</t>
        </r>
      </text>
    </comment>
    <comment ref="D735" authorId="0" shapeId="0" xr:uid="{00000000-0006-0000-0500-0000CD020000}">
      <text>
        <r>
          <rPr>
            <b/>
            <sz val="9"/>
            <rFont val="宋体"/>
            <family val="3"/>
            <charset val="134"/>
          </rPr>
          <t>Kevin She:</t>
        </r>
        <r>
          <rPr>
            <sz val="9"/>
            <rFont val="宋体"/>
            <family val="3"/>
            <charset val="134"/>
          </rPr>
          <t xml:space="preserve">
楼梯重量</t>
        </r>
      </text>
    </comment>
    <comment ref="E735" authorId="0" shapeId="0" xr:uid="{00000000-0006-0000-0500-0000CE020000}">
      <text>
        <r>
          <rPr>
            <b/>
            <sz val="9"/>
            <rFont val="宋体"/>
            <family val="3"/>
            <charset val="134"/>
          </rPr>
          <t>Kevin She:</t>
        </r>
        <r>
          <rPr>
            <sz val="9"/>
            <rFont val="宋体"/>
            <family val="3"/>
            <charset val="134"/>
          </rPr>
          <t xml:space="preserve">
工费
</t>
        </r>
      </text>
    </comment>
    <comment ref="F735" authorId="0" shapeId="0" xr:uid="{00000000-0006-0000-0500-0000CF020000}">
      <text>
        <r>
          <rPr>
            <b/>
            <sz val="9"/>
            <rFont val="宋体"/>
            <family val="3"/>
            <charset val="134"/>
          </rPr>
          <t>Kevin She:</t>
        </r>
        <r>
          <rPr>
            <sz val="9"/>
            <rFont val="宋体"/>
            <family val="3"/>
            <charset val="134"/>
          </rPr>
          <t xml:space="preserve">
数量
</t>
        </r>
      </text>
    </comment>
    <comment ref="D736" authorId="0" shapeId="0" xr:uid="{00000000-0006-0000-0500-0000D0020000}">
      <text>
        <r>
          <rPr>
            <b/>
            <sz val="9"/>
            <rFont val="宋体"/>
            <family val="3"/>
            <charset val="134"/>
          </rPr>
          <t>Kevin She:</t>
        </r>
        <r>
          <rPr>
            <sz val="9"/>
            <rFont val="宋体"/>
            <family val="3"/>
            <charset val="134"/>
          </rPr>
          <t xml:space="preserve">
楼梯重量</t>
        </r>
      </text>
    </comment>
    <comment ref="E736" authorId="0" shapeId="0" xr:uid="{00000000-0006-0000-0500-0000D1020000}">
      <text>
        <r>
          <rPr>
            <b/>
            <sz val="9"/>
            <rFont val="宋体"/>
            <family val="3"/>
            <charset val="134"/>
          </rPr>
          <t>Kevin She:</t>
        </r>
        <r>
          <rPr>
            <sz val="9"/>
            <rFont val="宋体"/>
            <family val="3"/>
            <charset val="134"/>
          </rPr>
          <t xml:space="preserve">
工费
</t>
        </r>
      </text>
    </comment>
    <comment ref="F736" authorId="0" shapeId="0" xr:uid="{00000000-0006-0000-0500-0000D2020000}">
      <text>
        <r>
          <rPr>
            <b/>
            <sz val="9"/>
            <rFont val="宋体"/>
            <family val="3"/>
            <charset val="134"/>
          </rPr>
          <t>Kevin She:</t>
        </r>
        <r>
          <rPr>
            <sz val="9"/>
            <rFont val="宋体"/>
            <family val="3"/>
            <charset val="134"/>
          </rPr>
          <t xml:space="preserve">
数量
</t>
        </r>
      </text>
    </comment>
    <comment ref="D740" authorId="0" shapeId="0" xr:uid="{00000000-0006-0000-0500-0000D3020000}">
      <text>
        <r>
          <rPr>
            <b/>
            <sz val="9"/>
            <rFont val="宋体"/>
            <family val="3"/>
            <charset val="134"/>
          </rPr>
          <t>Kevin She:</t>
        </r>
        <r>
          <rPr>
            <sz val="9"/>
            <rFont val="宋体"/>
            <family val="3"/>
            <charset val="134"/>
          </rPr>
          <t xml:space="preserve">
楼梯重量</t>
        </r>
      </text>
    </comment>
    <comment ref="E740" authorId="0" shapeId="0" xr:uid="{00000000-0006-0000-0500-0000D4020000}">
      <text>
        <r>
          <rPr>
            <b/>
            <sz val="9"/>
            <rFont val="宋体"/>
            <family val="3"/>
            <charset val="134"/>
          </rPr>
          <t>Kevin She:</t>
        </r>
        <r>
          <rPr>
            <sz val="9"/>
            <rFont val="宋体"/>
            <family val="3"/>
            <charset val="134"/>
          </rPr>
          <t xml:space="preserve">
工费
</t>
        </r>
      </text>
    </comment>
    <comment ref="F740" authorId="0" shapeId="0" xr:uid="{00000000-0006-0000-0500-0000D5020000}">
      <text>
        <r>
          <rPr>
            <b/>
            <sz val="9"/>
            <rFont val="宋体"/>
            <family val="3"/>
            <charset val="134"/>
          </rPr>
          <t>Kevin She:</t>
        </r>
        <r>
          <rPr>
            <sz val="9"/>
            <rFont val="宋体"/>
            <family val="3"/>
            <charset val="134"/>
          </rPr>
          <t xml:space="preserve">
数量
</t>
        </r>
      </text>
    </comment>
    <comment ref="D741" authorId="0" shapeId="0" xr:uid="{00000000-0006-0000-0500-0000D6020000}">
      <text>
        <r>
          <rPr>
            <b/>
            <sz val="9"/>
            <rFont val="宋体"/>
            <family val="3"/>
            <charset val="134"/>
          </rPr>
          <t>Kevin She:</t>
        </r>
        <r>
          <rPr>
            <sz val="9"/>
            <rFont val="宋体"/>
            <family val="3"/>
            <charset val="134"/>
          </rPr>
          <t xml:space="preserve">
楼梯重量</t>
        </r>
      </text>
    </comment>
    <comment ref="E741" authorId="0" shapeId="0" xr:uid="{00000000-0006-0000-0500-0000D7020000}">
      <text>
        <r>
          <rPr>
            <b/>
            <sz val="9"/>
            <rFont val="宋体"/>
            <family val="3"/>
            <charset val="134"/>
          </rPr>
          <t>Kevin She:</t>
        </r>
        <r>
          <rPr>
            <sz val="9"/>
            <rFont val="宋体"/>
            <family val="3"/>
            <charset val="134"/>
          </rPr>
          <t xml:space="preserve">
工费
</t>
        </r>
      </text>
    </comment>
    <comment ref="F741" authorId="0" shapeId="0" xr:uid="{00000000-0006-0000-0500-0000D8020000}">
      <text>
        <r>
          <rPr>
            <b/>
            <sz val="9"/>
            <rFont val="宋体"/>
            <family val="3"/>
            <charset val="134"/>
          </rPr>
          <t>Kevin She:</t>
        </r>
        <r>
          <rPr>
            <sz val="9"/>
            <rFont val="宋体"/>
            <family val="3"/>
            <charset val="134"/>
          </rPr>
          <t xml:space="preserve">
数量
</t>
        </r>
      </text>
    </comment>
    <comment ref="D742" authorId="0" shapeId="0" xr:uid="{00000000-0006-0000-0500-0000D9020000}">
      <text>
        <r>
          <rPr>
            <b/>
            <sz val="9"/>
            <rFont val="宋体"/>
            <family val="3"/>
            <charset val="134"/>
          </rPr>
          <t>Kevin She:</t>
        </r>
        <r>
          <rPr>
            <sz val="9"/>
            <rFont val="宋体"/>
            <family val="3"/>
            <charset val="134"/>
          </rPr>
          <t xml:space="preserve">
楼梯重量</t>
        </r>
      </text>
    </comment>
    <comment ref="E742" authorId="0" shapeId="0" xr:uid="{00000000-0006-0000-0500-0000DA020000}">
      <text>
        <r>
          <rPr>
            <b/>
            <sz val="9"/>
            <rFont val="宋体"/>
            <family val="3"/>
            <charset val="134"/>
          </rPr>
          <t>Kevin She:</t>
        </r>
        <r>
          <rPr>
            <sz val="9"/>
            <rFont val="宋体"/>
            <family val="3"/>
            <charset val="134"/>
          </rPr>
          <t xml:space="preserve">
工费
</t>
        </r>
      </text>
    </comment>
    <comment ref="F742" authorId="0" shapeId="0" xr:uid="{00000000-0006-0000-0500-0000DB020000}">
      <text>
        <r>
          <rPr>
            <b/>
            <sz val="9"/>
            <rFont val="宋体"/>
            <family val="3"/>
            <charset val="134"/>
          </rPr>
          <t>Kevin She:</t>
        </r>
        <r>
          <rPr>
            <sz val="9"/>
            <rFont val="宋体"/>
            <family val="3"/>
            <charset val="134"/>
          </rPr>
          <t xml:space="preserve">
数量
</t>
        </r>
      </text>
    </comment>
    <comment ref="D743" authorId="0" shapeId="0" xr:uid="{00000000-0006-0000-0500-0000DC020000}">
      <text>
        <r>
          <rPr>
            <b/>
            <sz val="9"/>
            <rFont val="宋体"/>
            <family val="3"/>
            <charset val="134"/>
          </rPr>
          <t>Kevin She:</t>
        </r>
        <r>
          <rPr>
            <sz val="9"/>
            <rFont val="宋体"/>
            <family val="3"/>
            <charset val="134"/>
          </rPr>
          <t xml:space="preserve">
楼梯重量</t>
        </r>
      </text>
    </comment>
    <comment ref="E743" authorId="0" shapeId="0" xr:uid="{00000000-0006-0000-0500-0000DD020000}">
      <text>
        <r>
          <rPr>
            <b/>
            <sz val="9"/>
            <rFont val="宋体"/>
            <family val="3"/>
            <charset val="134"/>
          </rPr>
          <t>Kevin She:</t>
        </r>
        <r>
          <rPr>
            <sz val="9"/>
            <rFont val="宋体"/>
            <family val="3"/>
            <charset val="134"/>
          </rPr>
          <t xml:space="preserve">
工费
</t>
        </r>
      </text>
    </comment>
    <comment ref="F743" authorId="0" shapeId="0" xr:uid="{00000000-0006-0000-0500-0000DE020000}">
      <text>
        <r>
          <rPr>
            <b/>
            <sz val="9"/>
            <rFont val="宋体"/>
            <family val="3"/>
            <charset val="134"/>
          </rPr>
          <t>Kevin She:</t>
        </r>
        <r>
          <rPr>
            <sz val="9"/>
            <rFont val="宋体"/>
            <family val="3"/>
            <charset val="134"/>
          </rPr>
          <t xml:space="preserve">
数量
</t>
        </r>
      </text>
    </comment>
    <comment ref="D744" authorId="0" shapeId="0" xr:uid="{00000000-0006-0000-0500-0000DF020000}">
      <text>
        <r>
          <rPr>
            <b/>
            <sz val="9"/>
            <rFont val="宋体"/>
            <family val="3"/>
            <charset val="134"/>
          </rPr>
          <t>Kevin She:</t>
        </r>
        <r>
          <rPr>
            <sz val="9"/>
            <rFont val="宋体"/>
            <family val="3"/>
            <charset val="134"/>
          </rPr>
          <t xml:space="preserve">
楼梯重量</t>
        </r>
      </text>
    </comment>
    <comment ref="E744" authorId="0" shapeId="0" xr:uid="{00000000-0006-0000-0500-0000E0020000}">
      <text>
        <r>
          <rPr>
            <b/>
            <sz val="9"/>
            <rFont val="宋体"/>
            <family val="3"/>
            <charset val="134"/>
          </rPr>
          <t>Kevin She:</t>
        </r>
        <r>
          <rPr>
            <sz val="9"/>
            <rFont val="宋体"/>
            <family val="3"/>
            <charset val="134"/>
          </rPr>
          <t xml:space="preserve">
工费
</t>
        </r>
      </text>
    </comment>
    <comment ref="F744" authorId="0" shapeId="0" xr:uid="{00000000-0006-0000-0500-0000E1020000}">
      <text>
        <r>
          <rPr>
            <b/>
            <sz val="9"/>
            <rFont val="宋体"/>
            <family val="3"/>
            <charset val="134"/>
          </rPr>
          <t>Kevin She:</t>
        </r>
        <r>
          <rPr>
            <sz val="9"/>
            <rFont val="宋体"/>
            <family val="3"/>
            <charset val="134"/>
          </rPr>
          <t xml:space="preserve">
数量
</t>
        </r>
      </text>
    </comment>
    <comment ref="D745" authorId="0" shapeId="0" xr:uid="{00000000-0006-0000-0500-0000E2020000}">
      <text>
        <r>
          <rPr>
            <b/>
            <sz val="9"/>
            <rFont val="宋体"/>
            <family val="3"/>
            <charset val="134"/>
          </rPr>
          <t>Kevin She:</t>
        </r>
        <r>
          <rPr>
            <sz val="9"/>
            <rFont val="宋体"/>
            <family val="3"/>
            <charset val="134"/>
          </rPr>
          <t xml:space="preserve">
楼梯重量</t>
        </r>
      </text>
    </comment>
    <comment ref="E745" authorId="0" shapeId="0" xr:uid="{00000000-0006-0000-0500-0000E3020000}">
      <text>
        <r>
          <rPr>
            <b/>
            <sz val="9"/>
            <rFont val="宋体"/>
            <family val="3"/>
            <charset val="134"/>
          </rPr>
          <t>Kevin She:</t>
        </r>
        <r>
          <rPr>
            <sz val="9"/>
            <rFont val="宋体"/>
            <family val="3"/>
            <charset val="134"/>
          </rPr>
          <t xml:space="preserve">
工费
</t>
        </r>
      </text>
    </comment>
    <comment ref="F745" authorId="0" shapeId="0" xr:uid="{00000000-0006-0000-0500-0000E4020000}">
      <text>
        <r>
          <rPr>
            <b/>
            <sz val="9"/>
            <rFont val="宋体"/>
            <family val="3"/>
            <charset val="134"/>
          </rPr>
          <t>Kevin She:</t>
        </r>
        <r>
          <rPr>
            <sz val="9"/>
            <rFont val="宋体"/>
            <family val="3"/>
            <charset val="134"/>
          </rPr>
          <t xml:space="preserve">
数量
</t>
        </r>
      </text>
    </comment>
    <comment ref="D749" authorId="0" shapeId="0" xr:uid="{00000000-0006-0000-0500-0000E5020000}">
      <text>
        <r>
          <rPr>
            <b/>
            <sz val="9"/>
            <rFont val="宋体"/>
            <family val="3"/>
            <charset val="134"/>
          </rPr>
          <t>Kevin She:</t>
        </r>
        <r>
          <rPr>
            <sz val="9"/>
            <rFont val="宋体"/>
            <family val="3"/>
            <charset val="134"/>
          </rPr>
          <t xml:space="preserve">
楼梯重量</t>
        </r>
      </text>
    </comment>
    <comment ref="E749" authorId="0" shapeId="0" xr:uid="{00000000-0006-0000-0500-0000E6020000}">
      <text>
        <r>
          <rPr>
            <b/>
            <sz val="9"/>
            <rFont val="宋体"/>
            <family val="3"/>
            <charset val="134"/>
          </rPr>
          <t>Kevin She:</t>
        </r>
        <r>
          <rPr>
            <sz val="9"/>
            <rFont val="宋体"/>
            <family val="3"/>
            <charset val="134"/>
          </rPr>
          <t xml:space="preserve">
工费
</t>
        </r>
      </text>
    </comment>
    <comment ref="F749" authorId="0" shapeId="0" xr:uid="{00000000-0006-0000-0500-0000E7020000}">
      <text>
        <r>
          <rPr>
            <b/>
            <sz val="9"/>
            <rFont val="宋体"/>
            <family val="3"/>
            <charset val="134"/>
          </rPr>
          <t>Kevin She:</t>
        </r>
        <r>
          <rPr>
            <sz val="9"/>
            <rFont val="宋体"/>
            <family val="3"/>
            <charset val="134"/>
          </rPr>
          <t xml:space="preserve">
数量
</t>
        </r>
      </text>
    </comment>
    <comment ref="D750" authorId="0" shapeId="0" xr:uid="{00000000-0006-0000-0500-0000E8020000}">
      <text>
        <r>
          <rPr>
            <b/>
            <sz val="9"/>
            <rFont val="宋体"/>
            <family val="3"/>
            <charset val="134"/>
          </rPr>
          <t>Kevin She:</t>
        </r>
        <r>
          <rPr>
            <sz val="9"/>
            <rFont val="宋体"/>
            <family val="3"/>
            <charset val="134"/>
          </rPr>
          <t xml:space="preserve">
楼梯重量</t>
        </r>
      </text>
    </comment>
    <comment ref="E750" authorId="0" shapeId="0" xr:uid="{00000000-0006-0000-0500-0000E9020000}">
      <text>
        <r>
          <rPr>
            <b/>
            <sz val="9"/>
            <rFont val="宋体"/>
            <family val="3"/>
            <charset val="134"/>
          </rPr>
          <t>Kevin She:</t>
        </r>
        <r>
          <rPr>
            <sz val="9"/>
            <rFont val="宋体"/>
            <family val="3"/>
            <charset val="134"/>
          </rPr>
          <t xml:space="preserve">
工费
</t>
        </r>
      </text>
    </comment>
    <comment ref="F750" authorId="0" shapeId="0" xr:uid="{00000000-0006-0000-0500-0000EA020000}">
      <text>
        <r>
          <rPr>
            <b/>
            <sz val="9"/>
            <rFont val="宋体"/>
            <family val="3"/>
            <charset val="134"/>
          </rPr>
          <t>Kevin She:</t>
        </r>
        <r>
          <rPr>
            <sz val="9"/>
            <rFont val="宋体"/>
            <family val="3"/>
            <charset val="134"/>
          </rPr>
          <t xml:space="preserve">
数量
</t>
        </r>
      </text>
    </comment>
    <comment ref="D751" authorId="0" shapeId="0" xr:uid="{00000000-0006-0000-0500-0000EB020000}">
      <text>
        <r>
          <rPr>
            <b/>
            <sz val="9"/>
            <rFont val="宋体"/>
            <family val="3"/>
            <charset val="134"/>
          </rPr>
          <t>Kevin She:</t>
        </r>
        <r>
          <rPr>
            <sz val="9"/>
            <rFont val="宋体"/>
            <family val="3"/>
            <charset val="134"/>
          </rPr>
          <t xml:space="preserve">
楼梯重量</t>
        </r>
      </text>
    </comment>
    <comment ref="E751" authorId="0" shapeId="0" xr:uid="{00000000-0006-0000-0500-0000EC020000}">
      <text>
        <r>
          <rPr>
            <b/>
            <sz val="9"/>
            <rFont val="宋体"/>
            <family val="3"/>
            <charset val="134"/>
          </rPr>
          <t>Kevin She:</t>
        </r>
        <r>
          <rPr>
            <sz val="9"/>
            <rFont val="宋体"/>
            <family val="3"/>
            <charset val="134"/>
          </rPr>
          <t xml:space="preserve">
工费
</t>
        </r>
      </text>
    </comment>
    <comment ref="F751" authorId="0" shapeId="0" xr:uid="{00000000-0006-0000-0500-0000ED020000}">
      <text>
        <r>
          <rPr>
            <b/>
            <sz val="9"/>
            <rFont val="宋体"/>
            <family val="3"/>
            <charset val="134"/>
          </rPr>
          <t>Kevin She:</t>
        </r>
        <r>
          <rPr>
            <sz val="9"/>
            <rFont val="宋体"/>
            <family val="3"/>
            <charset val="134"/>
          </rPr>
          <t xml:space="preserve">
数量
</t>
        </r>
      </text>
    </comment>
    <comment ref="D752" authorId="0" shapeId="0" xr:uid="{00000000-0006-0000-0500-0000EE020000}">
      <text>
        <r>
          <rPr>
            <b/>
            <sz val="9"/>
            <rFont val="宋体"/>
            <family val="3"/>
            <charset val="134"/>
          </rPr>
          <t>Kevin She:</t>
        </r>
        <r>
          <rPr>
            <sz val="9"/>
            <rFont val="宋体"/>
            <family val="3"/>
            <charset val="134"/>
          </rPr>
          <t xml:space="preserve">
楼梯重量</t>
        </r>
      </text>
    </comment>
    <comment ref="E752" authorId="0" shapeId="0" xr:uid="{00000000-0006-0000-0500-0000EF020000}">
      <text>
        <r>
          <rPr>
            <b/>
            <sz val="9"/>
            <rFont val="宋体"/>
            <family val="3"/>
            <charset val="134"/>
          </rPr>
          <t>Kevin She:</t>
        </r>
        <r>
          <rPr>
            <sz val="9"/>
            <rFont val="宋体"/>
            <family val="3"/>
            <charset val="134"/>
          </rPr>
          <t xml:space="preserve">
工费
</t>
        </r>
      </text>
    </comment>
    <comment ref="F752" authorId="0" shapeId="0" xr:uid="{00000000-0006-0000-0500-0000F0020000}">
      <text>
        <r>
          <rPr>
            <b/>
            <sz val="9"/>
            <rFont val="宋体"/>
            <family val="3"/>
            <charset val="134"/>
          </rPr>
          <t>Kevin She:</t>
        </r>
        <r>
          <rPr>
            <sz val="9"/>
            <rFont val="宋体"/>
            <family val="3"/>
            <charset val="134"/>
          </rPr>
          <t xml:space="preserve">
数量
</t>
        </r>
      </text>
    </comment>
    <comment ref="D753" authorId="0" shapeId="0" xr:uid="{00000000-0006-0000-0500-0000F1020000}">
      <text>
        <r>
          <rPr>
            <b/>
            <sz val="9"/>
            <rFont val="宋体"/>
            <family val="3"/>
            <charset val="134"/>
          </rPr>
          <t>Kevin She:</t>
        </r>
        <r>
          <rPr>
            <sz val="9"/>
            <rFont val="宋体"/>
            <family val="3"/>
            <charset val="134"/>
          </rPr>
          <t xml:space="preserve">
楼梯重量</t>
        </r>
      </text>
    </comment>
    <comment ref="E753" authorId="0" shapeId="0" xr:uid="{00000000-0006-0000-0500-0000F2020000}">
      <text>
        <r>
          <rPr>
            <b/>
            <sz val="9"/>
            <rFont val="宋体"/>
            <family val="3"/>
            <charset val="134"/>
          </rPr>
          <t>Kevin She:</t>
        </r>
        <r>
          <rPr>
            <sz val="9"/>
            <rFont val="宋体"/>
            <family val="3"/>
            <charset val="134"/>
          </rPr>
          <t xml:space="preserve">
工费
</t>
        </r>
      </text>
    </comment>
    <comment ref="F753" authorId="0" shapeId="0" xr:uid="{00000000-0006-0000-0500-0000F3020000}">
      <text>
        <r>
          <rPr>
            <b/>
            <sz val="9"/>
            <rFont val="宋体"/>
            <family val="3"/>
            <charset val="134"/>
          </rPr>
          <t>Kevin She:</t>
        </r>
        <r>
          <rPr>
            <sz val="9"/>
            <rFont val="宋体"/>
            <family val="3"/>
            <charset val="134"/>
          </rPr>
          <t xml:space="preserve">
数量
</t>
        </r>
      </text>
    </comment>
    <comment ref="D754" authorId="0" shapeId="0" xr:uid="{00000000-0006-0000-0500-0000F4020000}">
      <text>
        <r>
          <rPr>
            <b/>
            <sz val="9"/>
            <rFont val="宋体"/>
            <family val="3"/>
            <charset val="134"/>
          </rPr>
          <t>Kevin She:</t>
        </r>
        <r>
          <rPr>
            <sz val="9"/>
            <rFont val="宋体"/>
            <family val="3"/>
            <charset val="134"/>
          </rPr>
          <t xml:space="preserve">
楼梯重量</t>
        </r>
      </text>
    </comment>
    <comment ref="E754" authorId="0" shapeId="0" xr:uid="{00000000-0006-0000-0500-0000F5020000}">
      <text>
        <r>
          <rPr>
            <b/>
            <sz val="9"/>
            <rFont val="宋体"/>
            <family val="3"/>
            <charset val="134"/>
          </rPr>
          <t>Kevin She:</t>
        </r>
        <r>
          <rPr>
            <sz val="9"/>
            <rFont val="宋体"/>
            <family val="3"/>
            <charset val="134"/>
          </rPr>
          <t xml:space="preserve">
工费
</t>
        </r>
      </text>
    </comment>
    <comment ref="F754" authorId="0" shapeId="0" xr:uid="{00000000-0006-0000-0500-0000F6020000}">
      <text>
        <r>
          <rPr>
            <b/>
            <sz val="9"/>
            <rFont val="宋体"/>
            <family val="3"/>
            <charset val="134"/>
          </rPr>
          <t>Kevin She:</t>
        </r>
        <r>
          <rPr>
            <sz val="9"/>
            <rFont val="宋体"/>
            <family val="3"/>
            <charset val="134"/>
          </rPr>
          <t xml:space="preserve">
数量
</t>
        </r>
      </text>
    </comment>
    <comment ref="D758" authorId="0" shapeId="0" xr:uid="{00000000-0006-0000-0500-0000F7020000}">
      <text>
        <r>
          <rPr>
            <b/>
            <sz val="9"/>
            <rFont val="宋体"/>
            <family val="3"/>
            <charset val="134"/>
          </rPr>
          <t>Kevin She:</t>
        </r>
        <r>
          <rPr>
            <sz val="9"/>
            <rFont val="宋体"/>
            <family val="3"/>
            <charset val="134"/>
          </rPr>
          <t xml:space="preserve">
楼梯重量</t>
        </r>
      </text>
    </comment>
    <comment ref="E758" authorId="0" shapeId="0" xr:uid="{00000000-0006-0000-0500-0000F8020000}">
      <text>
        <r>
          <rPr>
            <b/>
            <sz val="9"/>
            <rFont val="宋体"/>
            <family val="3"/>
            <charset val="134"/>
          </rPr>
          <t>Kevin She:</t>
        </r>
        <r>
          <rPr>
            <sz val="9"/>
            <rFont val="宋体"/>
            <family val="3"/>
            <charset val="134"/>
          </rPr>
          <t xml:space="preserve">
工费
</t>
        </r>
      </text>
    </comment>
    <comment ref="F758" authorId="0" shapeId="0" xr:uid="{00000000-0006-0000-0500-0000F9020000}">
      <text>
        <r>
          <rPr>
            <b/>
            <sz val="9"/>
            <rFont val="宋体"/>
            <family val="3"/>
            <charset val="134"/>
          </rPr>
          <t>Kevin She:</t>
        </r>
        <r>
          <rPr>
            <sz val="9"/>
            <rFont val="宋体"/>
            <family val="3"/>
            <charset val="134"/>
          </rPr>
          <t xml:space="preserve">
数量
</t>
        </r>
      </text>
    </comment>
    <comment ref="D759" authorId="0" shapeId="0" xr:uid="{00000000-0006-0000-0500-0000FA020000}">
      <text>
        <r>
          <rPr>
            <b/>
            <sz val="9"/>
            <rFont val="宋体"/>
            <family val="3"/>
            <charset val="134"/>
          </rPr>
          <t>Kevin She:</t>
        </r>
        <r>
          <rPr>
            <sz val="9"/>
            <rFont val="宋体"/>
            <family val="3"/>
            <charset val="134"/>
          </rPr>
          <t xml:space="preserve">
楼梯重量</t>
        </r>
      </text>
    </comment>
    <comment ref="E759" authorId="0" shapeId="0" xr:uid="{00000000-0006-0000-0500-0000FB020000}">
      <text>
        <r>
          <rPr>
            <b/>
            <sz val="9"/>
            <rFont val="宋体"/>
            <family val="3"/>
            <charset val="134"/>
          </rPr>
          <t>Kevin She:</t>
        </r>
        <r>
          <rPr>
            <sz val="9"/>
            <rFont val="宋体"/>
            <family val="3"/>
            <charset val="134"/>
          </rPr>
          <t xml:space="preserve">
工费
</t>
        </r>
      </text>
    </comment>
    <comment ref="F759" authorId="0" shapeId="0" xr:uid="{00000000-0006-0000-0500-0000FC020000}">
      <text>
        <r>
          <rPr>
            <b/>
            <sz val="9"/>
            <rFont val="宋体"/>
            <family val="3"/>
            <charset val="134"/>
          </rPr>
          <t>Kevin She:</t>
        </r>
        <r>
          <rPr>
            <sz val="9"/>
            <rFont val="宋体"/>
            <family val="3"/>
            <charset val="134"/>
          </rPr>
          <t xml:space="preserve">
数量
</t>
        </r>
      </text>
    </comment>
    <comment ref="D760" authorId="0" shapeId="0" xr:uid="{00000000-0006-0000-0500-0000FD020000}">
      <text>
        <r>
          <rPr>
            <b/>
            <sz val="9"/>
            <rFont val="宋体"/>
            <family val="3"/>
            <charset val="134"/>
          </rPr>
          <t>Kevin She:</t>
        </r>
        <r>
          <rPr>
            <sz val="9"/>
            <rFont val="宋体"/>
            <family val="3"/>
            <charset val="134"/>
          </rPr>
          <t xml:space="preserve">
楼梯重量</t>
        </r>
      </text>
    </comment>
    <comment ref="E760" authorId="0" shapeId="0" xr:uid="{00000000-0006-0000-0500-0000FE020000}">
      <text>
        <r>
          <rPr>
            <b/>
            <sz val="9"/>
            <rFont val="宋体"/>
            <family val="3"/>
            <charset val="134"/>
          </rPr>
          <t>Kevin She:</t>
        </r>
        <r>
          <rPr>
            <sz val="9"/>
            <rFont val="宋体"/>
            <family val="3"/>
            <charset val="134"/>
          </rPr>
          <t xml:space="preserve">
工费
</t>
        </r>
      </text>
    </comment>
    <comment ref="F760" authorId="0" shapeId="0" xr:uid="{00000000-0006-0000-0500-0000FF020000}">
      <text>
        <r>
          <rPr>
            <b/>
            <sz val="9"/>
            <rFont val="宋体"/>
            <family val="3"/>
            <charset val="134"/>
          </rPr>
          <t>Kevin She:</t>
        </r>
        <r>
          <rPr>
            <sz val="9"/>
            <rFont val="宋体"/>
            <family val="3"/>
            <charset val="134"/>
          </rPr>
          <t xml:space="preserve">
数量
</t>
        </r>
      </text>
    </comment>
    <comment ref="D761" authorId="0" shapeId="0" xr:uid="{00000000-0006-0000-0500-000000030000}">
      <text>
        <r>
          <rPr>
            <b/>
            <sz val="9"/>
            <rFont val="宋体"/>
            <family val="3"/>
            <charset val="134"/>
          </rPr>
          <t>Kevin She:</t>
        </r>
        <r>
          <rPr>
            <sz val="9"/>
            <rFont val="宋体"/>
            <family val="3"/>
            <charset val="134"/>
          </rPr>
          <t xml:space="preserve">
楼梯重量</t>
        </r>
      </text>
    </comment>
    <comment ref="E761" authorId="0" shapeId="0" xr:uid="{00000000-0006-0000-0500-000001030000}">
      <text>
        <r>
          <rPr>
            <b/>
            <sz val="9"/>
            <rFont val="宋体"/>
            <family val="3"/>
            <charset val="134"/>
          </rPr>
          <t>Kevin She:</t>
        </r>
        <r>
          <rPr>
            <sz val="9"/>
            <rFont val="宋体"/>
            <family val="3"/>
            <charset val="134"/>
          </rPr>
          <t xml:space="preserve">
工费
</t>
        </r>
      </text>
    </comment>
    <comment ref="F761" authorId="0" shapeId="0" xr:uid="{00000000-0006-0000-0500-000002030000}">
      <text>
        <r>
          <rPr>
            <b/>
            <sz val="9"/>
            <rFont val="宋体"/>
            <family val="3"/>
            <charset val="134"/>
          </rPr>
          <t>Kevin She:</t>
        </r>
        <r>
          <rPr>
            <sz val="9"/>
            <rFont val="宋体"/>
            <family val="3"/>
            <charset val="134"/>
          </rPr>
          <t xml:space="preserve">
数量
</t>
        </r>
      </text>
    </comment>
    <comment ref="D762" authorId="0" shapeId="0" xr:uid="{00000000-0006-0000-0500-000003030000}">
      <text>
        <r>
          <rPr>
            <b/>
            <sz val="9"/>
            <rFont val="宋体"/>
            <family val="3"/>
            <charset val="134"/>
          </rPr>
          <t>Kevin She:</t>
        </r>
        <r>
          <rPr>
            <sz val="9"/>
            <rFont val="宋体"/>
            <family val="3"/>
            <charset val="134"/>
          </rPr>
          <t xml:space="preserve">
楼梯重量</t>
        </r>
      </text>
    </comment>
    <comment ref="E762" authorId="0" shapeId="0" xr:uid="{00000000-0006-0000-0500-000004030000}">
      <text>
        <r>
          <rPr>
            <b/>
            <sz val="9"/>
            <rFont val="宋体"/>
            <family val="3"/>
            <charset val="134"/>
          </rPr>
          <t>Kevin She:</t>
        </r>
        <r>
          <rPr>
            <sz val="9"/>
            <rFont val="宋体"/>
            <family val="3"/>
            <charset val="134"/>
          </rPr>
          <t xml:space="preserve">
工费
</t>
        </r>
      </text>
    </comment>
    <comment ref="F762" authorId="0" shapeId="0" xr:uid="{00000000-0006-0000-0500-000005030000}">
      <text>
        <r>
          <rPr>
            <b/>
            <sz val="9"/>
            <rFont val="宋体"/>
            <family val="3"/>
            <charset val="134"/>
          </rPr>
          <t>Kevin She:</t>
        </r>
        <r>
          <rPr>
            <sz val="9"/>
            <rFont val="宋体"/>
            <family val="3"/>
            <charset val="134"/>
          </rPr>
          <t xml:space="preserve">
数量
</t>
        </r>
      </text>
    </comment>
    <comment ref="D763" authorId="0" shapeId="0" xr:uid="{00000000-0006-0000-0500-000006030000}">
      <text>
        <r>
          <rPr>
            <b/>
            <sz val="9"/>
            <rFont val="宋体"/>
            <family val="3"/>
            <charset val="134"/>
          </rPr>
          <t>Kevin She:</t>
        </r>
        <r>
          <rPr>
            <sz val="9"/>
            <rFont val="宋体"/>
            <family val="3"/>
            <charset val="134"/>
          </rPr>
          <t xml:space="preserve">
楼梯重量</t>
        </r>
      </text>
    </comment>
    <comment ref="E763" authorId="0" shapeId="0" xr:uid="{00000000-0006-0000-0500-000007030000}">
      <text>
        <r>
          <rPr>
            <b/>
            <sz val="9"/>
            <rFont val="宋体"/>
            <family val="3"/>
            <charset val="134"/>
          </rPr>
          <t>Kevin She:</t>
        </r>
        <r>
          <rPr>
            <sz val="9"/>
            <rFont val="宋体"/>
            <family val="3"/>
            <charset val="134"/>
          </rPr>
          <t xml:space="preserve">
工费
</t>
        </r>
      </text>
    </comment>
    <comment ref="F763" authorId="0" shapeId="0" xr:uid="{00000000-0006-0000-0500-000008030000}">
      <text>
        <r>
          <rPr>
            <b/>
            <sz val="9"/>
            <rFont val="宋体"/>
            <family val="3"/>
            <charset val="134"/>
          </rPr>
          <t>Kevin She:</t>
        </r>
        <r>
          <rPr>
            <sz val="9"/>
            <rFont val="宋体"/>
            <family val="3"/>
            <charset val="134"/>
          </rPr>
          <t xml:space="preserve">
数量
</t>
        </r>
      </text>
    </comment>
    <comment ref="H767" authorId="0" shapeId="0" xr:uid="{00000000-0006-0000-0500-000009030000}">
      <text>
        <r>
          <rPr>
            <b/>
            <sz val="9"/>
            <rFont val="宋体"/>
            <family val="3"/>
            <charset val="134"/>
          </rPr>
          <t>Kevin She:</t>
        </r>
        <r>
          <rPr>
            <sz val="9"/>
            <rFont val="宋体"/>
            <family val="3"/>
            <charset val="134"/>
          </rPr>
          <t xml:space="preserve">
材料单价</t>
        </r>
      </text>
    </comment>
    <comment ref="I767" authorId="0" shapeId="0" xr:uid="{00000000-0006-0000-0500-00000A030000}">
      <text>
        <r>
          <rPr>
            <b/>
            <sz val="9"/>
            <rFont val="宋体"/>
            <family val="3"/>
            <charset val="134"/>
          </rPr>
          <t>Kevin She:</t>
        </r>
        <r>
          <rPr>
            <sz val="9"/>
            <rFont val="宋体"/>
            <family val="3"/>
            <charset val="134"/>
          </rPr>
          <t xml:space="preserve">
喷塑面积单价</t>
        </r>
      </text>
    </comment>
    <comment ref="J767" authorId="0" shapeId="0" xr:uid="{00000000-0006-0000-0500-00000B030000}">
      <text>
        <r>
          <rPr>
            <b/>
            <sz val="9"/>
            <rFont val="宋体"/>
            <family val="3"/>
            <charset val="134"/>
          </rPr>
          <t>Kevin She:</t>
        </r>
        <r>
          <rPr>
            <sz val="9"/>
            <rFont val="宋体"/>
            <family val="3"/>
            <charset val="134"/>
          </rPr>
          <t xml:space="preserve">
喷塑单价</t>
        </r>
      </text>
    </comment>
    <comment ref="B769" authorId="0" shapeId="0" xr:uid="{00000000-0006-0000-0500-00000C030000}">
      <text>
        <r>
          <rPr>
            <b/>
            <sz val="9"/>
            <rFont val="宋体"/>
            <family val="3"/>
            <charset val="134"/>
          </rPr>
          <t>Kevin She:</t>
        </r>
        <r>
          <rPr>
            <sz val="9"/>
            <rFont val="宋体"/>
            <family val="3"/>
            <charset val="134"/>
          </rPr>
          <t xml:space="preserve">
线径</t>
        </r>
      </text>
    </comment>
    <comment ref="M769" authorId="0" shapeId="0" xr:uid="{00000000-0006-0000-0500-00000D030000}">
      <text>
        <r>
          <rPr>
            <b/>
            <sz val="9"/>
            <rFont val="宋体"/>
            <family val="3"/>
            <charset val="134"/>
          </rPr>
          <t>Kevin She:</t>
        </r>
        <r>
          <rPr>
            <sz val="9"/>
            <rFont val="宋体"/>
            <family val="3"/>
            <charset val="134"/>
          </rPr>
          <t xml:space="preserve">
材料单价</t>
        </r>
      </text>
    </comment>
    <comment ref="N769" authorId="0" shapeId="0" xr:uid="{00000000-0006-0000-0500-00000E030000}">
      <text>
        <r>
          <rPr>
            <b/>
            <sz val="9"/>
            <rFont val="宋体"/>
            <family val="3"/>
            <charset val="134"/>
          </rPr>
          <t>Kevin She:</t>
        </r>
        <r>
          <rPr>
            <sz val="9"/>
            <rFont val="宋体"/>
            <family val="3"/>
            <charset val="134"/>
          </rPr>
          <t xml:space="preserve">
喷塑单价</t>
        </r>
      </text>
    </comment>
    <comment ref="M770" authorId="0" shapeId="0" xr:uid="{00000000-0006-0000-0500-00000F030000}">
      <text>
        <r>
          <rPr>
            <b/>
            <sz val="9"/>
            <rFont val="宋体"/>
            <family val="3"/>
            <charset val="134"/>
          </rPr>
          <t>Kevin She:</t>
        </r>
        <r>
          <rPr>
            <sz val="9"/>
            <rFont val="宋体"/>
            <family val="3"/>
            <charset val="134"/>
          </rPr>
          <t xml:space="preserve">
喷塑面积单价</t>
        </r>
      </text>
    </comment>
    <comment ref="H775" authorId="0" shapeId="0" xr:uid="{00000000-0006-0000-0500-000010030000}">
      <text>
        <r>
          <rPr>
            <b/>
            <sz val="9"/>
            <rFont val="宋体"/>
            <family val="3"/>
            <charset val="134"/>
          </rPr>
          <t>Kevin She:</t>
        </r>
        <r>
          <rPr>
            <sz val="9"/>
            <rFont val="宋体"/>
            <family val="3"/>
            <charset val="134"/>
          </rPr>
          <t xml:space="preserve">
材料单价</t>
        </r>
      </text>
    </comment>
    <comment ref="I775" authorId="0" shapeId="0" xr:uid="{00000000-0006-0000-0500-000011030000}">
      <text>
        <r>
          <rPr>
            <b/>
            <sz val="9"/>
            <rFont val="宋体"/>
            <family val="3"/>
            <charset val="134"/>
          </rPr>
          <t>Kevin She:</t>
        </r>
        <r>
          <rPr>
            <sz val="9"/>
            <rFont val="宋体"/>
            <family val="3"/>
            <charset val="134"/>
          </rPr>
          <t xml:space="preserve">
喷塑面积单价</t>
        </r>
      </text>
    </comment>
    <comment ref="J775" authorId="0" shapeId="0" xr:uid="{00000000-0006-0000-0500-000012030000}">
      <text>
        <r>
          <rPr>
            <b/>
            <sz val="9"/>
            <rFont val="宋体"/>
            <family val="3"/>
            <charset val="134"/>
          </rPr>
          <t>Kevin She:</t>
        </r>
        <r>
          <rPr>
            <sz val="9"/>
            <rFont val="宋体"/>
            <family val="3"/>
            <charset val="134"/>
          </rPr>
          <t xml:space="preserve">
喷塑单价</t>
        </r>
      </text>
    </comment>
    <comment ref="B777" authorId="0" shapeId="0" xr:uid="{00000000-0006-0000-0500-000013030000}">
      <text>
        <r>
          <rPr>
            <b/>
            <sz val="9"/>
            <rFont val="宋体"/>
            <family val="3"/>
            <charset val="134"/>
          </rPr>
          <t>Kevin She:</t>
        </r>
        <r>
          <rPr>
            <sz val="9"/>
            <rFont val="宋体"/>
            <family val="3"/>
            <charset val="134"/>
          </rPr>
          <t xml:space="preserve">
线径</t>
        </r>
      </text>
    </comment>
    <comment ref="M777" authorId="0" shapeId="0" xr:uid="{00000000-0006-0000-0500-000014030000}">
      <text>
        <r>
          <rPr>
            <b/>
            <sz val="9"/>
            <rFont val="宋体"/>
            <family val="3"/>
            <charset val="134"/>
          </rPr>
          <t>Kevin She:</t>
        </r>
        <r>
          <rPr>
            <sz val="9"/>
            <rFont val="宋体"/>
            <family val="3"/>
            <charset val="134"/>
          </rPr>
          <t xml:space="preserve">
材料单价</t>
        </r>
      </text>
    </comment>
    <comment ref="N777" authorId="0" shapeId="0" xr:uid="{00000000-0006-0000-0500-000015030000}">
      <text>
        <r>
          <rPr>
            <b/>
            <sz val="9"/>
            <rFont val="宋体"/>
            <family val="3"/>
            <charset val="134"/>
          </rPr>
          <t>Kevin She:</t>
        </r>
        <r>
          <rPr>
            <sz val="9"/>
            <rFont val="宋体"/>
            <family val="3"/>
            <charset val="134"/>
          </rPr>
          <t xml:space="preserve">
喷塑单价</t>
        </r>
      </text>
    </comment>
    <comment ref="M778" authorId="0" shapeId="0" xr:uid="{00000000-0006-0000-0500-000016030000}">
      <text>
        <r>
          <rPr>
            <b/>
            <sz val="9"/>
            <rFont val="宋体"/>
            <family val="3"/>
            <charset val="134"/>
          </rPr>
          <t>Kevin She:</t>
        </r>
        <r>
          <rPr>
            <sz val="9"/>
            <rFont val="宋体"/>
            <family val="3"/>
            <charset val="134"/>
          </rPr>
          <t xml:space="preserve">
喷塑面积单价</t>
        </r>
      </text>
    </comment>
    <comment ref="C783" authorId="0" shapeId="0" xr:uid="{C3A336C7-A60F-40A7-BDF2-E51A7F7AF583}">
      <text>
        <r>
          <rPr>
            <b/>
            <sz val="9"/>
            <rFont val="宋体"/>
            <family val="3"/>
            <charset val="134"/>
          </rPr>
          <t>Kevin She:</t>
        </r>
        <r>
          <rPr>
            <sz val="9"/>
            <rFont val="宋体"/>
            <family val="3"/>
            <charset val="134"/>
          </rPr>
          <t xml:space="preserve">
重量</t>
        </r>
      </text>
    </comment>
    <comment ref="D783" authorId="0" shapeId="0" xr:uid="{DDE3B13B-4ACA-4DE4-8276-968E7A593C17}">
      <text>
        <r>
          <rPr>
            <b/>
            <sz val="9"/>
            <rFont val="宋体"/>
            <family val="3"/>
            <charset val="134"/>
          </rPr>
          <t>Kevin She:</t>
        </r>
        <r>
          <rPr>
            <sz val="9"/>
            <rFont val="宋体"/>
            <family val="3"/>
            <charset val="134"/>
          </rPr>
          <t xml:space="preserve">
材料单价</t>
        </r>
      </text>
    </comment>
    <comment ref="E783" authorId="0" shapeId="0" xr:uid="{296F507C-81BF-4774-9E75-388CE6FC9CD5}">
      <text>
        <r>
          <rPr>
            <b/>
            <sz val="9"/>
            <rFont val="宋体"/>
            <family val="3"/>
            <charset val="134"/>
          </rPr>
          <t>Kevin She:</t>
        </r>
        <r>
          <rPr>
            <sz val="9"/>
            <rFont val="宋体"/>
            <family val="3"/>
            <charset val="134"/>
          </rPr>
          <t xml:space="preserve">
喷塑单价</t>
        </r>
      </text>
    </comment>
    <comment ref="C788" authorId="0" shapeId="0" xr:uid="{E000D84C-7E7B-4111-8C1F-1720F1E1EEA7}">
      <text>
        <r>
          <rPr>
            <b/>
            <sz val="9"/>
            <color indexed="81"/>
            <rFont val="宋体"/>
            <family val="3"/>
            <charset val="134"/>
          </rPr>
          <t>Kevin She:</t>
        </r>
        <r>
          <rPr>
            <sz val="9"/>
            <color indexed="81"/>
            <rFont val="宋体"/>
            <family val="3"/>
            <charset val="134"/>
          </rPr>
          <t xml:space="preserve">
采购件名称</t>
        </r>
      </text>
    </comment>
    <comment ref="D788" authorId="0" shapeId="0" xr:uid="{ED3714BF-09F8-458A-A9CB-1F3C76F65194}">
      <text>
        <r>
          <rPr>
            <b/>
            <sz val="9"/>
            <color indexed="81"/>
            <rFont val="宋体"/>
            <family val="3"/>
            <charset val="134"/>
          </rPr>
          <t>Kevin She:</t>
        </r>
        <r>
          <rPr>
            <sz val="9"/>
            <color indexed="81"/>
            <rFont val="宋体"/>
            <family val="3"/>
            <charset val="134"/>
          </rPr>
          <t xml:space="preserve">
含税价 13%税率</t>
        </r>
      </text>
    </comment>
    <comment ref="C789" authorId="0" shapeId="0" xr:uid="{E66300A8-9DB1-4AA5-BE8A-501E26F1B102}">
      <text>
        <r>
          <rPr>
            <b/>
            <sz val="9"/>
            <rFont val="宋体"/>
            <family val="3"/>
            <charset val="134"/>
          </rPr>
          <t>Kevin She:</t>
        </r>
        <r>
          <rPr>
            <sz val="9"/>
            <rFont val="宋体"/>
            <family val="3"/>
            <charset val="134"/>
          </rPr>
          <t xml:space="preserve">
采购件名称</t>
        </r>
      </text>
    </comment>
    <comment ref="D789" authorId="0" shapeId="0" xr:uid="{33F82114-7EF1-4902-B0CD-C54263727A81}">
      <text>
        <r>
          <rPr>
            <b/>
            <sz val="9"/>
            <rFont val="宋体"/>
            <family val="3"/>
            <charset val="134"/>
          </rPr>
          <t>Kevin She:</t>
        </r>
        <r>
          <rPr>
            <sz val="9"/>
            <rFont val="宋体"/>
            <family val="3"/>
            <charset val="134"/>
          </rPr>
          <t xml:space="preserve">
含税价，6%税率</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Kevin She</author>
    <author>Francis Seow</author>
  </authors>
  <commentList>
    <comment ref="P2" authorId="0" shapeId="0" xr:uid="{00000000-0006-0000-0600-000001000000}">
      <text>
        <r>
          <rPr>
            <b/>
            <sz val="9"/>
            <rFont val="宋体"/>
            <family val="3"/>
            <charset val="134"/>
          </rPr>
          <t>Kevin She:</t>
        </r>
        <r>
          <rPr>
            <sz val="9"/>
            <rFont val="宋体"/>
            <family val="3"/>
            <charset val="134"/>
          </rPr>
          <t xml:space="preserve">
如柱片超长费等</t>
        </r>
      </text>
    </comment>
    <comment ref="P125" authorId="0" shapeId="0" xr:uid="{00000000-0006-0000-0600-000002000000}">
      <text>
        <r>
          <rPr>
            <b/>
            <sz val="9"/>
            <rFont val="宋体"/>
            <family val="3"/>
            <charset val="134"/>
          </rPr>
          <t>Kevin She:</t>
        </r>
        <r>
          <rPr>
            <sz val="9"/>
            <rFont val="宋体"/>
            <family val="3"/>
            <charset val="134"/>
          </rPr>
          <t xml:space="preserve">
打孔费</t>
        </r>
      </text>
    </comment>
    <comment ref="P154" authorId="0" shapeId="0" xr:uid="{00000000-0006-0000-0600-000003000000}">
      <text>
        <r>
          <rPr>
            <b/>
            <sz val="9"/>
            <rFont val="宋体"/>
            <family val="3"/>
            <charset val="134"/>
          </rPr>
          <t>Kevin She:</t>
        </r>
        <r>
          <rPr>
            <sz val="9"/>
            <rFont val="宋体"/>
            <family val="3"/>
            <charset val="134"/>
          </rPr>
          <t xml:space="preserve">
1.2米以上</t>
        </r>
      </text>
    </comment>
    <comment ref="P155" authorId="0" shapeId="0" xr:uid="{00000000-0006-0000-0600-000004000000}">
      <text>
        <r>
          <rPr>
            <b/>
            <sz val="9"/>
            <rFont val="宋体"/>
            <family val="3"/>
            <charset val="134"/>
          </rPr>
          <t>Kevin She:</t>
        </r>
        <r>
          <rPr>
            <sz val="9"/>
            <rFont val="宋体"/>
            <family val="3"/>
            <charset val="134"/>
          </rPr>
          <t xml:space="preserve">
1.2米以上</t>
        </r>
      </text>
    </comment>
    <comment ref="P156" authorId="0" shapeId="0" xr:uid="{00000000-0006-0000-0600-000005000000}">
      <text>
        <r>
          <rPr>
            <b/>
            <sz val="9"/>
            <rFont val="宋体"/>
            <family val="3"/>
            <charset val="134"/>
          </rPr>
          <t>Kevin She:</t>
        </r>
        <r>
          <rPr>
            <sz val="9"/>
            <rFont val="宋体"/>
            <family val="3"/>
            <charset val="134"/>
          </rPr>
          <t xml:space="preserve">
1.2米以上</t>
        </r>
      </text>
    </comment>
    <comment ref="P157" authorId="0" shapeId="0" xr:uid="{00000000-0006-0000-0600-000006000000}">
      <text>
        <r>
          <rPr>
            <b/>
            <sz val="9"/>
            <rFont val="宋体"/>
            <family val="3"/>
            <charset val="134"/>
          </rPr>
          <t>Kevin She:</t>
        </r>
        <r>
          <rPr>
            <sz val="9"/>
            <rFont val="宋体"/>
            <family val="3"/>
            <charset val="134"/>
          </rPr>
          <t xml:space="preserve">
1.2米以上</t>
        </r>
      </text>
    </comment>
    <comment ref="P158" authorId="0" shapeId="0" xr:uid="{00000000-0006-0000-0600-000007000000}">
      <text>
        <r>
          <rPr>
            <b/>
            <sz val="9"/>
            <rFont val="宋体"/>
            <family val="3"/>
            <charset val="134"/>
          </rPr>
          <t>Kevin She:</t>
        </r>
        <r>
          <rPr>
            <sz val="9"/>
            <rFont val="宋体"/>
            <family val="3"/>
            <charset val="134"/>
          </rPr>
          <t xml:space="preserve">
1.2米以上</t>
        </r>
      </text>
    </comment>
    <comment ref="P159" authorId="0" shapeId="0" xr:uid="{00000000-0006-0000-0600-000008000000}">
      <text>
        <r>
          <rPr>
            <b/>
            <sz val="9"/>
            <rFont val="宋体"/>
            <family val="3"/>
            <charset val="134"/>
          </rPr>
          <t>Kevin She:</t>
        </r>
        <r>
          <rPr>
            <sz val="9"/>
            <rFont val="宋体"/>
            <family val="3"/>
            <charset val="134"/>
          </rPr>
          <t xml:space="preserve">
1.2米以上</t>
        </r>
      </text>
    </comment>
    <comment ref="P160" authorId="0" shapeId="0" xr:uid="{00000000-0006-0000-0600-000009000000}">
      <text>
        <r>
          <rPr>
            <b/>
            <sz val="9"/>
            <rFont val="宋体"/>
            <family val="3"/>
            <charset val="134"/>
          </rPr>
          <t>Kevin She:</t>
        </r>
        <r>
          <rPr>
            <sz val="9"/>
            <rFont val="宋体"/>
            <family val="3"/>
            <charset val="134"/>
          </rPr>
          <t xml:space="preserve">
1.2米以上</t>
        </r>
      </text>
    </comment>
    <comment ref="P161" authorId="0" shapeId="0" xr:uid="{00000000-0006-0000-0600-00000A000000}">
      <text>
        <r>
          <rPr>
            <b/>
            <sz val="9"/>
            <rFont val="宋体"/>
            <family val="3"/>
            <charset val="134"/>
          </rPr>
          <t>Kevin She:</t>
        </r>
        <r>
          <rPr>
            <sz val="9"/>
            <rFont val="宋体"/>
            <family val="3"/>
            <charset val="134"/>
          </rPr>
          <t xml:space="preserve">
1.2米以上</t>
        </r>
      </text>
    </comment>
    <comment ref="P162" authorId="0" shapeId="0" xr:uid="{00000000-0006-0000-0600-00000B000000}">
      <text>
        <r>
          <rPr>
            <b/>
            <sz val="9"/>
            <rFont val="宋体"/>
            <family val="3"/>
            <charset val="134"/>
          </rPr>
          <t>Kevin She:</t>
        </r>
        <r>
          <rPr>
            <sz val="9"/>
            <rFont val="宋体"/>
            <family val="3"/>
            <charset val="134"/>
          </rPr>
          <t xml:space="preserve">
1.2米以上</t>
        </r>
      </text>
    </comment>
    <comment ref="P163" authorId="0" shapeId="0" xr:uid="{00000000-0006-0000-0600-00000C000000}">
      <text>
        <r>
          <rPr>
            <b/>
            <sz val="9"/>
            <rFont val="宋体"/>
            <family val="3"/>
            <charset val="134"/>
          </rPr>
          <t>Kevin She:</t>
        </r>
        <r>
          <rPr>
            <sz val="9"/>
            <rFont val="宋体"/>
            <family val="3"/>
            <charset val="134"/>
          </rPr>
          <t xml:space="preserve">
1.2米以上</t>
        </r>
      </text>
    </comment>
    <comment ref="P164" authorId="0" shapeId="0" xr:uid="{00000000-0006-0000-0600-00000D000000}">
      <text>
        <r>
          <rPr>
            <b/>
            <sz val="9"/>
            <rFont val="宋体"/>
            <family val="3"/>
            <charset val="134"/>
          </rPr>
          <t>Kevin She:</t>
        </r>
        <r>
          <rPr>
            <sz val="9"/>
            <rFont val="宋体"/>
            <family val="3"/>
            <charset val="134"/>
          </rPr>
          <t xml:space="preserve">
1.2米以上</t>
        </r>
      </text>
    </comment>
    <comment ref="P165" authorId="0" shapeId="0" xr:uid="{00000000-0006-0000-0600-00000E000000}">
      <text>
        <r>
          <rPr>
            <b/>
            <sz val="9"/>
            <rFont val="宋体"/>
            <family val="3"/>
            <charset val="134"/>
          </rPr>
          <t>Kevin She:</t>
        </r>
        <r>
          <rPr>
            <sz val="9"/>
            <rFont val="宋体"/>
            <family val="3"/>
            <charset val="134"/>
          </rPr>
          <t xml:space="preserve">
1.2米以上</t>
        </r>
      </text>
    </comment>
    <comment ref="P166" authorId="0" shapeId="0" xr:uid="{00000000-0006-0000-0600-00000F000000}">
      <text>
        <r>
          <rPr>
            <b/>
            <sz val="9"/>
            <rFont val="宋体"/>
            <family val="3"/>
            <charset val="134"/>
          </rPr>
          <t>Kevin She:</t>
        </r>
        <r>
          <rPr>
            <sz val="9"/>
            <rFont val="宋体"/>
            <family val="3"/>
            <charset val="134"/>
          </rPr>
          <t xml:space="preserve">
1.2米以上</t>
        </r>
      </text>
    </comment>
    <comment ref="P167" authorId="0" shapeId="0" xr:uid="{00000000-0006-0000-0600-000010000000}">
      <text>
        <r>
          <rPr>
            <b/>
            <sz val="9"/>
            <rFont val="宋体"/>
            <family val="3"/>
            <charset val="134"/>
          </rPr>
          <t>Kevin She:</t>
        </r>
        <r>
          <rPr>
            <sz val="9"/>
            <rFont val="宋体"/>
            <family val="3"/>
            <charset val="134"/>
          </rPr>
          <t xml:space="preserve">
1.2米以上</t>
        </r>
      </text>
    </comment>
    <comment ref="P168" authorId="0" shapeId="0" xr:uid="{00000000-0006-0000-0600-000011000000}">
      <text>
        <r>
          <rPr>
            <b/>
            <sz val="9"/>
            <rFont val="宋体"/>
            <family val="3"/>
            <charset val="134"/>
          </rPr>
          <t>Kevin She:</t>
        </r>
        <r>
          <rPr>
            <sz val="9"/>
            <rFont val="宋体"/>
            <family val="3"/>
            <charset val="134"/>
          </rPr>
          <t xml:space="preserve">
1.2米以上</t>
        </r>
      </text>
    </comment>
    <comment ref="P169" authorId="0" shapeId="0" xr:uid="{00000000-0006-0000-0600-000012000000}">
      <text>
        <r>
          <rPr>
            <b/>
            <sz val="9"/>
            <rFont val="宋体"/>
            <family val="3"/>
            <charset val="134"/>
          </rPr>
          <t>Kevin She:</t>
        </r>
        <r>
          <rPr>
            <sz val="9"/>
            <rFont val="宋体"/>
            <family val="3"/>
            <charset val="134"/>
          </rPr>
          <t xml:space="preserve">
1.2米以上</t>
        </r>
      </text>
    </comment>
    <comment ref="P170" authorId="0" shapeId="0" xr:uid="{00000000-0006-0000-0600-000013000000}">
      <text>
        <r>
          <rPr>
            <b/>
            <sz val="9"/>
            <rFont val="宋体"/>
            <family val="3"/>
            <charset val="134"/>
          </rPr>
          <t>Kevin She:</t>
        </r>
        <r>
          <rPr>
            <sz val="9"/>
            <rFont val="宋体"/>
            <family val="3"/>
            <charset val="134"/>
          </rPr>
          <t xml:space="preserve">
1.2米以上</t>
        </r>
      </text>
    </comment>
    <comment ref="P172" authorId="0" shapeId="0" xr:uid="{00000000-0006-0000-0600-000014000000}">
      <text>
        <r>
          <rPr>
            <b/>
            <sz val="9"/>
            <rFont val="宋体"/>
            <family val="3"/>
            <charset val="134"/>
          </rPr>
          <t>Kevin She:</t>
        </r>
        <r>
          <rPr>
            <sz val="9"/>
            <rFont val="宋体"/>
            <family val="3"/>
            <charset val="134"/>
          </rPr>
          <t xml:space="preserve">
1.2米以上</t>
        </r>
      </text>
    </comment>
    <comment ref="P173" authorId="0" shapeId="0" xr:uid="{00000000-0006-0000-0600-000015000000}">
      <text>
        <r>
          <rPr>
            <b/>
            <sz val="9"/>
            <rFont val="宋体"/>
            <family val="3"/>
            <charset val="134"/>
          </rPr>
          <t>Kevin She:</t>
        </r>
        <r>
          <rPr>
            <sz val="9"/>
            <rFont val="宋体"/>
            <family val="3"/>
            <charset val="134"/>
          </rPr>
          <t xml:space="preserve">
1.2米以上</t>
        </r>
      </text>
    </comment>
    <comment ref="A199" authorId="1" shapeId="0" xr:uid="{00000000-0006-0000-0600-000016000000}">
      <text>
        <r>
          <rPr>
            <b/>
            <sz val="9"/>
            <rFont val="Tahoma"/>
            <family val="2"/>
          </rPr>
          <t>Francis Seow:</t>
        </r>
        <r>
          <rPr>
            <sz val="9"/>
            <rFont val="Tahoma"/>
            <family val="2"/>
          </rPr>
          <t xml:space="preserve">
分段做，每段两个膨胀螺丝</t>
        </r>
      </text>
    </comment>
    <comment ref="K200" authorId="0" shapeId="0" xr:uid="{00000000-0006-0000-0600-000017000000}">
      <text>
        <r>
          <rPr>
            <b/>
            <sz val="9"/>
            <rFont val="宋体"/>
            <family val="3"/>
            <charset val="134"/>
          </rPr>
          <t>Kevin She:</t>
        </r>
        <r>
          <rPr>
            <sz val="9"/>
            <rFont val="宋体"/>
            <family val="3"/>
            <charset val="134"/>
          </rPr>
          <t xml:space="preserve">
0.8元每根</t>
        </r>
      </text>
    </comment>
    <comment ref="K203" authorId="0" shapeId="0" xr:uid="{00000000-0006-0000-0600-000018000000}">
      <text>
        <r>
          <rPr>
            <b/>
            <sz val="9"/>
            <rFont val="宋体"/>
            <family val="3"/>
            <charset val="134"/>
          </rPr>
          <t>Kevin She:</t>
        </r>
        <r>
          <rPr>
            <sz val="9"/>
            <rFont val="宋体"/>
            <family val="3"/>
            <charset val="134"/>
          </rPr>
          <t xml:space="preserve">
</t>
        </r>
      </text>
    </comment>
    <comment ref="K204" authorId="0" shapeId="0" xr:uid="{00000000-0006-0000-0600-000019000000}">
      <text>
        <r>
          <rPr>
            <b/>
            <sz val="9"/>
            <rFont val="宋体"/>
            <family val="3"/>
            <charset val="134"/>
          </rPr>
          <t>Kevin She:</t>
        </r>
        <r>
          <rPr>
            <sz val="9"/>
            <rFont val="宋体"/>
            <family val="3"/>
            <charset val="134"/>
          </rPr>
          <t xml:space="preserve">
</t>
        </r>
      </text>
    </comment>
    <comment ref="K253" authorId="0" shapeId="0" xr:uid="{00000000-0006-0000-0600-00001A000000}">
      <text>
        <r>
          <rPr>
            <b/>
            <sz val="9"/>
            <rFont val="宋体"/>
            <family val="3"/>
            <charset val="134"/>
          </rPr>
          <t>Kevin She:</t>
        </r>
        <r>
          <rPr>
            <sz val="9"/>
            <rFont val="宋体"/>
            <family val="3"/>
            <charset val="134"/>
          </rPr>
          <t xml:space="preserve">
每付</t>
        </r>
      </text>
    </comment>
    <comment ref="X333" authorId="1" shapeId="0" xr:uid="{00000000-0006-0000-0600-00001B000000}">
      <text>
        <r>
          <rPr>
            <b/>
            <sz val="9"/>
            <rFont val="Tahoma"/>
            <family val="2"/>
          </rPr>
          <t>Francis Seow:</t>
        </r>
        <r>
          <rPr>
            <sz val="9"/>
            <rFont val="Tahoma"/>
            <family val="2"/>
          </rPr>
          <t xml:space="preserve">
线径小
重量轻 
冷镀锌成本高 
单价高</t>
        </r>
      </text>
    </comment>
    <comment ref="X337" authorId="1" shapeId="0" xr:uid="{00000000-0006-0000-0600-00001C000000}">
      <text>
        <r>
          <rPr>
            <b/>
            <sz val="9"/>
            <rFont val="Tahoma"/>
            <family val="2"/>
          </rPr>
          <t>Francis Seow:</t>
        </r>
        <r>
          <rPr>
            <sz val="9"/>
            <rFont val="Tahoma"/>
            <family val="2"/>
          </rPr>
          <t xml:space="preserve">
线径小
重量轻 
冷镀锌成本高 
单价高</t>
        </r>
      </text>
    </comment>
    <comment ref="X341" authorId="1" shapeId="0" xr:uid="{00000000-0006-0000-0600-00001D000000}">
      <text>
        <r>
          <rPr>
            <b/>
            <sz val="9"/>
            <rFont val="Tahoma"/>
            <family val="2"/>
          </rPr>
          <t>Francis Seow:</t>
        </r>
        <r>
          <rPr>
            <sz val="9"/>
            <rFont val="Tahoma"/>
            <family val="2"/>
          </rPr>
          <t xml:space="preserve">
线径小
重量轻 
冷镀锌成本高 
单价高</t>
        </r>
      </text>
    </comment>
    <comment ref="X345" authorId="1" shapeId="0" xr:uid="{00000000-0006-0000-0600-00001E000000}">
      <text>
        <r>
          <rPr>
            <b/>
            <sz val="9"/>
            <rFont val="Tahoma"/>
            <family val="2"/>
          </rPr>
          <t>Francis Seow:</t>
        </r>
        <r>
          <rPr>
            <sz val="9"/>
            <rFont val="Tahoma"/>
            <family val="2"/>
          </rPr>
          <t xml:space="preserve">
线径小
重量轻 
冷镀锌成本高 
单价高</t>
        </r>
      </text>
    </comment>
    <comment ref="P372" authorId="0" shapeId="0" xr:uid="{00000000-0006-0000-0600-00001F000000}">
      <text>
        <r>
          <rPr>
            <b/>
            <sz val="9"/>
            <rFont val="宋体"/>
            <family val="3"/>
            <charset val="134"/>
          </rPr>
          <t>Kevin She:</t>
        </r>
        <r>
          <rPr>
            <sz val="9"/>
            <rFont val="宋体"/>
            <family val="3"/>
            <charset val="134"/>
          </rPr>
          <t xml:space="preserve">
米卡做法</t>
        </r>
      </text>
    </comment>
    <comment ref="P373" authorId="0" shapeId="0" xr:uid="{00000000-0006-0000-0600-000020000000}">
      <text>
        <r>
          <rPr>
            <b/>
            <sz val="9"/>
            <rFont val="宋体"/>
            <family val="3"/>
            <charset val="134"/>
          </rPr>
          <t>Kevin She:</t>
        </r>
        <r>
          <rPr>
            <sz val="9"/>
            <rFont val="宋体"/>
            <family val="3"/>
            <charset val="134"/>
          </rPr>
          <t xml:space="preserve">
米卡做法</t>
        </r>
      </text>
    </comment>
    <comment ref="P374" authorId="0" shapeId="0" xr:uid="{00000000-0006-0000-0600-000021000000}">
      <text>
        <r>
          <rPr>
            <b/>
            <sz val="9"/>
            <rFont val="宋体"/>
            <family val="3"/>
            <charset val="134"/>
          </rPr>
          <t>Kevin She:</t>
        </r>
        <r>
          <rPr>
            <sz val="9"/>
            <rFont val="宋体"/>
            <family val="3"/>
            <charset val="134"/>
          </rPr>
          <t xml:space="preserve">
米卡做法</t>
        </r>
      </text>
    </comment>
    <comment ref="P375" authorId="0" shapeId="0" xr:uid="{00000000-0006-0000-0600-000022000000}">
      <text>
        <r>
          <rPr>
            <b/>
            <sz val="9"/>
            <rFont val="宋体"/>
            <family val="3"/>
            <charset val="134"/>
          </rPr>
          <t>Kevin She:</t>
        </r>
        <r>
          <rPr>
            <sz val="9"/>
            <rFont val="宋体"/>
            <family val="3"/>
            <charset val="134"/>
          </rPr>
          <t xml:space="preserve">
米卡做法</t>
        </r>
      </text>
    </comment>
    <comment ref="P376" authorId="0" shapeId="0" xr:uid="{00000000-0006-0000-0600-000023000000}">
      <text>
        <r>
          <rPr>
            <b/>
            <sz val="9"/>
            <rFont val="宋体"/>
            <family val="3"/>
            <charset val="134"/>
          </rPr>
          <t>Kevin She:</t>
        </r>
        <r>
          <rPr>
            <sz val="9"/>
            <rFont val="宋体"/>
            <family val="3"/>
            <charset val="134"/>
          </rPr>
          <t xml:space="preserve">
米卡做法</t>
        </r>
      </text>
    </comment>
    <comment ref="P377" authorId="0" shapeId="0" xr:uid="{00000000-0006-0000-0600-000024000000}">
      <text>
        <r>
          <rPr>
            <b/>
            <sz val="9"/>
            <rFont val="宋体"/>
            <family val="3"/>
            <charset val="134"/>
          </rPr>
          <t>Kevin She:</t>
        </r>
        <r>
          <rPr>
            <sz val="9"/>
            <rFont val="宋体"/>
            <family val="3"/>
            <charset val="134"/>
          </rPr>
          <t xml:space="preserve">
米卡做法</t>
        </r>
      </text>
    </comment>
    <comment ref="P378" authorId="0" shapeId="0" xr:uid="{00000000-0006-0000-0600-000025000000}">
      <text>
        <r>
          <rPr>
            <b/>
            <sz val="9"/>
            <rFont val="宋体"/>
            <family val="3"/>
            <charset val="134"/>
          </rPr>
          <t>Kevin She:</t>
        </r>
        <r>
          <rPr>
            <sz val="9"/>
            <rFont val="宋体"/>
            <family val="3"/>
            <charset val="134"/>
          </rPr>
          <t xml:space="preserve">
米卡做法</t>
        </r>
      </text>
    </comment>
    <comment ref="P379" authorId="0" shapeId="0" xr:uid="{00000000-0006-0000-0600-000026000000}">
      <text>
        <r>
          <rPr>
            <b/>
            <sz val="9"/>
            <rFont val="宋体"/>
            <family val="3"/>
            <charset val="134"/>
          </rPr>
          <t>Kevin She:</t>
        </r>
        <r>
          <rPr>
            <sz val="9"/>
            <rFont val="宋体"/>
            <family val="3"/>
            <charset val="134"/>
          </rPr>
          <t xml:space="preserve">
米卡做法</t>
        </r>
      </text>
    </comment>
    <comment ref="P380" authorId="0" shapeId="0" xr:uid="{00000000-0006-0000-0600-000027000000}">
      <text>
        <r>
          <rPr>
            <b/>
            <sz val="9"/>
            <rFont val="宋体"/>
            <family val="3"/>
            <charset val="134"/>
          </rPr>
          <t>Kevin She:</t>
        </r>
        <r>
          <rPr>
            <sz val="9"/>
            <rFont val="宋体"/>
            <family val="3"/>
            <charset val="134"/>
          </rPr>
          <t xml:space="preserve">
米卡做法</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Francis Seow</author>
  </authors>
  <commentList>
    <comment ref="BE24" authorId="0" shapeId="0" xr:uid="{00000000-0006-0000-0800-000001000000}">
      <text>
        <r>
          <rPr>
            <b/>
            <sz val="9"/>
            <rFont val="Tahoma"/>
            <family val="2"/>
          </rPr>
          <t>Francis Seow:</t>
        </r>
        <r>
          <rPr>
            <sz val="9"/>
            <rFont val="Tahoma"/>
            <family val="2"/>
          </rPr>
          <t xml:space="preserve">
镀锌板1.0以下是越薄越贵，2.5以上是越厚越贵</t>
        </r>
      </text>
    </comment>
    <comment ref="BE127" authorId="0" shapeId="0" xr:uid="{00000000-0006-0000-0800-000002000000}">
      <text>
        <r>
          <rPr>
            <b/>
            <sz val="9"/>
            <rFont val="Tahoma"/>
            <family val="2"/>
          </rPr>
          <t>Francis Seow:</t>
        </r>
        <r>
          <rPr>
            <sz val="9"/>
            <rFont val="Tahoma"/>
            <family val="2"/>
          </rPr>
          <t xml:space="preserve">
线径小
重量轻 
冷镀锌成本高 
单价高</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Francis Seow</author>
    <author>a</author>
  </authors>
  <commentList>
    <comment ref="B30" authorId="0" shapeId="0" xr:uid="{3C082CAC-5638-4A4E-A467-16FE4ACB6270}">
      <text>
        <r>
          <rPr>
            <b/>
            <sz val="9"/>
            <rFont val="Tahoma"/>
            <family val="2"/>
          </rPr>
          <t>Francis Seow:</t>
        </r>
        <r>
          <rPr>
            <sz val="9"/>
            <rFont val="Tahoma"/>
            <family val="2"/>
          </rPr>
          <t xml:space="preserve">
镀锌板1.0以下是越薄越贵，2.5以上是越厚越贵</t>
        </r>
      </text>
    </comment>
    <comment ref="C40" authorId="1" shapeId="0" xr:uid="{109D98CF-8CA0-472F-A263-6F1FAFFA79D7}">
      <text>
        <r>
          <rPr>
            <b/>
            <sz val="9"/>
            <rFont val="宋体"/>
            <family val="3"/>
            <charset val="134"/>
          </rPr>
          <t>a:</t>
        </r>
        <r>
          <rPr>
            <sz val="9"/>
            <rFont val="宋体"/>
            <family val="3"/>
            <charset val="134"/>
          </rPr>
          <t xml:space="preserve">
日照</t>
        </r>
      </text>
    </comment>
    <comment ref="G40" authorId="1" shapeId="0" xr:uid="{6EA6D292-0F81-405F-A41A-485E46669898}">
      <text>
        <r>
          <rPr>
            <b/>
            <sz val="9"/>
            <rFont val="宋体"/>
            <family val="3"/>
            <charset val="134"/>
          </rPr>
          <t>a:</t>
        </r>
        <r>
          <rPr>
            <sz val="9"/>
            <rFont val="宋体"/>
            <family val="3"/>
            <charset val="134"/>
          </rPr>
          <t xml:space="preserve">
日照</t>
        </r>
      </text>
    </comment>
    <comment ref="C41" authorId="1" shapeId="0" xr:uid="{02729AE7-9246-4A6F-9AAE-AB613626CFA2}">
      <text>
        <r>
          <rPr>
            <b/>
            <sz val="9"/>
            <rFont val="宋体"/>
            <family val="3"/>
            <charset val="134"/>
          </rPr>
          <t>a:</t>
        </r>
        <r>
          <rPr>
            <sz val="9"/>
            <rFont val="宋体"/>
            <family val="3"/>
            <charset val="134"/>
          </rPr>
          <t xml:space="preserve">
日照</t>
        </r>
      </text>
    </comment>
    <comment ref="G41" authorId="1" shapeId="0" xr:uid="{EB035CE3-3DCB-48C2-A8FE-8BD9609B9105}">
      <text>
        <r>
          <rPr>
            <b/>
            <sz val="9"/>
            <rFont val="宋体"/>
            <family val="3"/>
            <charset val="134"/>
          </rPr>
          <t>a:</t>
        </r>
        <r>
          <rPr>
            <sz val="9"/>
            <rFont val="宋体"/>
            <family val="3"/>
            <charset val="134"/>
          </rPr>
          <t xml:space="preserve">
日照</t>
        </r>
      </text>
    </comment>
    <comment ref="C42" authorId="1" shapeId="0" xr:uid="{65CA3385-4200-4335-B5C0-88F34FD3B002}">
      <text>
        <r>
          <rPr>
            <b/>
            <sz val="9"/>
            <rFont val="宋体"/>
            <family val="3"/>
            <charset val="134"/>
          </rPr>
          <t>a:</t>
        </r>
        <r>
          <rPr>
            <sz val="9"/>
            <rFont val="宋体"/>
            <family val="3"/>
            <charset val="134"/>
          </rPr>
          <t xml:space="preserve">
首钢</t>
        </r>
      </text>
    </comment>
    <comment ref="G42" authorId="1" shapeId="0" xr:uid="{7086322D-5717-4AEE-B01A-F8B0900DB290}">
      <text>
        <r>
          <rPr>
            <b/>
            <sz val="9"/>
            <rFont val="宋体"/>
            <family val="3"/>
            <charset val="134"/>
          </rPr>
          <t>a:</t>
        </r>
        <r>
          <rPr>
            <sz val="9"/>
            <rFont val="宋体"/>
            <family val="3"/>
            <charset val="134"/>
          </rPr>
          <t xml:space="preserve">
首钢</t>
        </r>
      </text>
    </comment>
    <comment ref="C43" authorId="1" shapeId="0" xr:uid="{8385EB79-6D91-4EC7-B8E1-442888F93D3D}">
      <text>
        <r>
          <rPr>
            <b/>
            <sz val="9"/>
            <rFont val="宋体"/>
            <family val="3"/>
            <charset val="134"/>
          </rPr>
          <t>a:</t>
        </r>
        <r>
          <rPr>
            <sz val="9"/>
            <rFont val="宋体"/>
            <family val="3"/>
            <charset val="134"/>
          </rPr>
          <t xml:space="preserve">
日照</t>
        </r>
      </text>
    </comment>
    <comment ref="G43" authorId="1" shapeId="0" xr:uid="{6DC4439C-5A37-4165-90CA-772CC6377FFB}">
      <text>
        <r>
          <rPr>
            <b/>
            <sz val="9"/>
            <rFont val="宋体"/>
            <family val="3"/>
            <charset val="134"/>
          </rPr>
          <t>a:</t>
        </r>
        <r>
          <rPr>
            <sz val="9"/>
            <rFont val="宋体"/>
            <family val="3"/>
            <charset val="134"/>
          </rPr>
          <t xml:space="preserve">
日照</t>
        </r>
      </text>
    </comment>
    <comment ref="C44" authorId="1" shapeId="0" xr:uid="{59049A85-6701-4C42-BA3E-40A5D2ED93E2}">
      <text>
        <r>
          <rPr>
            <b/>
            <sz val="9"/>
            <rFont val="宋体"/>
            <family val="3"/>
            <charset val="134"/>
          </rPr>
          <t>a:</t>
        </r>
        <r>
          <rPr>
            <sz val="9"/>
            <rFont val="宋体"/>
            <family val="3"/>
            <charset val="134"/>
          </rPr>
          <t xml:space="preserve">
日照</t>
        </r>
      </text>
    </comment>
    <comment ref="G44" authorId="1" shapeId="0" xr:uid="{FA135C9F-5EFB-4ACC-9687-0B5115C1F058}">
      <text>
        <r>
          <rPr>
            <b/>
            <sz val="9"/>
            <rFont val="宋体"/>
            <family val="3"/>
            <charset val="134"/>
          </rPr>
          <t>a:</t>
        </r>
        <r>
          <rPr>
            <sz val="9"/>
            <rFont val="宋体"/>
            <family val="3"/>
            <charset val="134"/>
          </rPr>
          <t xml:space="preserve">
日照</t>
        </r>
      </text>
    </comment>
    <comment ref="C45" authorId="1" shapeId="0" xr:uid="{EEB90415-DB40-46E8-A8A8-A478B4E4FC16}">
      <text>
        <r>
          <rPr>
            <b/>
            <sz val="9"/>
            <rFont val="宋体"/>
            <family val="3"/>
            <charset val="134"/>
          </rPr>
          <t>a:</t>
        </r>
        <r>
          <rPr>
            <sz val="9"/>
            <rFont val="宋体"/>
            <family val="3"/>
            <charset val="134"/>
          </rPr>
          <t xml:space="preserve">
日照</t>
        </r>
      </text>
    </comment>
    <comment ref="G45" authorId="1" shapeId="0" xr:uid="{CF4DB8E3-F0BB-48AF-8169-2E4F41C6FB09}">
      <text>
        <r>
          <rPr>
            <b/>
            <sz val="9"/>
            <rFont val="宋体"/>
            <family val="3"/>
            <charset val="134"/>
          </rPr>
          <t>a:</t>
        </r>
        <r>
          <rPr>
            <sz val="9"/>
            <rFont val="宋体"/>
            <family val="3"/>
            <charset val="134"/>
          </rPr>
          <t xml:space="preserve">
日照</t>
        </r>
      </text>
    </comment>
    <comment ref="C46" authorId="1" shapeId="0" xr:uid="{001E08ED-9F6F-4DDA-A5A7-5FC07C7F238E}">
      <text>
        <r>
          <rPr>
            <b/>
            <sz val="9"/>
            <rFont val="宋体"/>
            <family val="3"/>
            <charset val="134"/>
          </rPr>
          <t>a:</t>
        </r>
        <r>
          <rPr>
            <sz val="9"/>
            <rFont val="宋体"/>
            <family val="3"/>
            <charset val="134"/>
          </rPr>
          <t xml:space="preserve">
首钢</t>
        </r>
      </text>
    </comment>
    <comment ref="G46" authorId="1" shapeId="0" xr:uid="{BB5BC2B7-9978-443B-B37A-8B86ECA1569F}">
      <text>
        <r>
          <rPr>
            <b/>
            <sz val="9"/>
            <rFont val="宋体"/>
            <family val="3"/>
            <charset val="134"/>
          </rPr>
          <t>a:</t>
        </r>
        <r>
          <rPr>
            <sz val="9"/>
            <rFont val="宋体"/>
            <family val="3"/>
            <charset val="134"/>
          </rPr>
          <t xml:space="preserve">
首钢</t>
        </r>
      </text>
    </comment>
    <comment ref="C47" authorId="1" shapeId="0" xr:uid="{4AE0865B-0DBD-4BF1-9C55-DECA55D1AF33}">
      <text>
        <r>
          <rPr>
            <b/>
            <sz val="9"/>
            <rFont val="宋体"/>
            <family val="3"/>
            <charset val="134"/>
          </rPr>
          <t>a:</t>
        </r>
        <r>
          <rPr>
            <sz val="9"/>
            <rFont val="宋体"/>
            <family val="3"/>
            <charset val="134"/>
          </rPr>
          <t xml:space="preserve">
梅钢</t>
        </r>
      </text>
    </comment>
    <comment ref="G47" authorId="1" shapeId="0" xr:uid="{5C7886E9-C676-4F6F-92BA-F81A36E91777}">
      <text>
        <r>
          <rPr>
            <b/>
            <sz val="9"/>
            <rFont val="宋体"/>
            <family val="3"/>
            <charset val="134"/>
          </rPr>
          <t>a:</t>
        </r>
        <r>
          <rPr>
            <sz val="9"/>
            <rFont val="宋体"/>
            <family val="3"/>
            <charset val="134"/>
          </rPr>
          <t xml:space="preserve">
梅钢</t>
        </r>
      </text>
    </comment>
    <comment ref="C48" authorId="1" shapeId="0" xr:uid="{FCE0CA6E-9791-4B6D-B37A-B5FD46B462BB}">
      <text>
        <r>
          <rPr>
            <b/>
            <sz val="9"/>
            <rFont val="宋体"/>
            <family val="3"/>
            <charset val="134"/>
          </rPr>
          <t>a:</t>
        </r>
        <r>
          <rPr>
            <sz val="9"/>
            <rFont val="宋体"/>
            <family val="3"/>
            <charset val="134"/>
          </rPr>
          <t xml:space="preserve">
首钢</t>
        </r>
      </text>
    </comment>
    <comment ref="G48" authorId="1" shapeId="0" xr:uid="{B3455FD3-8D95-4AF2-ACD7-DDE328F24D68}">
      <text>
        <r>
          <rPr>
            <b/>
            <sz val="9"/>
            <rFont val="宋体"/>
            <family val="3"/>
            <charset val="134"/>
          </rPr>
          <t>a:</t>
        </r>
        <r>
          <rPr>
            <sz val="9"/>
            <rFont val="宋体"/>
            <family val="3"/>
            <charset val="134"/>
          </rPr>
          <t xml:space="preserve">
首钢</t>
        </r>
      </text>
    </comment>
    <comment ref="C49" authorId="1" shapeId="0" xr:uid="{CC4EBA7B-A5C5-4E4C-B737-288A2397FFBD}">
      <text>
        <r>
          <rPr>
            <b/>
            <sz val="9"/>
            <rFont val="宋体"/>
            <family val="3"/>
            <charset val="134"/>
          </rPr>
          <t>a:</t>
        </r>
        <r>
          <rPr>
            <sz val="9"/>
            <rFont val="宋体"/>
            <family val="3"/>
            <charset val="134"/>
          </rPr>
          <t xml:space="preserve">
首钢</t>
        </r>
      </text>
    </comment>
    <comment ref="G49" authorId="1" shapeId="0" xr:uid="{665D225D-4906-4201-AEA3-F742E4260684}">
      <text>
        <r>
          <rPr>
            <b/>
            <sz val="9"/>
            <rFont val="宋体"/>
            <family val="3"/>
            <charset val="134"/>
          </rPr>
          <t>a:</t>
        </r>
        <r>
          <rPr>
            <sz val="9"/>
            <rFont val="宋体"/>
            <family val="3"/>
            <charset val="134"/>
          </rPr>
          <t xml:space="preserve">
鞍钢/朝阳</t>
        </r>
      </text>
    </comment>
    <comment ref="C50" authorId="1" shapeId="0" xr:uid="{955E79B5-7820-47F2-995A-8D7F6AA681DB}">
      <text>
        <r>
          <rPr>
            <b/>
            <sz val="9"/>
            <rFont val="宋体"/>
            <family val="3"/>
            <charset val="134"/>
          </rPr>
          <t>a:</t>
        </r>
        <r>
          <rPr>
            <sz val="9"/>
            <rFont val="宋体"/>
            <family val="3"/>
            <charset val="134"/>
          </rPr>
          <t xml:space="preserve">
首钢</t>
        </r>
      </text>
    </comment>
    <comment ref="G50" authorId="1" shapeId="0" xr:uid="{BC29FA44-508D-4C4A-B048-56D641ED4B30}">
      <text>
        <r>
          <rPr>
            <b/>
            <sz val="9"/>
            <rFont val="宋体"/>
            <family val="3"/>
            <charset val="134"/>
          </rPr>
          <t>a:</t>
        </r>
        <r>
          <rPr>
            <sz val="9"/>
            <rFont val="宋体"/>
            <family val="3"/>
            <charset val="134"/>
          </rPr>
          <t xml:space="preserve">
首钢</t>
        </r>
      </text>
    </comment>
    <comment ref="B133" authorId="0" shapeId="0" xr:uid="{60784496-A11D-4068-9C4B-49D3671FAD02}">
      <text>
        <r>
          <rPr>
            <b/>
            <sz val="9"/>
            <rFont val="Tahoma"/>
            <family val="2"/>
          </rPr>
          <t>Francis Seow:</t>
        </r>
        <r>
          <rPr>
            <sz val="9"/>
            <rFont val="Tahoma"/>
            <family val="2"/>
          </rPr>
          <t xml:space="preserve">
线径小
重量轻 
冷镀锌成本高 
单价高</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E3" authorId="0" shapeId="0" xr:uid="{00000000-0006-0000-0E00-000001000000}">
      <text>
        <r>
          <rPr>
            <b/>
            <sz val="9"/>
            <rFont val="宋体"/>
            <family val="3"/>
            <charset val="134"/>
          </rPr>
          <t>User:</t>
        </r>
        <r>
          <rPr>
            <sz val="9"/>
            <rFont val="宋体"/>
            <family val="3"/>
            <charset val="134"/>
          </rPr>
          <t xml:space="preserve">
第一层横梁高度</t>
        </r>
      </text>
    </comment>
    <comment ref="E10" authorId="0" shapeId="0" xr:uid="{00000000-0006-0000-0E00-000002000000}">
      <text>
        <r>
          <rPr>
            <b/>
            <sz val="9"/>
            <rFont val="宋体"/>
            <family val="3"/>
            <charset val="134"/>
          </rPr>
          <t>User:</t>
        </r>
        <r>
          <rPr>
            <sz val="9"/>
            <rFont val="宋体"/>
            <family val="3"/>
            <charset val="134"/>
          </rPr>
          <t xml:space="preserve">
第一层横梁高度</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author>
  </authors>
  <commentList>
    <comment ref="C47" authorId="0" shapeId="0" xr:uid="{00000000-0006-0000-1200-000001000000}">
      <text>
        <r>
          <rPr>
            <b/>
            <sz val="9"/>
            <rFont val="宋体"/>
            <family val="3"/>
            <charset val="134"/>
          </rPr>
          <t>a:</t>
        </r>
        <r>
          <rPr>
            <sz val="9"/>
            <rFont val="宋体"/>
            <family val="3"/>
            <charset val="134"/>
          </rPr>
          <t xml:space="preserve">
</t>
        </r>
        <r>
          <rPr>
            <b/>
            <sz val="10"/>
            <rFont val="宋体"/>
            <family val="3"/>
            <charset val="134"/>
          </rPr>
          <t>数量越少，价格越高，主要是运费成本增加了</t>
        </r>
        <r>
          <rPr>
            <sz val="9"/>
            <rFont val="宋体"/>
            <family val="3"/>
            <charset val="134"/>
          </rPr>
          <t>。</t>
        </r>
      </text>
    </comment>
    <comment ref="C48" authorId="0" shapeId="0" xr:uid="{00000000-0006-0000-1200-000002000000}">
      <text>
        <r>
          <rPr>
            <b/>
            <sz val="9"/>
            <rFont val="宋体"/>
            <family val="3"/>
            <charset val="134"/>
          </rPr>
          <t>a:</t>
        </r>
        <r>
          <rPr>
            <sz val="9"/>
            <rFont val="宋体"/>
            <family val="3"/>
            <charset val="134"/>
          </rPr>
          <t xml:space="preserve">
</t>
        </r>
        <r>
          <rPr>
            <b/>
            <sz val="10"/>
            <rFont val="宋体"/>
            <family val="3"/>
            <charset val="134"/>
          </rPr>
          <t>数量越少，价格越高，主要是运费成本增加了</t>
        </r>
        <r>
          <rPr>
            <sz val="9"/>
            <rFont val="宋体"/>
            <family val="3"/>
            <charset val="134"/>
          </rPr>
          <t>。</t>
        </r>
      </text>
    </comment>
    <comment ref="C111" authorId="0" shapeId="0" xr:uid="{00000000-0006-0000-1200-000003000000}">
      <text>
        <r>
          <rPr>
            <b/>
            <sz val="9"/>
            <rFont val="宋体"/>
            <family val="3"/>
            <charset val="134"/>
          </rPr>
          <t>a:</t>
        </r>
        <r>
          <rPr>
            <sz val="9"/>
            <rFont val="宋体"/>
            <family val="3"/>
            <charset val="134"/>
          </rPr>
          <t xml:space="preserve">
需要定做</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连接" type="4" refreshedVersion="2" background="1" saveData="1">
    <webPr parsePre="1" consecutive="1" xl2000="1" url="https://www.boc.cn/sourcedb/whpj/" htmlFormat="all"/>
  </connection>
  <connection id="2" xr16:uid="{00000000-0015-0000-FFFF-FFFF01000000}" name="连接1" type="4" refreshedVersion="8" background="1" refreshOnLoad="1" saveData="1">
    <webPr parsePre="1" consecutive="1" xl2000="1" url="https://www.boc.cn/sourcedb/whpj/"/>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<sst xmlns="http://schemas.openxmlformats.org/spreadsheetml/2006/main" count="11955" uniqueCount="2386">
  <si>
    <t>Boracs-IPJ- lynn rack-price list 241206</t>
  </si>
  <si>
    <t>粘贴文件名→</t>
  </si>
  <si>
    <t>Boracs-FTC-FATTAL ERBIL -price list 241023</t>
  </si>
  <si>
    <t xml:space="preserve">Nanjing StarRon Storage Solutions Ltd </t>
  </si>
  <si>
    <t>客户特殊要求，务必检查</t>
  </si>
  <si>
    <t>包装方案</t>
  </si>
  <si>
    <t>主要材料重量</t>
  </si>
  <si>
    <t>Q355</t>
  </si>
  <si>
    <t>Q235</t>
  </si>
  <si>
    <t>166, Daniuluo,Damiao Community</t>
  </si>
  <si>
    <t>立柱</t>
  </si>
  <si>
    <t>Jiangning, Nanjing, China</t>
  </si>
  <si>
    <t>横斜撑</t>
  </si>
  <si>
    <t>-</t>
  </si>
  <si>
    <t>sophia@boracs.com</t>
  </si>
  <si>
    <t>邮箱</t>
  </si>
  <si>
    <t>抱梁主体</t>
  </si>
  <si>
    <t>kevin@boracs.com</t>
  </si>
  <si>
    <t>备用邮箱，可删除</t>
  </si>
  <si>
    <t>设计基础数据</t>
  </si>
  <si>
    <r>
      <rPr>
        <sz val="11"/>
        <color theme="1"/>
        <rFont val="宋体"/>
        <family val="3"/>
        <charset val="134"/>
      </rPr>
      <t>矩管/</t>
    </r>
    <r>
      <rPr>
        <sz val="11"/>
        <color theme="1"/>
        <rFont val="Times New Roman"/>
        <family val="1"/>
      </rPr>
      <t>P</t>
    </r>
    <r>
      <rPr>
        <sz val="11"/>
        <color theme="1"/>
        <rFont val="宋体"/>
        <family val="3"/>
        <charset val="134"/>
      </rPr>
      <t>梁等主体</t>
    </r>
  </si>
  <si>
    <t>合计</t>
  </si>
  <si>
    <t>Buyer:</t>
  </si>
  <si>
    <t>ALNIFF Indonesia</t>
  </si>
  <si>
    <t>Contact:</t>
  </si>
  <si>
    <t>Sophia He/Kevin</t>
  </si>
  <si>
    <t>注意填写表头</t>
  </si>
  <si>
    <t>Date:</t>
  </si>
  <si>
    <t>Project:</t>
  </si>
  <si>
    <t>Pallet racking</t>
  </si>
  <si>
    <t>Terms:</t>
  </si>
  <si>
    <t>根据拖车费自动切换</t>
  </si>
  <si>
    <t>Price list</t>
  </si>
  <si>
    <t>价格系数</t>
  </si>
  <si>
    <t>美元报价</t>
  </si>
  <si>
    <t>利润率</t>
  </si>
  <si>
    <t>单价重量</t>
  </si>
  <si>
    <t>NO</t>
  </si>
  <si>
    <t>Item</t>
  </si>
  <si>
    <t>Surface treatment</t>
  </si>
  <si>
    <t>Dimension</t>
  </si>
  <si>
    <t>Section</t>
  </si>
  <si>
    <t>Qty</t>
  </si>
  <si>
    <t>Unit Price</t>
  </si>
  <si>
    <t>Total Amount</t>
  </si>
  <si>
    <t>Theoretical weight</t>
  </si>
  <si>
    <t>Unit Weight</t>
  </si>
  <si>
    <t>Unit Cost</t>
  </si>
  <si>
    <t>Total Weight</t>
  </si>
  <si>
    <t>Total Cost</t>
  </si>
  <si>
    <t>Discount</t>
  </si>
  <si>
    <t>折扣</t>
  </si>
  <si>
    <t>填写折扣比例后自动显示</t>
  </si>
  <si>
    <t>税率</t>
  </si>
  <si>
    <t>FOB Cost</t>
  </si>
  <si>
    <t>FOB 并入单价填0</t>
  </si>
  <si>
    <t>Freight cost</t>
  </si>
  <si>
    <t>海运费单列</t>
  </si>
  <si>
    <t>求和起始行</t>
  </si>
  <si>
    <t>Total</t>
  </si>
  <si>
    <t>About</t>
  </si>
  <si>
    <t>*40HQ</t>
  </si>
  <si>
    <t>利润目标</t>
  </si>
  <si>
    <t>单柜重量</t>
  </si>
  <si>
    <t>货柜预估</t>
  </si>
  <si>
    <t>强制货柜数</t>
  </si>
  <si>
    <t>包装费</t>
  </si>
  <si>
    <t>装箱费</t>
  </si>
  <si>
    <t>拖车费</t>
  </si>
  <si>
    <r>
      <rPr>
        <sz val="12"/>
        <color theme="1"/>
        <rFont val="Times New Roman"/>
        <family val="1"/>
      </rPr>
      <t>FOB</t>
    </r>
    <r>
      <rPr>
        <sz val="12"/>
        <color theme="1"/>
        <rFont val="宋体"/>
        <family val="3"/>
        <charset val="134"/>
      </rPr>
      <t>费</t>
    </r>
  </si>
  <si>
    <t>海运费</t>
  </si>
  <si>
    <t>其他费用</t>
  </si>
  <si>
    <t>销售额</t>
  </si>
  <si>
    <t>利润</t>
  </si>
  <si>
    <t>单价</t>
  </si>
  <si>
    <t>核验(产品成本+利润）</t>
  </si>
  <si>
    <t>每公斤</t>
  </si>
  <si>
    <t>右侧系数，有填1，无填0或清空</t>
  </si>
  <si>
    <t>销售额强制汇率</t>
  </si>
  <si>
    <t>Remarks:</t>
  </si>
  <si>
    <t>1. Price valid time: 1 week.</t>
  </si>
  <si>
    <t>40HQ</t>
  </si>
  <si>
    <r>
      <rPr>
        <sz val="11"/>
        <color theme="1"/>
        <rFont val="Times New Roman"/>
        <family val="1"/>
      </rPr>
      <t xml:space="preserve">L 11800   </t>
    </r>
    <r>
      <rPr>
        <sz val="11"/>
        <color rgb="FFFF0000"/>
        <rFont val="Times New Roman"/>
        <family val="1"/>
      </rPr>
      <t xml:space="preserve">H 2700 </t>
    </r>
    <r>
      <rPr>
        <sz val="11"/>
        <color theme="1"/>
        <rFont val="Times New Roman"/>
        <family val="1"/>
      </rPr>
      <t xml:space="preserve">   W 2350</t>
    </r>
  </si>
  <si>
    <r>
      <rPr>
        <sz val="11"/>
        <color theme="1"/>
        <rFont val="Times New Roman"/>
        <family val="1"/>
      </rPr>
      <t>26500</t>
    </r>
    <r>
      <rPr>
        <sz val="11"/>
        <color theme="1"/>
        <rFont val="宋体"/>
        <family val="3"/>
        <charset val="134"/>
      </rPr>
      <t>公斤</t>
    </r>
  </si>
  <si>
    <t>2. Payment term: T/T 30% deposit, T/T balance upon good on board.</t>
  </si>
  <si>
    <t>20GQ</t>
  </si>
  <si>
    <r>
      <rPr>
        <sz val="11"/>
        <color theme="1"/>
        <rFont val="Times New Roman"/>
        <family val="1"/>
      </rPr>
      <t xml:space="preserve">L 5850    </t>
    </r>
    <r>
      <rPr>
        <sz val="11"/>
        <color rgb="FFFF0000"/>
        <rFont val="Times New Roman"/>
        <family val="1"/>
      </rPr>
      <t>H 2350</t>
    </r>
    <r>
      <rPr>
        <sz val="11"/>
        <color theme="1"/>
        <rFont val="Times New Roman"/>
        <family val="1"/>
      </rPr>
      <t xml:space="preserve">   W 2350</t>
    </r>
  </si>
  <si>
    <r>
      <rPr>
        <sz val="11"/>
        <color theme="1"/>
        <rFont val="Times New Roman"/>
        <family val="1"/>
      </rPr>
      <t>8-10</t>
    </r>
    <r>
      <rPr>
        <sz val="11"/>
        <color theme="1"/>
        <rFont val="宋体"/>
        <family val="3"/>
        <charset val="134"/>
      </rPr>
      <t>吨</t>
    </r>
  </si>
  <si>
    <t>3. Lead time: about 4-6 weeks.</t>
  </si>
  <si>
    <t>45ft</t>
  </si>
  <si>
    <r>
      <rPr>
        <sz val="11"/>
        <color theme="1"/>
        <rFont val="Times New Roman"/>
        <family val="1"/>
      </rPr>
      <t xml:space="preserve">L 13560   </t>
    </r>
    <r>
      <rPr>
        <sz val="11"/>
        <color rgb="FFFF0000"/>
        <rFont val="Times New Roman"/>
        <family val="1"/>
      </rPr>
      <t xml:space="preserve">H 2700 </t>
    </r>
    <r>
      <rPr>
        <sz val="11"/>
        <color theme="1"/>
        <rFont val="Times New Roman"/>
        <family val="1"/>
      </rPr>
      <t xml:space="preserve">   W 2350</t>
    </r>
  </si>
  <si>
    <r>
      <rPr>
        <sz val="11"/>
        <color theme="1"/>
        <rFont val="Times New Roman"/>
        <family val="1"/>
      </rPr>
      <t>27,860</t>
    </r>
    <r>
      <rPr>
        <sz val="11"/>
        <color theme="1"/>
        <rFont val="宋体"/>
        <family val="3"/>
        <charset val="134"/>
      </rPr>
      <t>公斤</t>
    </r>
  </si>
  <si>
    <t>录入时间</t>
  </si>
  <si>
    <t>客户名称</t>
  </si>
  <si>
    <t>客户代码</t>
  </si>
  <si>
    <t>客户单号</t>
  </si>
  <si>
    <t>合同号</t>
  </si>
  <si>
    <t>产品名称</t>
  </si>
  <si>
    <t>产品代码</t>
  </si>
  <si>
    <t>客户料号</t>
  </si>
  <si>
    <t>币种</t>
  </si>
  <si>
    <t>成交单价</t>
  </si>
  <si>
    <t>数量</t>
  </si>
  <si>
    <t>赠品</t>
  </si>
  <si>
    <t>备注</t>
  </si>
  <si>
    <t>联系人</t>
  </si>
  <si>
    <t>联系方式</t>
  </si>
  <si>
    <t>交货地址</t>
  </si>
  <si>
    <t>交货日期</t>
  </si>
  <si>
    <t>='Price PDF'!I10</t>
  </si>
  <si>
    <t>='Price PDF'!C9</t>
  </si>
  <si>
    <t>TB165663</t>
  </si>
  <si>
    <t>12834156866</t>
  </si>
  <si>
    <t/>
  </si>
  <si>
    <t>书本</t>
  </si>
  <si>
    <t>P001</t>
  </si>
  <si>
    <t>人民币</t>
  </si>
  <si>
    <t>200</t>
  </si>
  <si>
    <t>2</t>
  </si>
  <si>
    <t>0.13</t>
  </si>
  <si>
    <t>注意包装</t>
  </si>
  <si>
    <t>王达</t>
  </si>
  <si>
    <t>15014021095</t>
  </si>
  <si>
    <t>广东省深圳市龙岗区南联路24号</t>
  </si>
  <si>
    <t>备注：
1、红色栏为必填项，否则不能导入
2、录入时间是指客户下单时间
3、客户名称和代码，如系统中不存在，系统会自动生成一个客户信息（此时客户名称和收货地址也必填）
4、电商平台导入的情况，可把平台单号输入到客户单号中，以便后期查询
5、客户名称、客户单号、合同号一致，导入系统后，会自动合并成同一条销售订单，如果同一客户，客户单号和合同号没填写，默认是同一订单
6、导入前请务必将此行删除</t>
  </si>
  <si>
    <t>Boracs-MHJ-Pallet racking-price list 250811</t>
  </si>
  <si>
    <t>Nanjing Boracs Logistics Equipment CO., LTD</t>
  </si>
  <si>
    <t>历史价格优先</t>
  </si>
  <si>
    <t>否</t>
  </si>
  <si>
    <t>其余采用现有价格</t>
  </si>
  <si>
    <t xml:space="preserve"> </t>
  </si>
  <si>
    <t>聚光灯</t>
  </si>
  <si>
    <t>中行外汇牌价</t>
  </si>
  <si>
    <t>货币名称</t>
  </si>
  <si>
    <t>现汇买入价</t>
  </si>
  <si>
    <t>发布日期</t>
  </si>
  <si>
    <t>发布时间</t>
  </si>
  <si>
    <t>现钞买入价</t>
  </si>
  <si>
    <t>现汇卖出价</t>
  </si>
  <si>
    <t>现钞卖出价</t>
  </si>
  <si>
    <t>中行折算价</t>
  </si>
  <si>
    <t>美元</t>
  </si>
  <si>
    <t>Remark</t>
  </si>
  <si>
    <t>海运费汇总</t>
  </si>
  <si>
    <t>不含税销售额</t>
  </si>
  <si>
    <t>柜数取整位数</t>
  </si>
  <si>
    <t>南京拖车</t>
  </si>
  <si>
    <t>上海拖车</t>
  </si>
  <si>
    <t>订舱</t>
  </si>
  <si>
    <t>客户</t>
  </si>
  <si>
    <t>日期</t>
  </si>
  <si>
    <t>项目</t>
  </si>
  <si>
    <t>设计清单</t>
  </si>
  <si>
    <t>序号</t>
  </si>
  <si>
    <t>名称</t>
  </si>
  <si>
    <t>表面处理</t>
  </si>
  <si>
    <t>规格</t>
  </si>
  <si>
    <t>描述</t>
  </si>
  <si>
    <t>单重</t>
  </si>
  <si>
    <t>总重量</t>
  </si>
  <si>
    <t>回到顶部</t>
  </si>
  <si>
    <t>Bracket.DE75-3H+pin</t>
  </si>
  <si>
    <t>D:\客户相关\设计基础数据20240903.xlsx</t>
  </si>
  <si>
    <t>Bracket.DE50-5H+pin</t>
  </si>
  <si>
    <t>全体</t>
  </si>
  <si>
    <t>说明</t>
  </si>
  <si>
    <t>横梁</t>
  </si>
  <si>
    <t>矩管/P梁主体</t>
  </si>
  <si>
    <t>灰色区域为公式区域或者相对固定内容</t>
  </si>
  <si>
    <t>全选报价</t>
  </si>
  <si>
    <t>中英对照</t>
  </si>
  <si>
    <t>全选在左侧填1</t>
  </si>
  <si>
    <t>技术清单</t>
  </si>
  <si>
    <t>货架类型</t>
  </si>
  <si>
    <t>常规清单</t>
  </si>
  <si>
    <t>客户特殊零件清单1</t>
  </si>
  <si>
    <t>客户特殊零件清单2</t>
  </si>
  <si>
    <t>客户特殊零件清单3</t>
  </si>
  <si>
    <t>重型货架</t>
  </si>
  <si>
    <t>Item
名称</t>
  </si>
  <si>
    <t>dimension
规格</t>
  </si>
  <si>
    <t>Section
描述</t>
  </si>
  <si>
    <t>Qty
数量</t>
  </si>
  <si>
    <t>Total weight
重量</t>
  </si>
  <si>
    <t>更新履历</t>
  </si>
  <si>
    <r>
      <rPr>
        <sz val="12"/>
        <rFont val="宋体"/>
        <family val="3"/>
        <charset val="134"/>
      </rPr>
      <t>1.复制时需要将K列提示的“</t>
    </r>
    <r>
      <rPr>
        <sz val="12"/>
        <color rgb="FFFF0000"/>
        <rFont val="宋体"/>
        <family val="3"/>
        <charset val="134"/>
      </rPr>
      <t>报价行和公式行并向下多选一行”</t>
    </r>
    <r>
      <rPr>
        <sz val="12"/>
        <rFont val="宋体"/>
        <family val="3"/>
        <charset val="134"/>
      </rPr>
      <t>一起复制和插入复制单元格。</t>
    </r>
  </si>
  <si>
    <t>优化柱片函数，使60立柱外部加工的额外成本调整对60立柱所有厚度均有效；优化柱片脚底板喷塑计算方式按重量计算；更正每个脚底板的垫板配置数量为2；统一信息输入区域底色；优化填写说明及注释</t>
  </si>
  <si>
    <t>2.材料单价请进入《采购部材料信息有效》进行更新</t>
  </si>
  <si>
    <t>更新所有的材料Buffer，立柱为1.02，其余均为1.01；优化部分注释；优化一字隔撑及矩管梁工费单价公式；优化拖车费及FOB费在强制货柜数下的计算公式；优化表面处理的下拉菜单；对模板工作簿设置密码保护，避免误操作;针对网层板，考虑到特殊规格需要协商单价，增加了指定单价单元格。</t>
  </si>
  <si>
    <t>3.工费/表面处理单价更新，暂时需要进入常规材料表修改。当有合适清单时，可建立公式引用。</t>
  </si>
  <si>
    <t>更新Price工作簿，折扣、销售额、总重量和总成本的求和公式，使自动求和上一行，以避免新增行后求和范围错误；设置Dimension列条件格式，默认数字自动加L前缀, 当Item栏包含beam时，数字自动加W前缀，当Item栏包含"protector“时，数字自动加H前缀，其他复杂内容手动输入。</t>
  </si>
  <si>
    <r>
      <rPr>
        <sz val="12"/>
        <color indexed="10"/>
        <rFont val="宋体"/>
        <family val="3"/>
        <charset val="134"/>
      </rPr>
      <t>4.更新配件</t>
    </r>
    <r>
      <rPr>
        <sz val="12"/>
        <rFont val="宋体"/>
        <family val="3"/>
        <charset val="134"/>
      </rPr>
      <t>需要在</t>
    </r>
    <r>
      <rPr>
        <sz val="12"/>
        <color indexed="10"/>
        <rFont val="宋体"/>
        <family val="3"/>
        <charset val="134"/>
      </rPr>
      <t>常规材料表</t>
    </r>
    <r>
      <rPr>
        <sz val="12"/>
        <rFont val="宋体"/>
        <family val="3"/>
        <charset val="134"/>
      </rPr>
      <t>中更新名称，并在</t>
    </r>
    <r>
      <rPr>
        <sz val="12"/>
        <color indexed="10"/>
        <rFont val="宋体"/>
        <family val="3"/>
        <charset val="134"/>
      </rPr>
      <t>标准件价格表</t>
    </r>
    <r>
      <rPr>
        <sz val="12"/>
        <rFont val="宋体"/>
        <family val="3"/>
        <charset val="134"/>
      </rPr>
      <t>中同步更新并完善价格</t>
    </r>
  </si>
  <si>
    <t>增加模板导航链接，提高查找效率；优化价格系数提醒逻辑，空数据行价格系数底色不再变黄</t>
  </si>
  <si>
    <r>
      <rPr>
        <sz val="12"/>
        <color indexed="10"/>
        <rFont val="宋体"/>
        <family val="3"/>
        <charset val="134"/>
      </rPr>
      <t>5.新增型号</t>
    </r>
    <r>
      <rPr>
        <sz val="12"/>
        <rFont val="宋体"/>
        <family val="3"/>
        <charset val="134"/>
      </rPr>
      <t>需要在</t>
    </r>
    <r>
      <rPr>
        <sz val="12"/>
        <color indexed="10"/>
        <rFont val="宋体"/>
        <family val="3"/>
        <charset val="134"/>
      </rPr>
      <t>常规材料表</t>
    </r>
    <r>
      <rPr>
        <sz val="12"/>
        <rFont val="宋体"/>
        <family val="3"/>
        <charset val="134"/>
      </rPr>
      <t>中添加并完善数据</t>
    </r>
  </si>
  <si>
    <t>修正角钢隔撑喷塑计算错误的问题。</t>
  </si>
  <si>
    <t>修正脚底板材料单价计算问题；增加FOB费单列选项，并可根据需要快速隐藏或打开；优化报价表求和公式，使可以指定折扣、销售额、重量、成本求和公式的起始行而不必调整公式，以适用存在多个选项的报价单；针对报价价格指定后偏离推荐价格1的单元格标黄提示，避免误操作；可以为销售额指定不同的汇率，以便测算单价固定后不同汇率时的利润率；更正背拉的成本计算公式；增加对立柱、横斜撑、抱梁主体、矩管梁P梁C型梁（3项合并）重量统计，区分Q355和Q235；增加报价单页客户下拉菜单，在客户清单工作簿中设定好客户名称及联系人后，可根据选择的客户自动刷新联系人;报价单页增加理论重量列（计算理论重量乘1.05），可点击加减号快速隐藏/展开，有需要时使用。</t>
  </si>
  <si>
    <t>优化网层板按层报价的逻辑；修正中型货架脚底板单价计算问题；增加PD梁柱卡信息；增加网片计算模板</t>
  </si>
  <si>
    <t>优化报价模板，部件清单，Q355材料价格根据设定的逻辑自动更新</t>
  </si>
  <si>
    <t>黄底区域为参数输入区域</t>
  </si>
  <si>
    <t>产品类型</t>
  </si>
  <si>
    <t>标准货架</t>
  </si>
  <si>
    <t>驶入式货架</t>
  </si>
  <si>
    <t>阁楼平台</t>
  </si>
  <si>
    <t>穿梭板货架</t>
  </si>
  <si>
    <t>悬臂货架</t>
  </si>
  <si>
    <t>蓝底区域特定情况需要确认，首次修改时建议先咨询</t>
  </si>
  <si>
    <t>客户定制</t>
  </si>
  <si>
    <t>附件</t>
  </si>
  <si>
    <t>返回顶部</t>
  </si>
  <si>
    <r>
      <rPr>
        <sz val="12"/>
        <rFont val="宋体"/>
        <family val="3"/>
        <charset val="134"/>
      </rPr>
      <t xml:space="preserve">复制前选择
</t>
    </r>
    <r>
      <rPr>
        <sz val="12"/>
        <color rgb="FFFF0000"/>
        <rFont val="宋体"/>
        <family val="3"/>
        <charset val="134"/>
      </rPr>
      <t>橙色行及下一空白行</t>
    </r>
    <r>
      <rPr>
        <sz val="12"/>
        <rFont val="宋体"/>
        <family val="3"/>
        <charset val="134"/>
      </rPr>
      <t>，</t>
    </r>
    <r>
      <rPr>
        <sz val="12"/>
        <color rgb="FFFF0000"/>
        <rFont val="宋体"/>
        <family val="3"/>
        <charset val="134"/>
      </rPr>
      <t xml:space="preserve">点开左侧+号
</t>
    </r>
    <r>
      <rPr>
        <sz val="12"/>
        <rFont val="宋体"/>
        <family val="3"/>
        <charset val="134"/>
      </rPr>
      <t>再复制</t>
    </r>
  </si>
  <si>
    <r>
      <rPr>
        <sz val="16"/>
        <color theme="1"/>
        <rFont val="Times New Roman"/>
        <family val="1"/>
      </rPr>
      <t xml:space="preserve">NO
</t>
    </r>
    <r>
      <rPr>
        <sz val="16"/>
        <color theme="1"/>
        <rFont val="宋体"/>
        <family val="3"/>
        <charset val="134"/>
      </rPr>
      <t>序号</t>
    </r>
  </si>
  <si>
    <r>
      <rPr>
        <sz val="16"/>
        <color theme="1"/>
        <rFont val="Times New Roman"/>
        <family val="1"/>
      </rPr>
      <t xml:space="preserve">Item
</t>
    </r>
    <r>
      <rPr>
        <sz val="16"/>
        <color theme="1"/>
        <rFont val="宋体"/>
        <family val="3"/>
        <charset val="134"/>
      </rPr>
      <t>名称</t>
    </r>
  </si>
  <si>
    <r>
      <rPr>
        <sz val="16"/>
        <color theme="1"/>
        <rFont val="Times New Roman"/>
        <family val="1"/>
      </rPr>
      <t xml:space="preserve">dimension
</t>
    </r>
    <r>
      <rPr>
        <sz val="16"/>
        <color theme="1"/>
        <rFont val="宋体"/>
        <family val="3"/>
        <charset val="134"/>
      </rPr>
      <t>规格</t>
    </r>
  </si>
  <si>
    <r>
      <rPr>
        <sz val="16"/>
        <color theme="1"/>
        <rFont val="Times New Roman"/>
        <family val="1"/>
      </rPr>
      <t xml:space="preserve">Section
</t>
    </r>
    <r>
      <rPr>
        <sz val="16"/>
        <color theme="1"/>
        <rFont val="宋体"/>
        <family val="3"/>
        <charset val="134"/>
      </rPr>
      <t>描述</t>
    </r>
  </si>
  <si>
    <r>
      <rPr>
        <sz val="16"/>
        <color theme="1"/>
        <rFont val="Times New Roman"/>
        <family val="1"/>
      </rPr>
      <t xml:space="preserve">Qty
</t>
    </r>
    <r>
      <rPr>
        <sz val="16"/>
        <color theme="1"/>
        <rFont val="宋体"/>
        <family val="3"/>
        <charset val="134"/>
      </rPr>
      <t>数量</t>
    </r>
  </si>
  <si>
    <r>
      <rPr>
        <sz val="16"/>
        <color theme="1"/>
        <rFont val="Times New Roman"/>
        <family val="1"/>
      </rPr>
      <t xml:space="preserve">Total weight
</t>
    </r>
    <r>
      <rPr>
        <sz val="16"/>
        <color theme="1"/>
        <rFont val="宋体"/>
        <family val="3"/>
        <charset val="134"/>
      </rPr>
      <t>重量</t>
    </r>
  </si>
  <si>
    <t>Blue Ral 5015</t>
  </si>
  <si>
    <t>报价行</t>
  </si>
  <si>
    <t>两立柱柱片</t>
  </si>
  <si>
    <t>按重量</t>
  </si>
  <si>
    <t>不含底板合计</t>
  </si>
  <si>
    <t>柱片选型</t>
  </si>
  <si>
    <t>柱片数</t>
  </si>
  <si>
    <t>柱片H</t>
  </si>
  <si>
    <t>柱片D</t>
  </si>
  <si>
    <t>柱片表面处理</t>
  </si>
  <si>
    <t>表面处理单价</t>
  </si>
  <si>
    <t>立柱工费单价</t>
  </si>
  <si>
    <t>立柱展开</t>
  </si>
  <si>
    <t>立柱厚度</t>
  </si>
  <si>
    <t>HX撑厚度</t>
  </si>
  <si>
    <t>配件</t>
  </si>
  <si>
    <t>选型</t>
  </si>
  <si>
    <t>配件重量</t>
  </si>
  <si>
    <t>Frame</t>
  </si>
  <si>
    <t>9070-20</t>
  </si>
  <si>
    <t>喷塑</t>
  </si>
  <si>
    <t>公式行</t>
  </si>
  <si>
    <t>材料单价</t>
  </si>
  <si>
    <t>Buffer</t>
  </si>
  <si>
    <t>材料成本</t>
  </si>
  <si>
    <t>工费成本</t>
  </si>
  <si>
    <t>表面处理成本</t>
  </si>
  <si>
    <t>单套成本</t>
  </si>
  <si>
    <t>单套重量</t>
  </si>
  <si>
    <t>HX撑配件1</t>
  </si>
  <si>
    <t>尺寸</t>
  </si>
  <si>
    <t>总重</t>
  </si>
  <si>
    <t>附件参数1</t>
  </si>
  <si>
    <t>附件参数2</t>
  </si>
  <si>
    <t>附件参数3</t>
  </si>
  <si>
    <t>横撑数量</t>
  </si>
  <si>
    <t>横撑长度</t>
  </si>
  <si>
    <t>横撑单重</t>
  </si>
  <si>
    <t>横撑总重量</t>
  </si>
  <si>
    <t>斜撑数量</t>
  </si>
  <si>
    <t>斜撑长度</t>
  </si>
  <si>
    <t>斜撑单重</t>
  </si>
  <si>
    <t>斜撑总重</t>
  </si>
  <si>
    <t>脚底板数量</t>
  </si>
  <si>
    <t>脚底板单重</t>
  </si>
  <si>
    <t>脚底板总重量</t>
  </si>
  <si>
    <t>材质</t>
  </si>
  <si>
    <t>柱片</t>
  </si>
  <si>
    <t>HX撑</t>
  </si>
  <si>
    <t>90.Br2440.12</t>
  </si>
  <si>
    <t>Z</t>
  </si>
  <si>
    <t>HX撑选型</t>
  </si>
  <si>
    <t>HX撑配置</t>
  </si>
  <si>
    <t>首层高度</t>
  </si>
  <si>
    <t>额外加工费</t>
  </si>
  <si>
    <t>HX撑表面处理</t>
  </si>
  <si>
    <t>HX撑展开</t>
  </si>
  <si>
    <t>HX撑配件2</t>
  </si>
  <si>
    <t>底板</t>
  </si>
  <si>
    <t>FP90H4.DE75+bolt.set</t>
  </si>
  <si>
    <t>HX撑配件3</t>
  </si>
  <si>
    <t>密度</t>
  </si>
  <si>
    <t>大货架横斜撑节距→</t>
  </si>
  <si>
    <t>指定横斜撑数</t>
  </si>
  <si>
    <t>底板配件1</t>
  </si>
  <si>
    <r>
      <rPr>
        <sz val="12"/>
        <rFont val="宋体"/>
        <family val="3"/>
        <charset val="134"/>
      </rPr>
      <t>顶拉连接件重量</t>
    </r>
    <r>
      <rPr>
        <sz val="12"/>
        <rFont val="Segoe UI Emoji"/>
        <family val="2"/>
      </rPr>
      <t>➡️</t>
    </r>
  </si>
  <si>
    <t>单件成本</t>
  </si>
  <si>
    <t>单件重量</t>
  </si>
  <si>
    <t>底板选型</t>
  </si>
  <si>
    <t>Q355材料单价</t>
  </si>
  <si>
    <t>底板表面处理</t>
  </si>
  <si>
    <t>工费单价</t>
  </si>
  <si>
    <t>零件面积</t>
  </si>
  <si>
    <t>HX撑工费单价</t>
  </si>
  <si>
    <t>底板配件2</t>
  </si>
  <si>
    <t>垫板</t>
  </si>
  <si>
    <t>Blue Ral5015</t>
  </si>
  <si>
    <t>中型两立柱柱片</t>
  </si>
  <si>
    <t>L5547-15</t>
  </si>
  <si>
    <t>55.Br1830.12</t>
  </si>
  <si>
    <t>D</t>
  </si>
  <si>
    <t>是否印尼</t>
  </si>
  <si>
    <t>FP.L55A+M8.L45</t>
  </si>
  <si>
    <t>外部冲孔时填写印尼</t>
  </si>
  <si>
    <t>柱片无脚底板</t>
  </si>
  <si>
    <t>Frame without foot plate</t>
  </si>
  <si>
    <t>柱片, 不含脚底板</t>
  </si>
  <si>
    <t>单立柱+脚底板</t>
  </si>
  <si>
    <t>Post+foot plate</t>
  </si>
  <si>
    <t>立柱规格</t>
  </si>
  <si>
    <t>立柱高度</t>
  </si>
  <si>
    <t>立柱数量</t>
  </si>
  <si>
    <t>立柱单重</t>
  </si>
  <si>
    <t>立柱总重</t>
  </si>
  <si>
    <t>中型单立柱+脚底板</t>
  </si>
  <si>
    <t>单立柱</t>
  </si>
  <si>
    <t>Post</t>
  </si>
  <si>
    <t>L6050-15</t>
  </si>
  <si>
    <t>一字隔撑</t>
  </si>
  <si>
    <t>矩管选型</t>
  </si>
  <si>
    <t>隔撑数</t>
  </si>
  <si>
    <t>隔撑L</t>
  </si>
  <si>
    <t>横梁表面处理</t>
  </si>
  <si>
    <t>隔撑材料单价</t>
  </si>
  <si>
    <t>展开</t>
  </si>
  <si>
    <t>厚度</t>
  </si>
  <si>
    <t>板宽</t>
  </si>
  <si>
    <t>Row spacer</t>
  </si>
  <si>
    <t>主体</t>
  </si>
  <si>
    <t>Row.Spacer.L4040.30</t>
  </si>
  <si>
    <t>隔撑配件1</t>
  </si>
  <si>
    <t>M10.L20</t>
  </si>
  <si>
    <t>隔撑</t>
  </si>
  <si>
    <t>连接件</t>
  </si>
  <si>
    <t>HS横梁</t>
  </si>
  <si>
    <t>隔撑连接选型</t>
  </si>
  <si>
    <t>定制重量</t>
  </si>
  <si>
    <t>定制单价</t>
  </si>
  <si>
    <t>柱卡表面处理</t>
  </si>
  <si>
    <t>连接材料单价</t>
  </si>
  <si>
    <t>柱卡表面积</t>
  </si>
  <si>
    <t>隔撑工费单价</t>
  </si>
  <si>
    <t>隔撑配件2</t>
  </si>
  <si>
    <t>连接</t>
  </si>
  <si>
    <t>中型一字隔撑</t>
  </si>
  <si>
    <t>Orange Ral2004</t>
  </si>
  <si>
    <t>一字搁挡</t>
  </si>
  <si>
    <t>Support bar</t>
  </si>
  <si>
    <t>HS5030.15</t>
  </si>
  <si>
    <t>搁挡</t>
  </si>
  <si>
    <t>Pallet Support Bracket 3.0t.RAL</t>
  </si>
  <si>
    <t>井字搁挡</t>
  </si>
  <si>
    <t>井 Support bar</t>
  </si>
  <si>
    <t>BOX梁</t>
  </si>
  <si>
    <t>B横梁</t>
  </si>
  <si>
    <t>Box beam</t>
  </si>
  <si>
    <t>B11050.15</t>
  </si>
  <si>
    <t>横梁选型</t>
  </si>
  <si>
    <t>横梁数</t>
  </si>
  <si>
    <t>横梁W</t>
  </si>
  <si>
    <t>横梁材料单价</t>
  </si>
  <si>
    <t>横梁工费单价</t>
  </si>
  <si>
    <t>横梁展开</t>
  </si>
  <si>
    <t>横梁厚度</t>
  </si>
  <si>
    <t>横梁板宽</t>
  </si>
  <si>
    <t>抱扣梁</t>
  </si>
  <si>
    <t>柱卡</t>
  </si>
  <si>
    <t>横梁配件1</t>
  </si>
  <si>
    <r>
      <rPr>
        <sz val="12"/>
        <rFont val="宋体"/>
        <family val="3"/>
        <charset val="134"/>
      </rPr>
      <t>附件/连接件重量</t>
    </r>
    <r>
      <rPr>
        <sz val="12"/>
        <rFont val="Segoe UI Emoji"/>
        <family val="2"/>
      </rPr>
      <t>➡️</t>
    </r>
  </si>
  <si>
    <t>柱卡选型</t>
  </si>
  <si>
    <t>柱卡材料单价</t>
  </si>
  <si>
    <t>挪威、爱沙尼亚、危地马拉客户110及以上选4爪柱卡，其他客户，3000kg以下选3爪，以上选4爪，截面140以上选4爪。</t>
  </si>
  <si>
    <t>HS梁</t>
  </si>
  <si>
    <t>HS&amp;P&amp;C&amp;L型横梁</t>
  </si>
  <si>
    <t>HS Beam</t>
  </si>
  <si>
    <t>HS6040.15</t>
  </si>
  <si>
    <t>矩管梁</t>
  </si>
  <si>
    <t>中型HS梁</t>
  </si>
  <si>
    <t>L55A-Brk+pin</t>
  </si>
  <si>
    <t>P型梁</t>
  </si>
  <si>
    <t>Step Beam</t>
  </si>
  <si>
    <t>P5030/25.15</t>
  </si>
  <si>
    <t>中型P型梁</t>
  </si>
  <si>
    <t>C型梁</t>
  </si>
  <si>
    <t>C Beam</t>
  </si>
  <si>
    <t>B8050.15</t>
  </si>
  <si>
    <t>BOX楼板梁</t>
  </si>
  <si>
    <t>Floor beam</t>
  </si>
  <si>
    <t>L型梁</t>
  </si>
  <si>
    <t>L Beam</t>
  </si>
  <si>
    <t>L12580.8t</t>
  </si>
  <si>
    <t>Yellow Ral1023</t>
  </si>
  <si>
    <t>L折弯护脚</t>
  </si>
  <si>
    <t>L角钢护脚</t>
  </si>
  <si>
    <t>L Upright protector</t>
  </si>
  <si>
    <t>热开平板 5.0t</t>
  </si>
  <si>
    <t>Φ76*2.0 round pipe</t>
  </si>
  <si>
    <t>防撞栏</t>
  </si>
  <si>
    <t>Safety barrier</t>
  </si>
  <si>
    <t>防撞梁</t>
  </si>
  <si>
    <t>Gal</t>
  </si>
  <si>
    <t>网层板</t>
  </si>
  <si>
    <t>包装单价</t>
  </si>
  <si>
    <t>网层板选型</t>
  </si>
  <si>
    <t>订单数量</t>
  </si>
  <si>
    <t>线径</t>
  </si>
  <si>
    <t>支撑数</t>
  </si>
  <si>
    <t>单套面积</t>
  </si>
  <si>
    <t>支撑展开</t>
  </si>
  <si>
    <t>包装费单价</t>
  </si>
  <si>
    <t>托盘费</t>
  </si>
  <si>
    <t>每托数量</t>
  </si>
  <si>
    <t>Wire mesh decking</t>
  </si>
  <si>
    <t>定制折弯式网层板</t>
  </si>
  <si>
    <t>镀锌</t>
  </si>
  <si>
    <t>参数</t>
  </si>
  <si>
    <t>报价系数</t>
  </si>
  <si>
    <t>横梁L:</t>
  </si>
  <si>
    <t>立柱片D:</t>
  </si>
  <si>
    <t>拆分</t>
  </si>
  <si>
    <t>支撑厚度</t>
  </si>
  <si>
    <t>系数L</t>
  </si>
  <si>
    <t>系数D</t>
  </si>
  <si>
    <t>支撑系数</t>
  </si>
  <si>
    <t>扣除长度L</t>
  </si>
  <si>
    <t>深度加长D</t>
  </si>
  <si>
    <t>网格L</t>
  </si>
  <si>
    <t>网格D</t>
  </si>
  <si>
    <t>汇率</t>
  </si>
  <si>
    <t>Pre gal</t>
  </si>
  <si>
    <t>钢层板</t>
  </si>
  <si>
    <t>Steel panel</t>
  </si>
  <si>
    <t>预镀锌</t>
  </si>
  <si>
    <t>钢层板数据</t>
  </si>
  <si>
    <t>附件重量→</t>
  </si>
  <si>
    <t>For 120*70 post</t>
  </si>
  <si>
    <t>立柱对接件1</t>
  </si>
  <si>
    <t>立柱对接件</t>
  </si>
  <si>
    <t>Splice kit</t>
  </si>
  <si>
    <t>1PC</t>
  </si>
  <si>
    <t>Welding</t>
  </si>
  <si>
    <t>立柱对接件SHJ</t>
  </si>
  <si>
    <t>2 pc/post,with bolts, For 90*70 post</t>
  </si>
  <si>
    <t>立柱对接件-90内</t>
  </si>
  <si>
    <t>Splice kit inner pc</t>
  </si>
  <si>
    <t>立柱对接件(内)</t>
  </si>
  <si>
    <t>立柱对接件-91内</t>
  </si>
  <si>
    <t>1 pc/post,with bolts, For 90*70 post</t>
  </si>
  <si>
    <t>立柱对接件-90外</t>
  </si>
  <si>
    <t>Splice kit outer pc</t>
  </si>
  <si>
    <t xml:space="preserve">
立柱对接件(外)</t>
  </si>
  <si>
    <t>立柱对接件-91外</t>
  </si>
  <si>
    <t>H brace</t>
  </si>
  <si>
    <t>Q355指定材料单价</t>
  </si>
  <si>
    <t>横撑</t>
  </si>
  <si>
    <t>D  brace</t>
  </si>
  <si>
    <t>斜撑高度</t>
  </si>
  <si>
    <t>MHJ、SSS及国内用675的节距横斜撑，其他客户按600</t>
  </si>
  <si>
    <t>斜撑</t>
  </si>
  <si>
    <t>当清单横斜撑与计算不一致时，手动填写</t>
  </si>
  <si>
    <t>在Q355暂时无法取数时，手动填写</t>
  </si>
  <si>
    <t>脚底板套装</t>
  </si>
  <si>
    <t>Foot plate</t>
  </si>
  <si>
    <t>脚底板</t>
  </si>
  <si>
    <t>L10063.8t</t>
  </si>
  <si>
    <t>地轨</t>
  </si>
  <si>
    <t>Rail guide</t>
  </si>
  <si>
    <t>L100*100*8.0t</t>
  </si>
  <si>
    <t>地轨转角</t>
  </si>
  <si>
    <t>Rail guide corner</t>
  </si>
  <si>
    <t>地轨弯头</t>
  </si>
  <si>
    <t>托盘后挡</t>
  </si>
  <si>
    <t>托盘后档/背挡</t>
  </si>
  <si>
    <t>Pallet stopper</t>
  </si>
  <si>
    <t>Bracket.DE75托盘后档</t>
  </si>
  <si>
    <t>P&amp;D梁</t>
  </si>
  <si>
    <t>Bracket.P&amp;D 75-4H+pin</t>
  </si>
  <si>
    <t>L1350*D900</t>
  </si>
  <si>
    <t>水平拉</t>
  </si>
  <si>
    <t>Cross brace</t>
  </si>
  <si>
    <t>90.Br2440.14</t>
  </si>
  <si>
    <t>Row.Spacer.End.Plate.Std.RAL</t>
  </si>
  <si>
    <t>背横梁</t>
  </si>
  <si>
    <t>Back Beam</t>
  </si>
  <si>
    <t>HS8040.15</t>
  </si>
  <si>
    <t>附件/连接件</t>
  </si>
  <si>
    <t>顶横梁</t>
  </si>
  <si>
    <t>Top Beam</t>
  </si>
  <si>
    <t>顶拉</t>
  </si>
  <si>
    <t>Top Brace</t>
  </si>
  <si>
    <t>背拉</t>
  </si>
  <si>
    <t>Back Brace</t>
  </si>
  <si>
    <t>单牛腿</t>
  </si>
  <si>
    <t>Single bracket</t>
  </si>
  <si>
    <t>焊接工费2.2元</t>
  </si>
  <si>
    <t>双牛腿</t>
  </si>
  <si>
    <t>Double bracket</t>
  </si>
  <si>
    <t>焊接工费4.2元</t>
  </si>
  <si>
    <t>驶入式牛腿梁</t>
  </si>
  <si>
    <t>Pallet rail</t>
  </si>
  <si>
    <t>牛腿梁</t>
  </si>
  <si>
    <t>牛腿梁.镀锌W100.H70.2.0t</t>
  </si>
  <si>
    <t>L75*50*5.0</t>
  </si>
  <si>
    <t>L驶入式地轨</t>
  </si>
  <si>
    <t>驶入式地轨</t>
  </si>
  <si>
    <t>Guide Rail for drive in</t>
  </si>
  <si>
    <t>U15*50*160*50*15*3.0</t>
  </si>
  <si>
    <t>U驶入式地轨</t>
  </si>
  <si>
    <t>U Guide Rail for drive in</t>
  </si>
  <si>
    <t>U型地轨</t>
  </si>
  <si>
    <t>驶入式护脚</t>
  </si>
  <si>
    <t>Upright protector</t>
  </si>
  <si>
    <t>H400×4.5t D</t>
  </si>
  <si>
    <t>护脚</t>
  </si>
  <si>
    <t>阁楼/平台</t>
  </si>
  <si>
    <t>立柱对焊+脚底板</t>
  </si>
  <si>
    <t>Post for Mezzanine</t>
  </si>
  <si>
    <t>10070-23</t>
  </si>
  <si>
    <t>阁楼/平台立柱</t>
  </si>
  <si>
    <t>200*200*t6</t>
  </si>
  <si>
    <t>顶拉连接件</t>
  </si>
  <si>
    <t>HS200*200*4.0</t>
  </si>
  <si>
    <t>平台立柱/主次梁</t>
  </si>
  <si>
    <t>主次梁连接板</t>
  </si>
  <si>
    <t>Main beam</t>
  </si>
  <si>
    <t>Assist beam</t>
  </si>
  <si>
    <t>Top horizontal brace</t>
  </si>
  <si>
    <t>平台其他</t>
  </si>
  <si>
    <t>L75*50*5.0, 1 set</t>
  </si>
  <si>
    <r>
      <rPr>
        <sz val="12"/>
        <rFont val="Calibri"/>
        <family val="2"/>
      </rPr>
      <t>Ф</t>
    </r>
    <r>
      <rPr>
        <sz val="12"/>
        <rFont val="宋体"/>
        <family val="3"/>
        <charset val="134"/>
      </rPr>
      <t>16+turnbuckle, 1 set</t>
    </r>
  </si>
  <si>
    <t>M10 round bar</t>
  </si>
  <si>
    <t>Vertical back bracing</t>
  </si>
  <si>
    <t>Hand rail</t>
  </si>
  <si>
    <t>Brace between assist beam</t>
  </si>
  <si>
    <t>Skirt</t>
  </si>
  <si>
    <t>Pedal</t>
  </si>
  <si>
    <t>M12*200</t>
  </si>
  <si>
    <t>标准件</t>
  </si>
  <si>
    <t>Turnbuckle</t>
  </si>
  <si>
    <t>花篮螺栓：M12*200</t>
  </si>
  <si>
    <t>含税价，13%税率</t>
  </si>
  <si>
    <t>花篮螺栓</t>
  </si>
  <si>
    <t>运费</t>
  </si>
  <si>
    <t>含税价，6%税率</t>
  </si>
  <si>
    <t>㎡</t>
  </si>
  <si>
    <t>C200*40*2.0</t>
  </si>
  <si>
    <t>Grey Ral7047</t>
  </si>
  <si>
    <t>楼板</t>
  </si>
  <si>
    <t>Steel flooring without hole</t>
  </si>
  <si>
    <t>楼板, 不带孔</t>
  </si>
  <si>
    <t>扣板楼板-黑件</t>
  </si>
  <si>
    <t>楼板扣件</t>
  </si>
  <si>
    <t>Bolt for steel flooring</t>
  </si>
  <si>
    <t>冷镀锌</t>
  </si>
  <si>
    <t>常规1.2元</t>
  </si>
  <si>
    <t>非标2.1元</t>
  </si>
  <si>
    <t>L100*40*1.5</t>
  </si>
  <si>
    <t>踢脚线</t>
  </si>
  <si>
    <t>L38*38*1.2</t>
  </si>
  <si>
    <t>封边</t>
  </si>
  <si>
    <t>楼梯</t>
  </si>
  <si>
    <t>Stair</t>
  </si>
  <si>
    <t>采购</t>
  </si>
  <si>
    <t>自制</t>
  </si>
  <si>
    <t>D1000*H1200</t>
  </si>
  <si>
    <t>F30*1.5</t>
  </si>
  <si>
    <t>门</t>
  </si>
  <si>
    <t>Door</t>
  </si>
  <si>
    <t>穿梭式货架</t>
  </si>
  <si>
    <t>活动底板</t>
  </si>
  <si>
    <t>Movable base plate</t>
  </si>
  <si>
    <t>Adjustable base plate &amp; movable base plate</t>
  </si>
  <si>
    <t>调节底座</t>
  </si>
  <si>
    <t>Adjustable base plate</t>
  </si>
  <si>
    <t>前端单牛腿</t>
  </si>
  <si>
    <t>穿梭车前牛腿</t>
  </si>
  <si>
    <t>U型柱卡</t>
  </si>
  <si>
    <t>矩管</t>
  </si>
  <si>
    <t>若加矩管，工费按3.5元</t>
  </si>
  <si>
    <t>前端双牛腿</t>
  </si>
  <si>
    <t>牛腿支撑梁</t>
  </si>
  <si>
    <t>Support beam</t>
  </si>
  <si>
    <t>Shuttle.Support.Beam.HS6040.15</t>
  </si>
  <si>
    <t>注意中型货架柱卡选择</t>
  </si>
  <si>
    <t>C型横梁主体是B梁的一半</t>
  </si>
  <si>
    <t>不需要时清空</t>
  </si>
  <si>
    <t>208*70*t2.75</t>
  </si>
  <si>
    <t>穿梭板导轨</t>
  </si>
  <si>
    <t>Guide rail</t>
  </si>
  <si>
    <t>穿梭式导轨</t>
  </si>
  <si>
    <t>镀锌穿梭车导轨（H163）208*70*2.75t（锌层220克）</t>
  </si>
  <si>
    <t>200*125*3.0t</t>
  </si>
  <si>
    <t>导轨对接件</t>
  </si>
  <si>
    <t>Splice kit of rail</t>
  </si>
  <si>
    <t>216*125*5</t>
  </si>
  <si>
    <t>前后挡板</t>
  </si>
  <si>
    <t>End stopper</t>
  </si>
  <si>
    <t>前后挡板：216*125*5t</t>
  </si>
  <si>
    <t>托盘导向</t>
  </si>
  <si>
    <t>Pallet guide</t>
  </si>
  <si>
    <t>镀锌导向板：100*90*110*2.5t*1350</t>
  </si>
  <si>
    <t>L1440*D1150</t>
  </si>
  <si>
    <t>100.Br3040.14</t>
  </si>
  <si>
    <t>圆管护脚/防撞柱</t>
  </si>
  <si>
    <t>Steel column guard</t>
  </si>
  <si>
    <t>叉车阻挡</t>
  </si>
  <si>
    <t>Forklift stopper</t>
  </si>
  <si>
    <t xml:space="preserve"> II1413</t>
  </si>
  <si>
    <t>穿梭车</t>
  </si>
  <si>
    <t>Shuttle cart</t>
  </si>
  <si>
    <t>穿梭车电池</t>
  </si>
  <si>
    <t>Battary</t>
  </si>
  <si>
    <t>核验</t>
  </si>
  <si>
    <t>悬臂立柱</t>
  </si>
  <si>
    <t>单套数量</t>
  </si>
  <si>
    <t>重量</t>
  </si>
  <si>
    <t>面积</t>
  </si>
  <si>
    <t>配件单套成本</t>
  </si>
  <si>
    <t>配件单重成本</t>
  </si>
  <si>
    <t>配件1</t>
  </si>
  <si>
    <t>配件2</t>
  </si>
  <si>
    <t>配件3</t>
  </si>
  <si>
    <t>C300×90×3.0t</t>
  </si>
  <si>
    <t>悬臂 立柱</t>
  </si>
  <si>
    <t>立柱焊接钢板</t>
  </si>
  <si>
    <t>L419×H300×6t</t>
  </si>
  <si>
    <t>物耗</t>
  </si>
  <si>
    <t>初始值</t>
  </si>
  <si>
    <t>每套螺栓数</t>
  </si>
  <si>
    <t>悬臂单底座</t>
  </si>
  <si>
    <t>悬臂底座</t>
  </si>
  <si>
    <t>Bases -Single sided</t>
  </si>
  <si>
    <t>底座</t>
  </si>
  <si>
    <t>B300×90×3.0t</t>
  </si>
  <si>
    <t>M20*40 (8.8G)</t>
  </si>
  <si>
    <t>M16*35</t>
  </si>
  <si>
    <t>悬臂 单底座</t>
  </si>
  <si>
    <t>底座连接件</t>
  </si>
  <si>
    <t>U89/50×203×5t</t>
  </si>
  <si>
    <t>底座封板</t>
  </si>
  <si>
    <t>U203/20×297×3t</t>
  </si>
  <si>
    <t>底座膨胀螺丝</t>
  </si>
  <si>
    <t>Anc.M16.L100</t>
  </si>
  <si>
    <t>底座垫板1mm</t>
  </si>
  <si>
    <t>200×89×1.0t</t>
  </si>
  <si>
    <t>底座垫板3mm</t>
  </si>
  <si>
    <t>200×89×3.0t</t>
  </si>
  <si>
    <t>悬臂双底座</t>
  </si>
  <si>
    <t>Bases -double sided</t>
  </si>
  <si>
    <t>悬臂 双底座</t>
  </si>
  <si>
    <t>悬臂-臂</t>
  </si>
  <si>
    <t>Arm</t>
  </si>
  <si>
    <t>臂</t>
  </si>
  <si>
    <t>MC180(50)*100*3.5t</t>
  </si>
  <si>
    <t>悬臂</t>
  </si>
  <si>
    <t>H300-W90×5.0t</t>
  </si>
  <si>
    <t>悬臂下口筋板</t>
  </si>
  <si>
    <t>H70×W86×2.5t</t>
  </si>
  <si>
    <t>鼻子 U型封板</t>
  </si>
  <si>
    <t>U50/63×W86×3t</t>
  </si>
  <si>
    <t>悬臂挡杆</t>
  </si>
  <si>
    <t>φ16×2.5t×L285</t>
  </si>
  <si>
    <t>垫圈</t>
  </si>
  <si>
    <t>ø30(ø17)×3.0t</t>
  </si>
  <si>
    <t>长度</t>
  </si>
  <si>
    <t>悬臂背拉</t>
  </si>
  <si>
    <t>H Bracing kits+Bracket</t>
  </si>
  <si>
    <t>横拉</t>
  </si>
  <si>
    <t xml:space="preserve">L50×4.0t </t>
  </si>
  <si>
    <t>悬臂横拉+连接件</t>
  </si>
  <si>
    <t>斜拉</t>
  </si>
  <si>
    <t>L40×4.0t</t>
  </si>
  <si>
    <t>冲压连接件</t>
  </si>
  <si>
    <t xml:space="preserve">L50×4.0t×H150 </t>
  </si>
  <si>
    <t>D Bracing kits</t>
  </si>
  <si>
    <t>悬臂斜拉</t>
  </si>
  <si>
    <t>t=2.5,H140, Dia 32*1.5mm pipe</t>
  </si>
  <si>
    <t>新西兰divider</t>
  </si>
  <si>
    <t>Divider</t>
  </si>
  <si>
    <t>部件1</t>
  </si>
  <si>
    <t>分隔器</t>
  </si>
  <si>
    <t>部件2</t>
  </si>
  <si>
    <t>SHJ立柱对接件</t>
  </si>
  <si>
    <t>立柱对接件'</t>
  </si>
  <si>
    <t>SHJ 角钢护脚</t>
  </si>
  <si>
    <t>L75x50x5.0t</t>
  </si>
  <si>
    <t>SHJ 防撞栏</t>
  </si>
  <si>
    <t>Column guard</t>
  </si>
  <si>
    <t>采购件</t>
  </si>
  <si>
    <t>其他自制件</t>
  </si>
  <si>
    <t>隔离网</t>
  </si>
  <si>
    <t>硬边网片</t>
  </si>
  <si>
    <t>Fencing</t>
  </si>
  <si>
    <t>1片网片 用4套 M10*50的螺栓（无背网连接件）</t>
  </si>
  <si>
    <t>有背网连接件， 用背网连接件算螺栓。1个背网连接件：2套M10*25和2套 M10*50的螺栓</t>
  </si>
  <si>
    <t>硬边网片基础</t>
  </si>
  <si>
    <t>Fencing/Mesh</t>
  </si>
  <si>
    <t>M10*50</t>
  </si>
  <si>
    <t>背网</t>
  </si>
  <si>
    <t>Back mesh</t>
  </si>
  <si>
    <t>Mesh 100*50*4.0，F25*1.5</t>
  </si>
  <si>
    <t>门-硬边网片</t>
  </si>
  <si>
    <t>Double Leaf Swing Door</t>
  </si>
  <si>
    <t>双叶门</t>
  </si>
  <si>
    <t>L1000*D500</t>
  </si>
  <si>
    <t>φ32*1.5</t>
  </si>
  <si>
    <t>顶拉 自动</t>
  </si>
  <si>
    <t>L1000*H1717</t>
  </si>
  <si>
    <t>背拉 自动</t>
  </si>
  <si>
    <t>Blue Ral5010</t>
  </si>
  <si>
    <t>地插件</t>
  </si>
  <si>
    <t>Ground connector with bolt</t>
  </si>
  <si>
    <t>FP85H4.NZ75,with shim plate, without  bolts</t>
  </si>
  <si>
    <t>CPJ FP85</t>
  </si>
  <si>
    <t>FP90/100H4.NZ76.2+bolt.set</t>
  </si>
  <si>
    <t>CPJ2506-075</t>
  </si>
  <si>
    <t>Bolt</t>
  </si>
  <si>
    <t>CPJ M10.L65.Socket.Wz</t>
  </si>
  <si>
    <t>M10.L65.Socket.Wz</t>
  </si>
  <si>
    <t>M10*20  8.8G</t>
  </si>
  <si>
    <t>CPJ M10*20  8.8G</t>
  </si>
  <si>
    <t>M10*25  8.8G</t>
  </si>
  <si>
    <t>CPJ M10*20  8.9G</t>
  </si>
  <si>
    <t>CPJ M10*20  8.10G</t>
  </si>
  <si>
    <t>CPJ M10*20  8.11G</t>
  </si>
  <si>
    <t>CPJ M10*20  8.12G</t>
  </si>
  <si>
    <t>M8*25  dome head with hex inset head</t>
  </si>
  <si>
    <t>CPJ M8*25  dome head with hex inset head</t>
  </si>
  <si>
    <t>FP90/100H4.NZ76.2,without shim plate, without  bolts</t>
  </si>
  <si>
    <t>CPJ FP90/100</t>
  </si>
  <si>
    <t>CPJ BOX110 W2743</t>
  </si>
  <si>
    <t>Bracket.NZ76-3H+pin</t>
  </si>
  <si>
    <t>横梁材质→</t>
  </si>
  <si>
    <t>CPJ BOX120 W3048</t>
  </si>
  <si>
    <t>B12050.15</t>
  </si>
  <si>
    <t>Bracket.NZ76-4H+pin</t>
  </si>
  <si>
    <t>CPJ BOX130 W3353</t>
  </si>
  <si>
    <t>B13050.15</t>
  </si>
  <si>
    <t>CPJ BOX80 W1372</t>
  </si>
  <si>
    <t>CPJ P80 W2743</t>
  </si>
  <si>
    <t>P8050/28.20</t>
  </si>
  <si>
    <t>Shelf support</t>
  </si>
  <si>
    <t>78*t1.8</t>
  </si>
  <si>
    <t>CPJ Shelf support L900</t>
  </si>
  <si>
    <t>热镀锌</t>
  </si>
  <si>
    <t>CPJ Shelf support L1200</t>
  </si>
  <si>
    <t>CPJ  Arm L900</t>
  </si>
  <si>
    <t>MC100/50xW60x3.0t</t>
  </si>
  <si>
    <t>H300-W90*5.0t</t>
  </si>
  <si>
    <t>H70*W86*2.5t</t>
  </si>
  <si>
    <t>U50/63*W86*3t</t>
  </si>
  <si>
    <t>φ16*2.5t*L285</t>
  </si>
  <si>
    <t>ø30(ø17)*3.0t</t>
  </si>
  <si>
    <t>CPJ  Arm L1200</t>
  </si>
  <si>
    <t>同D1200*W1335</t>
  </si>
  <si>
    <t>CPJ WMD D1210</t>
  </si>
  <si>
    <t>指定单价</t>
  </si>
  <si>
    <t>高度</t>
  </si>
  <si>
    <t>CPJ2509-120</t>
  </si>
  <si>
    <t>同D900*W1335</t>
  </si>
  <si>
    <t>CPJ WMD D910</t>
  </si>
  <si>
    <t>CPJ Upright protector H400</t>
  </si>
  <si>
    <t>H400×4.5t CPJA</t>
  </si>
  <si>
    <t>Cable Drum Holder</t>
  </si>
  <si>
    <t>D900*W600</t>
  </si>
  <si>
    <t>L100x63x6.0t+L63x40x3.0</t>
  </si>
  <si>
    <t>CPJ Cable Drum Holder D900*W600</t>
  </si>
  <si>
    <t>CPJ2504-046</t>
  </si>
  <si>
    <t>D900</t>
  </si>
  <si>
    <t>C50/100*800*3.0t，load capacity 500kg，include 2 x brackets, without pipe</t>
  </si>
  <si>
    <t>CPJ Cable Drum Holder D900</t>
  </si>
  <si>
    <t>CPJ Back mesh L1372</t>
  </si>
  <si>
    <t>CPJ Back mesh L2743</t>
  </si>
  <si>
    <t>Bollards</t>
  </si>
  <si>
    <t>Φ168*5.0 round pipe</t>
  </si>
  <si>
    <t>CPJ Bollards</t>
  </si>
  <si>
    <t>CPJ 单边悬臂</t>
  </si>
  <si>
    <t>C300*90*3.0t</t>
  </si>
  <si>
    <t>L419*H300*6t</t>
  </si>
  <si>
    <t>B300*90*3.0t</t>
  </si>
  <si>
    <t>C89/50*288*5t</t>
  </si>
  <si>
    <t>U203/20*297*3t</t>
  </si>
  <si>
    <t>200x89x1.0t</t>
  </si>
  <si>
    <t>200x89x3.0t</t>
  </si>
  <si>
    <t>Mb120/50*W94*3t/25*15</t>
  </si>
  <si>
    <t>H Brace ø32*1.5t</t>
  </si>
  <si>
    <t>D brace ø32*1.5t</t>
  </si>
  <si>
    <t>L105/50*H150*3t</t>
  </si>
  <si>
    <t>CPJ 双边悬臂</t>
  </si>
  <si>
    <t>NZS 钢层板D600W600</t>
  </si>
  <si>
    <t>NZS2408-099</t>
  </si>
  <si>
    <t>NZS 钢层板D600W300</t>
  </si>
  <si>
    <t>以下自由编辑区</t>
  </si>
  <si>
    <t>×1</t>
  </si>
  <si>
    <t>Product</t>
  </si>
  <si>
    <t>产品 (2021年4月）</t>
  </si>
  <si>
    <t>重量 kg</t>
  </si>
  <si>
    <r>
      <rPr>
        <b/>
        <sz val="11"/>
        <rFont val="宋体"/>
        <family val="3"/>
        <charset val="134"/>
        <scheme val="minor"/>
      </rPr>
      <t>面积 m</t>
    </r>
    <r>
      <rPr>
        <b/>
        <vertAlign val="superscript"/>
        <sz val="11"/>
        <rFont val="宋体"/>
        <family val="3"/>
        <charset val="134"/>
      </rPr>
      <t>2</t>
    </r>
  </si>
  <si>
    <t>预镀锌单价</t>
  </si>
  <si>
    <t>厚度 mm</t>
  </si>
  <si>
    <t>料宽 mm</t>
  </si>
  <si>
    <t>L1 mm</t>
  </si>
  <si>
    <t>L2 mm</t>
  </si>
  <si>
    <t>热卷单价</t>
  </si>
  <si>
    <t>预镀锌包装费</t>
  </si>
  <si>
    <t>额外成本</t>
  </si>
  <si>
    <t>配件1数量</t>
  </si>
  <si>
    <t>配件2数量</t>
  </si>
  <si>
    <r>
      <rPr>
        <b/>
        <sz val="11"/>
        <rFont val="微软雅黑"/>
        <family val="2"/>
        <charset val="134"/>
      </rPr>
      <t>配件</t>
    </r>
    <r>
      <rPr>
        <b/>
        <sz val="11"/>
        <rFont val="Calibri"/>
        <family val="2"/>
      </rPr>
      <t>3</t>
    </r>
  </si>
  <si>
    <t>配件3数量</t>
  </si>
  <si>
    <t>热卷单价搜索词</t>
  </si>
  <si>
    <t>预镀锌单价搜索词</t>
  </si>
  <si>
    <r>
      <rPr>
        <b/>
        <sz val="11"/>
        <rFont val="Calibri"/>
        <family val="2"/>
      </rPr>
      <t>Q355</t>
    </r>
    <r>
      <rPr>
        <b/>
        <sz val="11"/>
        <rFont val="宋体"/>
        <family val="3"/>
        <charset val="134"/>
      </rPr>
      <t>镀锌卷</t>
    </r>
  </si>
  <si>
    <t>报价描述 中文</t>
  </si>
  <si>
    <t>报价描述</t>
  </si>
  <si>
    <r>
      <rPr>
        <b/>
        <sz val="11"/>
        <rFont val="Calibri"/>
        <family val="2"/>
      </rPr>
      <t>Q355</t>
    </r>
    <r>
      <rPr>
        <b/>
        <sz val="11"/>
        <rFont val="宋体"/>
        <family val="3"/>
        <charset val="134"/>
      </rPr>
      <t>黑卷单价</t>
    </r>
  </si>
  <si>
    <r>
      <rPr>
        <b/>
        <sz val="11"/>
        <rFont val="Calibri"/>
        <family val="2"/>
      </rPr>
      <t>Q355</t>
    </r>
    <r>
      <rPr>
        <b/>
        <sz val="11"/>
        <rFont val="宋体"/>
        <family val="3"/>
        <charset val="134"/>
      </rPr>
      <t>预镀锌单价</t>
    </r>
  </si>
  <si>
    <t>边距</t>
  </si>
  <si>
    <t>中型黑卷立柱</t>
  </si>
  <si>
    <t>待完善</t>
  </si>
  <si>
    <t>AB不带小边148MM展开</t>
  </si>
  <si>
    <t>热卷 1.5t</t>
  </si>
  <si>
    <t>镀锌卷 1.5t</t>
  </si>
  <si>
    <t>L5547-18</t>
  </si>
  <si>
    <t>热卷 1.8t</t>
  </si>
  <si>
    <t>镀锌卷 1.8t</t>
  </si>
  <si>
    <t>Q355镀锌卷 1.8t</t>
  </si>
  <si>
    <t>L55C47RF-15</t>
  </si>
  <si>
    <t>AB带小边161MM展开</t>
  </si>
  <si>
    <t>L55C47RF-18</t>
  </si>
  <si>
    <t>C不带小边161MM展开</t>
  </si>
  <si>
    <t>L5549-15</t>
  </si>
  <si>
    <t>L5550RF-15</t>
  </si>
  <si>
    <t>L5550RF-18</t>
  </si>
  <si>
    <t>C带小边175MM展开</t>
  </si>
  <si>
    <t>L6050-18</t>
  </si>
  <si>
    <t>重型立柱</t>
  </si>
  <si>
    <t>8060-20</t>
  </si>
  <si>
    <t>待定</t>
  </si>
  <si>
    <t>热卷 2.0t</t>
  </si>
  <si>
    <t>镀锌卷 2.0t</t>
  </si>
  <si>
    <t>Q355镀锌卷 2.0t</t>
  </si>
  <si>
    <t>9068-18</t>
  </si>
  <si>
    <t>9068-20</t>
  </si>
  <si>
    <t>9070-18</t>
  </si>
  <si>
    <t>9070-23</t>
  </si>
  <si>
    <t>热卷 2.3t</t>
  </si>
  <si>
    <t>镀锌卷 2.3t</t>
  </si>
  <si>
    <t>10070-20</t>
  </si>
  <si>
    <r>
      <rPr>
        <sz val="11"/>
        <color theme="1"/>
        <rFont val="宋体"/>
        <family val="3"/>
        <charset val="134"/>
        <scheme val="minor"/>
      </rPr>
      <t>10070-2</t>
    </r>
    <r>
      <rPr>
        <sz val="11"/>
        <color indexed="8"/>
        <rFont val="宋体"/>
        <family val="3"/>
        <charset val="134"/>
      </rPr>
      <t>3</t>
    </r>
  </si>
  <si>
    <t>10070-25</t>
  </si>
  <si>
    <t>热卷 2.5t</t>
  </si>
  <si>
    <t>镀锌卷 2.5t</t>
  </si>
  <si>
    <t>Q355镀锌卷 2.5t</t>
  </si>
  <si>
    <t>10070-275</t>
  </si>
  <si>
    <t>热卷 2.75t</t>
  </si>
  <si>
    <t>镀锌卷 2.75t</t>
  </si>
  <si>
    <t>Q355镀锌卷 2.75t</t>
  </si>
  <si>
    <r>
      <rPr>
        <sz val="11"/>
        <color theme="1"/>
        <rFont val="宋体"/>
        <family val="3"/>
        <charset val="134"/>
        <scheme val="minor"/>
      </rPr>
      <t>10075-2</t>
    </r>
    <r>
      <rPr>
        <sz val="11"/>
        <color indexed="8"/>
        <rFont val="宋体"/>
        <family val="3"/>
        <charset val="134"/>
      </rPr>
      <t>0</t>
    </r>
  </si>
  <si>
    <t>老立柱，有库存</t>
  </si>
  <si>
    <t>10075-23</t>
  </si>
  <si>
    <t>10075-25</t>
  </si>
  <si>
    <t>10095-20</t>
  </si>
  <si>
    <t>10095-23</t>
  </si>
  <si>
    <t>Q355镀锌卷 2.3t</t>
  </si>
  <si>
    <t>10095-25</t>
  </si>
  <si>
    <t>10095-275</t>
  </si>
  <si>
    <t>10095-30</t>
  </si>
  <si>
    <t>热卷 3.0t</t>
  </si>
  <si>
    <t>镀锌卷 3.0t</t>
  </si>
  <si>
    <t>Q355镀锌卷 3.0t</t>
  </si>
  <si>
    <t>100135-23</t>
  </si>
  <si>
    <t>100135-25</t>
  </si>
  <si>
    <t>100135-275</t>
  </si>
  <si>
    <t>100135-30</t>
  </si>
  <si>
    <t>12070-20</t>
  </si>
  <si>
    <t>12070-23</t>
  </si>
  <si>
    <r>
      <rPr>
        <sz val="11"/>
        <color theme="1"/>
        <rFont val="宋体"/>
        <family val="3"/>
        <charset val="134"/>
        <scheme val="minor"/>
      </rPr>
      <t>12070-2</t>
    </r>
    <r>
      <rPr>
        <sz val="11"/>
        <color indexed="8"/>
        <rFont val="宋体"/>
        <family val="3"/>
        <charset val="134"/>
      </rPr>
      <t>5</t>
    </r>
  </si>
  <si>
    <r>
      <rPr>
        <sz val="11"/>
        <color theme="1"/>
        <rFont val="宋体"/>
        <family val="3"/>
        <charset val="134"/>
        <scheme val="minor"/>
      </rPr>
      <t>12070-27</t>
    </r>
    <r>
      <rPr>
        <sz val="11"/>
        <color indexed="8"/>
        <rFont val="宋体"/>
        <family val="3"/>
        <charset val="134"/>
      </rPr>
      <t>5</t>
    </r>
  </si>
  <si>
    <t>12070-30</t>
  </si>
  <si>
    <r>
      <rPr>
        <sz val="11"/>
        <color theme="1"/>
        <rFont val="宋体"/>
        <family val="3"/>
        <charset val="134"/>
        <scheme val="minor"/>
      </rPr>
      <t>12075-2</t>
    </r>
    <r>
      <rPr>
        <sz val="11"/>
        <color indexed="8"/>
        <rFont val="宋体"/>
        <family val="3"/>
        <charset val="134"/>
      </rPr>
      <t>0</t>
    </r>
  </si>
  <si>
    <t>老立柱，取消生产</t>
  </si>
  <si>
    <t>12075-23</t>
  </si>
  <si>
    <t>12075-25</t>
  </si>
  <si>
    <t>12095-23</t>
  </si>
  <si>
    <t>12095-25</t>
  </si>
  <si>
    <t>12095-275</t>
  </si>
  <si>
    <r>
      <rPr>
        <sz val="11"/>
        <color theme="1"/>
        <rFont val="宋体"/>
        <family val="3"/>
        <charset val="134"/>
        <scheme val="minor"/>
      </rPr>
      <t>12095-</t>
    </r>
    <r>
      <rPr>
        <sz val="11"/>
        <color indexed="8"/>
        <rFont val="宋体"/>
        <family val="3"/>
        <charset val="134"/>
      </rPr>
      <t>30</t>
    </r>
  </si>
  <si>
    <t>120135-23</t>
  </si>
  <si>
    <t>120135-25</t>
  </si>
  <si>
    <t>120135-275</t>
  </si>
  <si>
    <t>120135-30</t>
  </si>
  <si>
    <t>140135-23</t>
  </si>
  <si>
    <t>140135-25</t>
  </si>
  <si>
    <t>140135-275</t>
  </si>
  <si>
    <t>140135-30</t>
  </si>
  <si>
    <t>90.Br2435.14</t>
  </si>
  <si>
    <t>Spacer.90.φ14.L47</t>
  </si>
  <si>
    <t>热卷 1.4t</t>
  </si>
  <si>
    <t>镀锌卷 1.4t</t>
  </si>
  <si>
    <t>热卷 1.2t</t>
  </si>
  <si>
    <t>镀锌卷 1.2t</t>
  </si>
  <si>
    <t>90.Br2440.15</t>
  </si>
  <si>
    <t>90.Br2440.18</t>
  </si>
  <si>
    <t>100.Br3040.12</t>
  </si>
  <si>
    <t>M10.L75.Socket.Wz</t>
  </si>
  <si>
    <t>Spacer.100.φ14.L57</t>
  </si>
  <si>
    <r>
      <rPr>
        <sz val="11"/>
        <color theme="1"/>
        <rFont val="宋体"/>
        <family val="3"/>
        <charset val="134"/>
        <scheme val="minor"/>
      </rPr>
      <t>100.Br3040.1</t>
    </r>
    <r>
      <rPr>
        <sz val="11"/>
        <color indexed="8"/>
        <rFont val="宋体"/>
        <family val="3"/>
        <charset val="134"/>
      </rPr>
      <t>4</t>
    </r>
  </si>
  <si>
    <t>100.Br3040.15</t>
  </si>
  <si>
    <t>100.Br3040.18</t>
  </si>
  <si>
    <t>120.Br4040.14</t>
  </si>
  <si>
    <t>M10.L95.Socket.Wz</t>
  </si>
  <si>
    <t>Spacer.120.φ14.L77</t>
  </si>
  <si>
    <t>120.Br4040.15</t>
  </si>
  <si>
    <t>120.Br4040.12</t>
  </si>
  <si>
    <r>
      <rPr>
        <sz val="11"/>
        <color theme="1"/>
        <rFont val="宋体"/>
        <family val="3"/>
        <charset val="134"/>
        <scheme val="minor"/>
      </rPr>
      <t>55.Br1830.1</t>
    </r>
    <r>
      <rPr>
        <sz val="11"/>
        <color indexed="8"/>
        <rFont val="宋体"/>
        <family val="3"/>
        <charset val="134"/>
      </rPr>
      <t>2</t>
    </r>
  </si>
  <si>
    <t>M8.L45 Socket</t>
  </si>
  <si>
    <t>Spacer.L55.φ14.L33</t>
  </si>
  <si>
    <t>55.Br1830.13</t>
  </si>
  <si>
    <t>热卷 1.3t</t>
  </si>
  <si>
    <t xml:space="preserve">55.Br2530.13 </t>
  </si>
  <si>
    <t>M8.L40 Socket</t>
  </si>
  <si>
    <t>60.Br1830.12</t>
  </si>
  <si>
    <t>M6.L45 Socket</t>
  </si>
  <si>
    <t>K抱梁</t>
  </si>
  <si>
    <t>大货架柱卡面宽</t>
  </si>
  <si>
    <t>B9050.15</t>
  </si>
  <si>
    <t>B10050.15</t>
  </si>
  <si>
    <t>B14050.15</t>
  </si>
  <si>
    <t>B15050.15</t>
  </si>
  <si>
    <t>B15550.15</t>
  </si>
  <si>
    <r>
      <rPr>
        <sz val="11"/>
        <color theme="1"/>
        <rFont val="宋体"/>
        <family val="3"/>
        <charset val="134"/>
        <scheme val="minor"/>
      </rPr>
      <t>B16050.</t>
    </r>
    <r>
      <rPr>
        <sz val="11"/>
        <color indexed="8"/>
        <rFont val="宋体"/>
        <family val="3"/>
        <charset val="134"/>
      </rPr>
      <t>15</t>
    </r>
  </si>
  <si>
    <t>B18050.15</t>
  </si>
  <si>
    <t>B12050.18</t>
  </si>
  <si>
    <r>
      <rPr>
        <sz val="11"/>
        <color theme="1"/>
        <rFont val="宋体"/>
        <family val="3"/>
        <charset val="134"/>
        <scheme val="minor"/>
      </rPr>
      <t>B15550.1</t>
    </r>
    <r>
      <rPr>
        <sz val="11"/>
        <color indexed="8"/>
        <rFont val="宋体"/>
        <family val="3"/>
        <charset val="134"/>
      </rPr>
      <t>8</t>
    </r>
  </si>
  <si>
    <r>
      <rPr>
        <sz val="11"/>
        <color theme="1"/>
        <rFont val="宋体"/>
        <family val="3"/>
        <charset val="134"/>
        <scheme val="minor"/>
      </rPr>
      <t>B16050.</t>
    </r>
    <r>
      <rPr>
        <sz val="11"/>
        <color indexed="8"/>
        <rFont val="宋体"/>
        <family val="3"/>
        <charset val="134"/>
      </rPr>
      <t>18</t>
    </r>
  </si>
  <si>
    <r>
      <rPr>
        <sz val="11"/>
        <color theme="1"/>
        <rFont val="宋体"/>
        <family val="3"/>
        <charset val="134"/>
        <scheme val="minor"/>
      </rPr>
      <t>B18050.</t>
    </r>
    <r>
      <rPr>
        <sz val="11"/>
        <color indexed="8"/>
        <rFont val="宋体"/>
        <family val="3"/>
        <charset val="134"/>
      </rPr>
      <t>18</t>
    </r>
  </si>
  <si>
    <t>B12050.20</t>
  </si>
  <si>
    <t>B16050.20</t>
  </si>
  <si>
    <t>B18050.20</t>
  </si>
  <si>
    <r>
      <rPr>
        <sz val="11"/>
        <color theme="1"/>
        <rFont val="宋体"/>
        <family val="3"/>
        <charset val="134"/>
        <scheme val="minor"/>
      </rPr>
      <t>B8050.1</t>
    </r>
    <r>
      <rPr>
        <sz val="11"/>
        <color indexed="8"/>
        <rFont val="宋体"/>
        <family val="3"/>
        <charset val="134"/>
      </rPr>
      <t>4</t>
    </r>
  </si>
  <si>
    <t>B10050.13</t>
  </si>
  <si>
    <t>P-型梁</t>
  </si>
  <si>
    <t>中型货架面宽</t>
  </si>
  <si>
    <t>中型/重型柱卡面宽</t>
  </si>
  <si>
    <r>
      <rPr>
        <sz val="11"/>
        <color theme="1"/>
        <rFont val="宋体"/>
        <family val="3"/>
        <charset val="134"/>
        <scheme val="minor"/>
      </rPr>
      <t>P5030/25.1</t>
    </r>
    <r>
      <rPr>
        <sz val="11"/>
        <color indexed="8"/>
        <rFont val="宋体"/>
        <family val="3"/>
        <charset val="134"/>
      </rPr>
      <t>2</t>
    </r>
  </si>
  <si>
    <t>50/60</t>
  </si>
  <si>
    <t>P型梁半光亮 1.2t</t>
  </si>
  <si>
    <t>P型梁半光亮 1.5t</t>
  </si>
  <si>
    <t>P6040/18.12</t>
  </si>
  <si>
    <t>P6040/28.15</t>
  </si>
  <si>
    <t>P6040/18.20</t>
  </si>
  <si>
    <t>P型梁半光亮 2.0t</t>
  </si>
  <si>
    <t>P6040/28.20</t>
  </si>
  <si>
    <r>
      <rPr>
        <sz val="11"/>
        <color theme="1"/>
        <rFont val="宋体"/>
        <family val="3"/>
        <charset val="134"/>
        <scheme val="minor"/>
      </rPr>
      <t>P8050/28.</t>
    </r>
    <r>
      <rPr>
        <sz val="11"/>
        <color indexed="8"/>
        <rFont val="宋体"/>
        <family val="3"/>
        <charset val="134"/>
      </rPr>
      <t>12</t>
    </r>
  </si>
  <si>
    <t>P8050/28.15</t>
  </si>
  <si>
    <r>
      <rPr>
        <sz val="11"/>
        <color theme="1"/>
        <rFont val="宋体"/>
        <family val="3"/>
        <charset val="134"/>
        <scheme val="minor"/>
      </rPr>
      <t>P11050/</t>
    </r>
    <r>
      <rPr>
        <sz val="11"/>
        <color rgb="FFFF0000"/>
        <rFont val="宋体"/>
        <family val="3"/>
        <charset val="134"/>
        <scheme val="minor"/>
      </rPr>
      <t>28</t>
    </r>
    <r>
      <rPr>
        <sz val="11"/>
        <color theme="1"/>
        <rFont val="宋体"/>
        <family val="3"/>
        <charset val="134"/>
        <scheme val="minor"/>
      </rPr>
      <t>.15</t>
    </r>
  </si>
  <si>
    <t>P76×63.5/41.3-15</t>
  </si>
  <si>
    <t>P76.2*63.5*1.5</t>
  </si>
  <si>
    <t>P76×63.5/41.3-18</t>
  </si>
  <si>
    <t>P76.2*63.5*1.8</t>
  </si>
  <si>
    <t>P88.9×63.5/41.3-18</t>
  </si>
  <si>
    <t>P88.9*63.5*1.5</t>
  </si>
  <si>
    <t>P88.9*63.5*1.8</t>
  </si>
  <si>
    <t>P101.6×63.5/41.3-15</t>
  </si>
  <si>
    <t>P101.6*63.5*1.5</t>
  </si>
  <si>
    <t>P101.6×63.5/41.3-18</t>
  </si>
  <si>
    <t>P101.6*63.5*1.8</t>
  </si>
  <si>
    <t>P114×63.5/41.3-15</t>
  </si>
  <si>
    <t>P114.3*63.5*1.5</t>
  </si>
  <si>
    <t>P114×63.5/41.3-18</t>
  </si>
  <si>
    <t>P114.3*63.5*1.8</t>
  </si>
  <si>
    <t>P127×63.5/41.3-18</t>
  </si>
  <si>
    <t>P127*63.5*1.8</t>
  </si>
  <si>
    <t>P127×63.5/41.3-20</t>
  </si>
  <si>
    <t>P127*63.5*2.0</t>
  </si>
  <si>
    <t>P127×63.5/41.3-25</t>
  </si>
  <si>
    <t>单价参照2.0</t>
  </si>
  <si>
    <t>P139.7×63.5/41.3-18</t>
  </si>
  <si>
    <t>P139.7*63.5*1.8</t>
  </si>
  <si>
    <t>P139.7×63.5/41.3-20</t>
  </si>
  <si>
    <t>P139.7*63.5*2.0</t>
  </si>
  <si>
    <t>P139.7×63.5/41.3-25</t>
  </si>
  <si>
    <t>P152×64/41.3-18</t>
  </si>
  <si>
    <t>P152.4*63.5*1.8</t>
  </si>
  <si>
    <t>P152×64/41.3-20</t>
  </si>
  <si>
    <t>P152.4*63.5*2.0</t>
  </si>
  <si>
    <t>矩型管</t>
  </si>
  <si>
    <t>HS4040.15</t>
  </si>
  <si>
    <t>矩管 1.5t</t>
  </si>
  <si>
    <t>HS5030.12</t>
  </si>
  <si>
    <t>矩管 1.2t</t>
  </si>
  <si>
    <t>HS5030.20</t>
  </si>
  <si>
    <t>矩管 2.0t</t>
  </si>
  <si>
    <r>
      <rPr>
        <sz val="11"/>
        <color theme="1"/>
        <rFont val="宋体"/>
        <family val="3"/>
        <charset val="134"/>
        <scheme val="minor"/>
      </rPr>
      <t>HS6040.1</t>
    </r>
    <r>
      <rPr>
        <sz val="11"/>
        <color indexed="8"/>
        <rFont val="宋体"/>
        <family val="3"/>
        <charset val="134"/>
      </rPr>
      <t>2</t>
    </r>
  </si>
  <si>
    <t>HS6040.20</t>
  </si>
  <si>
    <t>HS8040.20</t>
  </si>
  <si>
    <t>HS8050.15</t>
  </si>
  <si>
    <t>HS8050.20</t>
  </si>
  <si>
    <r>
      <rPr>
        <sz val="11"/>
        <color theme="1"/>
        <rFont val="宋体"/>
        <family val="3"/>
        <charset val="134"/>
        <scheme val="minor"/>
      </rPr>
      <t>HS10050.</t>
    </r>
    <r>
      <rPr>
        <sz val="11"/>
        <color indexed="8"/>
        <rFont val="宋体"/>
        <family val="3"/>
        <charset val="134"/>
      </rPr>
      <t>15</t>
    </r>
  </si>
  <si>
    <t>HS10050.20</t>
  </si>
  <si>
    <t>HS10050.25</t>
  </si>
  <si>
    <t>矩管 2.5t</t>
  </si>
  <si>
    <t>HS12060.20</t>
  </si>
  <si>
    <t>HS12060.25</t>
  </si>
  <si>
    <t>HS12060.40</t>
  </si>
  <si>
    <t>矩管 4.0t</t>
  </si>
  <si>
    <t>F100.30</t>
  </si>
  <si>
    <t>C126×50×4.0</t>
  </si>
  <si>
    <t>热开平板 4.0t</t>
  </si>
  <si>
    <t>C215×45×2.5</t>
  </si>
  <si>
    <t>热开平板 2.5t</t>
  </si>
  <si>
    <t xml:space="preserve">C215*45*2.5mm, </t>
  </si>
  <si>
    <t>隔撑/托盘支撑</t>
  </si>
  <si>
    <t>Row.Spacer.L4040.30-Adjustable</t>
  </si>
  <si>
    <t>M10*110</t>
  </si>
  <si>
    <t>角钢 L3030.3t</t>
  </si>
  <si>
    <t>Row.Spacer.HS5030.15</t>
  </si>
  <si>
    <t>Row.Spacer.HS4040.15</t>
  </si>
  <si>
    <t>Pallet Support HS5030.15</t>
  </si>
  <si>
    <t>一字形搁挡 成品</t>
  </si>
  <si>
    <t>Pallet Support HS6040.15</t>
  </si>
  <si>
    <t>Half Pallet Support HS6040.15</t>
  </si>
  <si>
    <t>工字形搁挡 成品</t>
  </si>
  <si>
    <t>单立柱隔撑连接</t>
  </si>
  <si>
    <t>隔撑面板90/100立柱</t>
  </si>
  <si>
    <t>Row.Spacer.End.Plate.Extra.RAL</t>
  </si>
  <si>
    <t>隔撑面板120立柱</t>
  </si>
  <si>
    <t>托盘支撑挂爪3mm</t>
  </si>
  <si>
    <t>Pallet Support Bracket 4.0t.RAL</t>
  </si>
  <si>
    <t>托盘支撑挂爪4mm</t>
  </si>
  <si>
    <t>Drive.P.Rail W100.H70.20.Pregal</t>
  </si>
  <si>
    <t>牛腿梁2mm</t>
  </si>
  <si>
    <t>Drive.P.Rail W100.H70.23.Pregal</t>
  </si>
  <si>
    <t>牛腿梁2.3mm</t>
  </si>
  <si>
    <t>Drive.Flr.Guide.L7550.55</t>
  </si>
  <si>
    <t>叉车导轨</t>
  </si>
  <si>
    <t>4.5/米</t>
  </si>
  <si>
    <t>Anc.M12.L100</t>
  </si>
  <si>
    <t>Drive.X-Brace.dia32</t>
  </si>
  <si>
    <t>X-拉</t>
  </si>
  <si>
    <t>Drive.X-Brace.dia42</t>
  </si>
  <si>
    <t>Drive.Top.Beam.HS8040.15</t>
  </si>
  <si>
    <t>顶梁</t>
  </si>
  <si>
    <t>M8.L16</t>
  </si>
  <si>
    <t>Drive.Back.Beam.HS8040.15</t>
  </si>
  <si>
    <t>背梁</t>
  </si>
  <si>
    <t>背梁+焊3个连接耳</t>
  </si>
  <si>
    <t>Drive.90.Top.Plate.RAL</t>
  </si>
  <si>
    <t>90立柱顶板 活动</t>
  </si>
  <si>
    <t>Drive.100.Top.Plate.RAL</t>
  </si>
  <si>
    <t>100立柱顶板 活动</t>
  </si>
  <si>
    <t>Drive.120.Top.Plate.RAL</t>
  </si>
  <si>
    <t>120立柱顶板 活动</t>
  </si>
  <si>
    <t>90立柱顶板 与立柱焊接</t>
  </si>
  <si>
    <t>100立柱顶板 与立柱焊接</t>
  </si>
  <si>
    <t>120立柱顶板 与立柱焊接</t>
  </si>
  <si>
    <t>Drive.S.Arm.Single.RAL</t>
  </si>
  <si>
    <t>单牛腿 焊接式 槽钢</t>
  </si>
  <si>
    <t>Drive.S.Arm.Double.RAL</t>
  </si>
  <si>
    <t>双牛腿 焊接式 槽钢</t>
  </si>
  <si>
    <t>Shuttle.Support.Beam.HS5050.15</t>
  </si>
  <si>
    <t>支撑梁</t>
  </si>
  <si>
    <t>Shuttle.Support.Beam.HS5050.20</t>
  </si>
  <si>
    <t>Shuttle.Support.Beam.HS6040.12</t>
  </si>
  <si>
    <t>Shuttle.Support.Beam.HS6040.20</t>
  </si>
  <si>
    <t>X.Brace.C</t>
  </si>
  <si>
    <t>35*20*1.5</t>
  </si>
  <si>
    <t>X.Brace.O</t>
  </si>
  <si>
    <t>Dia 25 圆管+连接耳</t>
  </si>
  <si>
    <t>可调底板</t>
  </si>
  <si>
    <t>Shuttle.S.Arm.Single.RAL</t>
  </si>
  <si>
    <t>标准</t>
  </si>
  <si>
    <t>Shuttle.S.Arm.Double.RAL</t>
  </si>
  <si>
    <t>加焊矩管</t>
  </si>
  <si>
    <t>镀锌穿梭车导轨（H163）208*70*2.75t（锌层120克）</t>
  </si>
  <si>
    <t>镀锌穿梭车导轨（H163）208*70*2.75t（锌层180克）</t>
  </si>
  <si>
    <r>
      <rPr>
        <sz val="11"/>
        <color rgb="FF000000"/>
        <rFont val="宋体"/>
        <family val="3"/>
        <charset val="134"/>
      </rPr>
      <t>镀锌导向板：</t>
    </r>
    <r>
      <rPr>
        <sz val="11"/>
        <color indexed="8"/>
        <rFont val="Arial"/>
        <family val="2"/>
      </rPr>
      <t>100*90*110*2.5t*1350</t>
    </r>
  </si>
  <si>
    <t>镀锌导向板：100*90*110*2.0t*1350</t>
  </si>
  <si>
    <t>镀锌导向板：100*90*110*2.5t*1250</t>
  </si>
  <si>
    <t>镀锌导向板：100*90*110*2.0t*1250</t>
  </si>
  <si>
    <t>前后挡板：216*125*3.5t</t>
  </si>
  <si>
    <t>C20×35×1.5</t>
  </si>
  <si>
    <t>C20×40×1.4</t>
  </si>
  <si>
    <t>C35×24×1.4</t>
  </si>
  <si>
    <t>阁楼</t>
  </si>
  <si>
    <t>楼板梁 单面+筋</t>
  </si>
  <si>
    <t>楼板梁 双面+筋</t>
  </si>
  <si>
    <t>Revolving door</t>
  </si>
  <si>
    <t>旋转门</t>
  </si>
  <si>
    <t>德胜50mm步距</t>
  </si>
  <si>
    <t>S.Pin.ø7.L38</t>
  </si>
  <si>
    <t>节距50, 5爪,H220</t>
  </si>
  <si>
    <t>Bracket.DE50-4H+pin</t>
  </si>
  <si>
    <t>节距50, 4爪,H170</t>
  </si>
  <si>
    <t>Bracket.DE75-2H+pin</t>
  </si>
  <si>
    <t>德胜75mm步距2爪</t>
  </si>
  <si>
    <t>节距75, 2爪,H125</t>
  </si>
  <si>
    <t>德胜75mm步距3爪</t>
  </si>
  <si>
    <t>节距75, 3爪,H200</t>
  </si>
  <si>
    <t>新西兰76.2mm步距3爪</t>
  </si>
  <si>
    <t>节距76.2, 3爪,H225</t>
  </si>
  <si>
    <t>Bracket.DE75-4H+pin</t>
  </si>
  <si>
    <t>德胜75mm步距4爪</t>
  </si>
  <si>
    <t>节距75, 4爪,H270</t>
  </si>
  <si>
    <t>PD柱卡，含筋板封板</t>
  </si>
  <si>
    <t>节距75, 4爪,H340</t>
  </si>
  <si>
    <t>新西兰76.2mm步距4爪</t>
  </si>
  <si>
    <t>节距76.2, 4爪,H301</t>
  </si>
  <si>
    <t>Bracket.DA50-5H+pin</t>
  </si>
  <si>
    <t>德胜澳洲50mm步距</t>
  </si>
  <si>
    <t>S.Pin.Spring.DA50</t>
  </si>
  <si>
    <t>Bracket.DA76-3H+pin</t>
  </si>
  <si>
    <t>德胜76mm步距3爪</t>
  </si>
  <si>
    <t>S.Pin.Spring.DA76</t>
  </si>
  <si>
    <t>节距76.2, 3爪,H200</t>
  </si>
  <si>
    <t>Bracket.DA76-4H+pin</t>
  </si>
  <si>
    <t>德胜76mm步距4爪</t>
  </si>
  <si>
    <t>节距76.2, 3爪,H275</t>
  </si>
  <si>
    <t>L55A中型柱卡</t>
  </si>
  <si>
    <t>S.Pin.L55AB.ø6.L38</t>
  </si>
  <si>
    <t>含柱卡L55A,H145</t>
  </si>
  <si>
    <t>L55B-Brk+pin</t>
  </si>
  <si>
    <t>L55B中型柱卡</t>
  </si>
  <si>
    <t>含柱卡L55B,H135</t>
  </si>
  <si>
    <t>L55C-Brk+pin</t>
  </si>
  <si>
    <t>L55C中型柱卡</t>
  </si>
  <si>
    <t>S.Pin.L55C.ø5.L30</t>
  </si>
  <si>
    <t>含柱卡L55C,H145</t>
  </si>
  <si>
    <t>L55B.Ex-Brk+pin</t>
  </si>
  <si>
    <t>L55B中型柱卡-加长</t>
  </si>
  <si>
    <t>含柱卡L55B.Ex,H135</t>
  </si>
  <si>
    <t>L60 Brk+pin</t>
  </si>
  <si>
    <t>含柱卡L60,H150</t>
  </si>
  <si>
    <t>FP90M+bolt.set</t>
  </si>
  <si>
    <t>90M底板(镀锌）</t>
  </si>
  <si>
    <t>SHM90M.15.Pregal</t>
  </si>
  <si>
    <t>含FP90M,垫板和螺栓</t>
  </si>
  <si>
    <t xml:space="preserve">with 90M foot plate, shim plate and bolts, </t>
  </si>
  <si>
    <t>FP90H2.D50+bolt.set</t>
  </si>
  <si>
    <t>50步距90H2底板</t>
  </si>
  <si>
    <r>
      <rPr>
        <sz val="12"/>
        <rFont val="宋体"/>
        <family val="3"/>
        <charset val="134"/>
      </rPr>
      <t>Anc.M12</t>
    </r>
    <r>
      <rPr>
        <sz val="12"/>
        <rFont val="宋体"/>
        <family val="3"/>
        <charset val="134"/>
      </rPr>
      <t>.L100</t>
    </r>
  </si>
  <si>
    <t>SHM90/100.15.Pregal</t>
  </si>
  <si>
    <t>含FP90H2,垫板和螺栓</t>
  </si>
  <si>
    <t>with 90H2 foot plate, shim plate and bolts,</t>
  </si>
  <si>
    <t>FP90H2.D75+bolt.set</t>
  </si>
  <si>
    <t>75步距90H2底板</t>
  </si>
  <si>
    <t>with 90H2 foot plate, shim plate and bolts.</t>
  </si>
  <si>
    <t>FP90H4.D50+bolt.set</t>
  </si>
  <si>
    <t>50步距90H4底板</t>
  </si>
  <si>
    <t>含FP90H4,垫板和螺栓</t>
  </si>
  <si>
    <t>with 90H4 foot plate, shim plate and bolts,</t>
  </si>
  <si>
    <t>75步距90H4底板</t>
  </si>
  <si>
    <t>新西兰特殊90H4底板</t>
  </si>
  <si>
    <t>NZ 90/100.15.Pregal</t>
  </si>
  <si>
    <t>含NZ90/100 H4,垫板和螺栓</t>
  </si>
  <si>
    <t>with NZ90/100 H4 foot plate, shim plate and bolts,</t>
  </si>
  <si>
    <t>FP100H4.DE50+bolt.set</t>
  </si>
  <si>
    <t>50步距100H4底板</t>
  </si>
  <si>
    <t>含FP100H4,垫板和螺栓</t>
  </si>
  <si>
    <t>with 100H4 foot plate, shim plate and bolts,</t>
  </si>
  <si>
    <t>FP100H4.DE75+bolt.set</t>
  </si>
  <si>
    <t>75步距100H4底板</t>
  </si>
  <si>
    <t>FP120H4.D50+bolt.set</t>
  </si>
  <si>
    <t>50步距120H4底板</t>
  </si>
  <si>
    <t>SHM120.15.Pregal</t>
  </si>
  <si>
    <t>含FP120H4,垫板和螺栓</t>
  </si>
  <si>
    <t>with 120H4 foot plate, shim plate and bolts,</t>
  </si>
  <si>
    <t>FP120H4.D75+bolt.set</t>
  </si>
  <si>
    <t>75步距120H4底板</t>
  </si>
  <si>
    <t>FP120.95H4+bolt.set t4.5</t>
  </si>
  <si>
    <t>12095H4底板4.5mm</t>
  </si>
  <si>
    <t>FP120.95H4+bolt.set t8</t>
  </si>
  <si>
    <t>12095H4底板8mm</t>
  </si>
  <si>
    <t>FP120.135H4+bolt.set t6.5</t>
  </si>
  <si>
    <t>120135H4底板6.5mm</t>
  </si>
  <si>
    <t>FP140.135H4+bolt.set t6.5</t>
  </si>
  <si>
    <t>140135H4底板6.5mm</t>
  </si>
  <si>
    <t>FP140.135.1.5.Pregal</t>
  </si>
  <si>
    <t>L55A中型底板</t>
  </si>
  <si>
    <t>Anc.M8.L60</t>
  </si>
  <si>
    <t>SHM55A.15.Pregal</t>
  </si>
  <si>
    <t>含FPL55A,垫板和螺栓</t>
  </si>
  <si>
    <t>with L55A foot plate, shim plate and bolts,</t>
  </si>
  <si>
    <t>FP.L55B+M8.L16</t>
  </si>
  <si>
    <t>L55B中型底板</t>
  </si>
  <si>
    <t>SHM55B.15.Pregal</t>
  </si>
  <si>
    <t>含FPL55B,垫板和螺栓</t>
  </si>
  <si>
    <t>with L55B foot plate, shim plate and bolts,</t>
  </si>
  <si>
    <t>FP.L55C</t>
  </si>
  <si>
    <t>L55C中型底板</t>
  </si>
  <si>
    <t>M8.L35 Socket</t>
  </si>
  <si>
    <t>SHML55C.15.Pregal</t>
  </si>
  <si>
    <t>含FPL55C,垫板和螺栓</t>
  </si>
  <si>
    <t>with L55C foot plate, shim plate and bolts,</t>
  </si>
  <si>
    <t>FP.L60</t>
  </si>
  <si>
    <t>M6.L45</t>
  </si>
  <si>
    <t>Anc.M8.L80</t>
  </si>
  <si>
    <t>SHM60.15.Pregal</t>
  </si>
  <si>
    <t>含FPL60,垫板和螺栓</t>
  </si>
  <si>
    <t>with L60 foot plate, shim plate and bolts,</t>
  </si>
  <si>
    <t>镀锌板，t1.0/8 t1.5/7.8</t>
  </si>
  <si>
    <t>SHM90M.10.Pregal</t>
  </si>
  <si>
    <t>90M垫板1.0mm</t>
  </si>
  <si>
    <t>SHM90/100.10.Pregal</t>
  </si>
  <si>
    <t>90/100垫板1.0mm</t>
  </si>
  <si>
    <t>SHM120.10.Pregal</t>
  </si>
  <si>
    <t>120M垫板1.0mm</t>
  </si>
  <si>
    <t>SHM120.95.10.Pregal</t>
  </si>
  <si>
    <t>12095垫板1.0mm</t>
  </si>
  <si>
    <t>90M垫板1.5mm</t>
  </si>
  <si>
    <t>新西兰90/100垫板1.5mm</t>
  </si>
  <si>
    <t>90/100垫板1.5mm</t>
  </si>
  <si>
    <t>120M垫板1.5mm</t>
  </si>
  <si>
    <t>SHM120.95.15.Pregal</t>
  </si>
  <si>
    <t>12095垫板1.5mm</t>
  </si>
  <si>
    <t>L55A垫板1.5mm</t>
  </si>
  <si>
    <t>L55B垫板1.5mm</t>
  </si>
  <si>
    <t>L55C垫板1.5mm</t>
  </si>
  <si>
    <t>折弯式网层板4</t>
  </si>
  <si>
    <t>网层板-镀锌 4mm</t>
  </si>
  <si>
    <t>折弯式网层板4.5</t>
  </si>
  <si>
    <t>网层板-镀锌 4.5mm</t>
  </si>
  <si>
    <t>折弯式网层板4.8</t>
  </si>
  <si>
    <t>网层板-镀锌 4.8mm</t>
  </si>
  <si>
    <t>折弯式网层板5</t>
  </si>
  <si>
    <t>非折弯式网层板4</t>
  </si>
  <si>
    <t>非折弯式网层板4.5</t>
  </si>
  <si>
    <t>非折弯式网层板5</t>
  </si>
  <si>
    <t>非折弯式网层板4.8</t>
  </si>
  <si>
    <t>定制折弯式网层板4</t>
  </si>
  <si>
    <t>定制折弯式网层板4.5</t>
  </si>
  <si>
    <t>定制折弯式网层板4.8</t>
  </si>
  <si>
    <t>定制折弯式网层板5</t>
  </si>
  <si>
    <t>定制非折弯式网层板4</t>
  </si>
  <si>
    <t>定制非折弯式网层板4.5</t>
  </si>
  <si>
    <t>定制非折弯式网层板4.8</t>
  </si>
  <si>
    <t>定制非折弯式网层板5</t>
  </si>
  <si>
    <t>角钢</t>
  </si>
  <si>
    <t>L6340.6t</t>
  </si>
  <si>
    <t>角钢 L6340.6.0t</t>
  </si>
  <si>
    <t>L10063.6t</t>
  </si>
  <si>
    <t>100x63x6.0</t>
  </si>
  <si>
    <t>100x63x8.0</t>
  </si>
  <si>
    <t>角钢 L10063.8t</t>
  </si>
  <si>
    <t>L75×50×5.0</t>
  </si>
  <si>
    <t>U15×50×160×50×15×3.0</t>
  </si>
  <si>
    <t>预镀锌扣板楼板</t>
  </si>
  <si>
    <t>C200×60×2.0t</t>
  </si>
  <si>
    <t>每米</t>
  </si>
  <si>
    <t>C200×60×2.5t</t>
  </si>
  <si>
    <t>C200×60×3.0t</t>
  </si>
  <si>
    <t>C215×90×3.0t</t>
  </si>
  <si>
    <t>C350×90×4.0t</t>
  </si>
  <si>
    <t>热卷 4.0t</t>
  </si>
  <si>
    <t>镀锌卷 4.0t</t>
  </si>
  <si>
    <t>C400×90×4.0t</t>
  </si>
  <si>
    <t>C305×96×3.0t</t>
  </si>
  <si>
    <t>C350×96×4.0t</t>
  </si>
  <si>
    <t>CHN350×175×7×11</t>
  </si>
  <si>
    <t>CHN446×199×8×12</t>
  </si>
  <si>
    <t xml:space="preserve">立柱焊接钢板 </t>
  </si>
  <si>
    <t>每件</t>
  </si>
  <si>
    <t>L469×H350×6t</t>
  </si>
  <si>
    <t>L519×H400×6t</t>
  </si>
  <si>
    <t>B200×60×2.0t</t>
  </si>
  <si>
    <t>M16*100 8.8G</t>
  </si>
  <si>
    <t>B200×60×2.5t</t>
  </si>
  <si>
    <t>B200×60×3.0t</t>
  </si>
  <si>
    <t>B215×90×3.0t</t>
  </si>
  <si>
    <t>M20*40，8.8G</t>
  </si>
  <si>
    <t>M16*35，8.8G</t>
  </si>
  <si>
    <t>B350×90×4.0t</t>
  </si>
  <si>
    <t>B400×90×4.0t</t>
  </si>
  <si>
    <t>B305×96×3.0t</t>
  </si>
  <si>
    <t>B350×96×4.0t</t>
  </si>
  <si>
    <t>BHN350×175×7×11</t>
  </si>
  <si>
    <t>BHN446×199×8×12</t>
  </si>
  <si>
    <t>L196/50×63×3.0t</t>
  </si>
  <si>
    <t>U102/90×297 ×3t</t>
  </si>
  <si>
    <t>C89/50×288×5t</t>
  </si>
  <si>
    <t>U104/342×105 ×5t</t>
  </si>
  <si>
    <t>U204/20×348×3t</t>
  </si>
  <si>
    <t>180×90×1.0t</t>
  </si>
  <si>
    <t>180×90×3.0t</t>
  </si>
  <si>
    <t>123×90×1.0t</t>
  </si>
  <si>
    <t>123×90×3.0t</t>
  </si>
  <si>
    <t>189×89×1.0</t>
  </si>
  <si>
    <t>189×89×3.0</t>
  </si>
  <si>
    <t>悬臂标准件</t>
  </si>
  <si>
    <t>M16×100 8.8G</t>
  </si>
  <si>
    <t>M20×40 (8.8G)</t>
  </si>
  <si>
    <t>1平 1弹垫</t>
  </si>
  <si>
    <t>M16×35</t>
  </si>
  <si>
    <t>ø20×120  8.8G</t>
  </si>
  <si>
    <t xml:space="preserve">圆柱销 </t>
  </si>
  <si>
    <t>ø3.5×76</t>
  </si>
  <si>
    <t>R销</t>
  </si>
  <si>
    <t>ø4.5×40</t>
  </si>
  <si>
    <t>环形销</t>
  </si>
  <si>
    <t>M10×120 8.8G</t>
  </si>
  <si>
    <t>外六角</t>
  </si>
  <si>
    <t>M10×30  8.8G</t>
  </si>
  <si>
    <t>M10×80  8.8G</t>
  </si>
  <si>
    <t>ø16×84</t>
  </si>
  <si>
    <t>M10×110  8.8G</t>
  </si>
  <si>
    <t>M10×25  8.8G</t>
  </si>
  <si>
    <t>按根</t>
  </si>
  <si>
    <t>Mb120/5×0×W94×3t/25×15</t>
  </si>
  <si>
    <t>热开平板 3.0t</t>
  </si>
  <si>
    <t>MC100/50×W60×3.0t</t>
  </si>
  <si>
    <t>Mb150/50×W94×3t/25×15</t>
  </si>
  <si>
    <t>140（70）×90×1.5t</t>
  </si>
  <si>
    <t>热开平板 1.5t</t>
  </si>
  <si>
    <t>140（70）×90×2.0t</t>
  </si>
  <si>
    <t>热开平板 2.0t</t>
  </si>
  <si>
    <t>140（70）×90×2.5t</t>
  </si>
  <si>
    <t>140（70）×90×3.0t</t>
  </si>
  <si>
    <t>140×90×1.5t</t>
  </si>
  <si>
    <t>140×90×2.5t</t>
  </si>
  <si>
    <t>140×90×3.0t</t>
  </si>
  <si>
    <t>HS100×50×1.5t</t>
  </si>
  <si>
    <t>HS100×50×2.0t</t>
  </si>
  <si>
    <t>H80(30)×W60×2.0t</t>
  </si>
  <si>
    <t>HN175×90×5×8</t>
  </si>
  <si>
    <t>Arm180×90×3.0t</t>
  </si>
  <si>
    <t>Arm160×90×3.0t</t>
  </si>
  <si>
    <t>热开平板 3.5t</t>
  </si>
  <si>
    <t>悬臂柱卡</t>
  </si>
  <si>
    <t>柱卡工艺孔x4</t>
  </si>
  <si>
    <t>ø20*120  8.8G</t>
  </si>
  <si>
    <t>ø3.5*76</t>
  </si>
  <si>
    <t>H185-W60×4.0t</t>
  </si>
  <si>
    <t>悬臂下口筋板、鼻子 U型封板</t>
  </si>
  <si>
    <t>44×44×3t</t>
  </si>
  <si>
    <t>0.2元/个</t>
  </si>
  <si>
    <t>U52/40/40×3.0t</t>
  </si>
  <si>
    <t>U45/63×W52×3t</t>
  </si>
  <si>
    <t>118×86×3.0t</t>
  </si>
  <si>
    <t>U30/63×150×5.0t</t>
  </si>
  <si>
    <t>热卷 5.0t</t>
  </si>
  <si>
    <t>镀锌卷 5.0t</t>
  </si>
  <si>
    <t>58×30×t3.0</t>
  </si>
  <si>
    <t>136×400×t2.0</t>
  </si>
  <si>
    <t>150×50×3.0t</t>
  </si>
  <si>
    <t>58×100×3.0t</t>
  </si>
  <si>
    <t>u30/103×120×5.0t</t>
  </si>
  <si>
    <r>
      <rPr>
        <sz val="12"/>
        <rFont val="Calibri"/>
        <family val="2"/>
      </rPr>
      <t>φ</t>
    </r>
    <r>
      <rPr>
        <sz val="12"/>
        <rFont val="宋体"/>
        <family val="3"/>
        <charset val="134"/>
      </rPr>
      <t>20×2t×L220</t>
    </r>
  </si>
  <si>
    <t>ø4.5*40</t>
  </si>
  <si>
    <t>圆管ø20-2.0t</t>
  </si>
  <si>
    <r>
      <rPr>
        <sz val="12"/>
        <rFont val="Calibri"/>
        <family val="2"/>
      </rPr>
      <t>φ</t>
    </r>
    <r>
      <rPr>
        <sz val="12"/>
        <rFont val="宋体"/>
        <family val="3"/>
        <charset val="134"/>
      </rPr>
      <t>20×2t×L360</t>
    </r>
  </si>
  <si>
    <r>
      <rPr>
        <sz val="12"/>
        <rFont val="Calibri"/>
        <family val="2"/>
      </rPr>
      <t>φ</t>
    </r>
    <r>
      <rPr>
        <sz val="12"/>
        <rFont val="宋体"/>
        <family val="3"/>
        <charset val="134"/>
      </rPr>
      <t>16×2.5t×L285</t>
    </r>
  </si>
  <si>
    <t>无缝圆管ø16-2.5t</t>
  </si>
  <si>
    <t>ø39(ø21)×3.0t</t>
  </si>
  <si>
    <t>ø37(ø21)×3.0t</t>
  </si>
  <si>
    <t>ø30(ø20)×3.0t</t>
  </si>
  <si>
    <t>悬臂拉杆</t>
  </si>
  <si>
    <t>H Brace ø32×1.5t</t>
  </si>
  <si>
    <t>M10*120 8.8G</t>
  </si>
  <si>
    <t>M10*30  8.8G</t>
  </si>
  <si>
    <t>退火圆管ø32-1.5t</t>
  </si>
  <si>
    <t>D brace ø32×1.5t</t>
  </si>
  <si>
    <t>角钢 L5050.4t</t>
  </si>
  <si>
    <t>镀锌角钢 L5050.4t</t>
  </si>
  <si>
    <t>角钢 L4040.4t</t>
  </si>
  <si>
    <t>镀锌角钢 L4040.4t</t>
  </si>
  <si>
    <t>悬臂拉杆连接件</t>
  </si>
  <si>
    <t>L105/50×H150×3t</t>
  </si>
  <si>
    <t>M10*110  8.8G</t>
  </si>
  <si>
    <t>Flat 50×60×5t</t>
  </si>
  <si>
    <t>H305×4.5t P</t>
  </si>
  <si>
    <t>横梁式</t>
  </si>
  <si>
    <t>驶入式</t>
  </si>
  <si>
    <t>H600×4.5t D</t>
  </si>
  <si>
    <t>H500×5.0t W</t>
  </si>
  <si>
    <t>一体式</t>
  </si>
  <si>
    <t>H1068×4.5t L</t>
  </si>
  <si>
    <t>角钢护脚</t>
  </si>
  <si>
    <t>CPJ 护脚A</t>
  </si>
  <si>
    <t>H400×4.5t CPJB</t>
  </si>
  <si>
    <t>CPJ 护脚B</t>
  </si>
  <si>
    <r>
      <rPr>
        <sz val="12"/>
        <rFont val="宋体"/>
        <family val="3"/>
        <charset val="134"/>
      </rPr>
      <t>H500×</t>
    </r>
    <r>
      <rPr>
        <sz val="12"/>
        <rFont val="Calibri"/>
        <family val="2"/>
      </rPr>
      <t>φ</t>
    </r>
    <r>
      <rPr>
        <sz val="12"/>
        <rFont val="宋体"/>
        <family val="3"/>
        <charset val="134"/>
      </rPr>
      <t>76×2.0</t>
    </r>
  </si>
  <si>
    <t>圆管护脚</t>
  </si>
  <si>
    <t>钢层板筋的惯性矩及米重</t>
  </si>
  <si>
    <t>层板D</t>
  </si>
  <si>
    <t>H</t>
  </si>
  <si>
    <t>筋高</t>
  </si>
  <si>
    <t>I</t>
  </si>
  <si>
    <t>kg/m</t>
  </si>
  <si>
    <t xml:space="preserve">P60*40  </t>
  </si>
  <si>
    <t>P80*50</t>
  </si>
  <si>
    <t>PY</t>
  </si>
  <si>
    <t>组合</t>
  </si>
  <si>
    <t>惯性矩I</t>
  </si>
  <si>
    <t>方管</t>
  </si>
  <si>
    <t>F30</t>
  </si>
  <si>
    <t>F40</t>
  </si>
  <si>
    <t>F100</t>
  </si>
  <si>
    <t>F120</t>
  </si>
  <si>
    <t>F150</t>
  </si>
  <si>
    <t>F180</t>
  </si>
  <si>
    <t>F200</t>
  </si>
  <si>
    <t>F250</t>
  </si>
  <si>
    <t>F300</t>
  </si>
  <si>
    <t>&amp;VLOOKUP(D26,常规材料表!$1:$1048576,28,0)</t>
  </si>
  <si>
    <t>可选柱卡1</t>
  </si>
  <si>
    <t>可选柱卡2</t>
  </si>
  <si>
    <t>节距</t>
  </si>
  <si>
    <t>隔撑连接</t>
  </si>
  <si>
    <t>悬臂垫板</t>
  </si>
  <si>
    <t>材料</t>
  </si>
  <si>
    <t>当前位置：首页 &gt; 金融市场 &gt; 外汇牌价</t>
  </si>
  <si>
    <t>L4040.3t</t>
  </si>
  <si>
    <t>中型货架</t>
  </si>
  <si>
    <t>MHJ</t>
  </si>
  <si>
    <t>测试</t>
  </si>
  <si>
    <t>光亮带 1.3t</t>
  </si>
  <si>
    <t>阿联酋迪拉姆</t>
  </si>
  <si>
    <t>网银登录</t>
  </si>
  <si>
    <t>L3030.3t</t>
  </si>
  <si>
    <t>光亮带 1.5t</t>
  </si>
  <si>
    <t>澳大利亚元</t>
  </si>
  <si>
    <t>个人客户网银登录</t>
  </si>
  <si>
    <t>Yellow Ral 1023</t>
  </si>
  <si>
    <t>L4040.4t</t>
  </si>
  <si>
    <t>Q460C</t>
  </si>
  <si>
    <t>文莱元</t>
  </si>
  <si>
    <t>个人贵宾网银登录</t>
  </si>
  <si>
    <t>Orange Ral 2010</t>
  </si>
  <si>
    <t>L5050.4t</t>
  </si>
  <si>
    <t>G450</t>
  </si>
  <si>
    <t>巴西里亚尔</t>
  </si>
  <si>
    <t>Orange Ral 2004</t>
  </si>
  <si>
    <t>L6340.6.0t</t>
  </si>
  <si>
    <t>MHJ-内膨胀螺栓M10x100</t>
  </si>
  <si>
    <t>加拿大元</t>
  </si>
  <si>
    <t>中国银行外汇牌价</t>
  </si>
  <si>
    <t>Orange Ral 2008</t>
  </si>
  <si>
    <t>L7550-5.5t</t>
  </si>
  <si>
    <t>MHJ-螺栓M8x20</t>
  </si>
  <si>
    <t>瑞士法郎</t>
  </si>
  <si>
    <t>打印</t>
  </si>
  <si>
    <t>Blue Ral 5005</t>
  </si>
  <si>
    <t>自动化立库</t>
  </si>
  <si>
    <t>捷克克朗</t>
  </si>
  <si>
    <t>【点击进入历史牌价检索】【关于远离违法违规外汇交易的风险提示】</t>
  </si>
  <si>
    <t>L10080.7.5t</t>
  </si>
  <si>
    <t>三立柱柱片</t>
  </si>
  <si>
    <t>丹麦克朗</t>
  </si>
  <si>
    <t>Grey Ral 7035</t>
  </si>
  <si>
    <t>L10080.10t</t>
  </si>
  <si>
    <t>欧元</t>
  </si>
  <si>
    <t>Grey Ral 7047</t>
  </si>
  <si>
    <t>L100100.6t</t>
  </si>
  <si>
    <t>英镑</t>
  </si>
  <si>
    <t>Grey Ral 9006</t>
  </si>
  <si>
    <t>L12580.7t</t>
  </si>
  <si>
    <t>MRC</t>
  </si>
  <si>
    <t>购物车</t>
  </si>
  <si>
    <t>港币</t>
  </si>
  <si>
    <t>White Ral 9001</t>
  </si>
  <si>
    <t>Gal L4040.4t</t>
  </si>
  <si>
    <t>塑料托盘</t>
  </si>
  <si>
    <t>镀锌卷 3.5t</t>
  </si>
  <si>
    <t>匈牙利福林</t>
  </si>
  <si>
    <t>White Ral 9010HG</t>
  </si>
  <si>
    <t>Gal L5050.4t</t>
  </si>
  <si>
    <t>塑料托盘含钢管</t>
  </si>
  <si>
    <t>印尼卢比</t>
  </si>
  <si>
    <t>White Ral 9016</t>
  </si>
  <si>
    <t>镀锌卷 4.5t</t>
  </si>
  <si>
    <t>以色列谢克尔</t>
  </si>
  <si>
    <t>Post: Blue Ral 5015
Brace: Pre Gal</t>
  </si>
  <si>
    <t>印度卢比</t>
  </si>
  <si>
    <t>Frame: Blue Ral 5015
Foot plate: Gal</t>
  </si>
  <si>
    <t>日元</t>
  </si>
  <si>
    <t>None</t>
  </si>
  <si>
    <t>柬埔寨瑞尔</t>
  </si>
  <si>
    <t>韩国元</t>
  </si>
  <si>
    <t>Q355热卷 1.8t</t>
  </si>
  <si>
    <t>科威特第纳尔</t>
  </si>
  <si>
    <t>Q355热卷 2.0t</t>
  </si>
  <si>
    <t>蒙古图格里克</t>
  </si>
  <si>
    <t>Q355热卷 2.3t</t>
  </si>
  <si>
    <t>澳门元</t>
  </si>
  <si>
    <t>Q355热卷 2.5t</t>
  </si>
  <si>
    <t>墨西哥比索</t>
  </si>
  <si>
    <t>镀锌开平板 0.8t</t>
  </si>
  <si>
    <t>林吉特</t>
  </si>
  <si>
    <t>镀锌开平板 1.0t</t>
  </si>
  <si>
    <t>挪威克朗</t>
  </si>
  <si>
    <t>镀锌开平板 1.3t</t>
  </si>
  <si>
    <t>尼泊尔卢比</t>
  </si>
  <si>
    <t>镀锌开平板 1.5t</t>
  </si>
  <si>
    <t>新西兰元</t>
  </si>
  <si>
    <t>镀锌开平板 1.8t</t>
  </si>
  <si>
    <t>菲律宾比索</t>
  </si>
  <si>
    <t>镀锌开平板 2.0t</t>
  </si>
  <si>
    <t>巴基斯坦卢比</t>
  </si>
  <si>
    <t>镀锌开平板 2.3t</t>
  </si>
  <si>
    <t>卡塔尔里亚尔</t>
  </si>
  <si>
    <t>镀锌开平板 2.5t</t>
  </si>
  <si>
    <t>塞尔维亚第纳尔</t>
  </si>
  <si>
    <t>镀锌开平板 2.75t</t>
  </si>
  <si>
    <t>卢布</t>
  </si>
  <si>
    <t>镀锌开平板 3.0t</t>
  </si>
  <si>
    <t>沙特里亚尔</t>
  </si>
  <si>
    <t>瑞典克朗</t>
  </si>
  <si>
    <t>新加坡元</t>
  </si>
  <si>
    <t>热卷 1.35t</t>
  </si>
  <si>
    <t>泰国铢</t>
  </si>
  <si>
    <t>土耳其里拉</t>
  </si>
  <si>
    <t>新台币</t>
  </si>
  <si>
    <t>越南盾</t>
  </si>
  <si>
    <t>南非兰特</t>
  </si>
  <si>
    <t>热卷 3.5t</t>
  </si>
  <si>
    <t>热卷 4.5t</t>
  </si>
  <si>
    <t>冷板0.6</t>
  </si>
  <si>
    <t>热开平板 1.2</t>
  </si>
  <si>
    <t>新西兰Devider</t>
  </si>
  <si>
    <t>共10页</t>
  </si>
  <si>
    <t>热开平板 1.8t</t>
  </si>
  <si>
    <t>中国银行外汇牌价网页声明：</t>
  </si>
  <si>
    <t>1.本汇率表单位为100外币换算人民币，仅供参考，客户办理结/购汇业务时，应以中国银行网上银行、手机银行、智能柜台或网点柜台实际交易汇率为准，对使用该汇率表所导致的结果，中国银行不承担任何责任；</t>
  </si>
  <si>
    <t>热开平板 2.3t</t>
  </si>
  <si>
    <t>2.未经中国银行许可，不得以商业目的转载本汇率表的全部或部分内容，如需引用相关数据，应注明来源于中国银行；</t>
  </si>
  <si>
    <t>3.中国银行外汇牌价业务系统于2011年10月30日进行了升级，本汇率表原有的"卖出价"细分为"现汇卖出价"和"现钞卖出价"，此前各货币的"卖出价"均显示在"现汇卖出价"项下。</t>
  </si>
  <si>
    <t>热开平板 2.75t</t>
  </si>
  <si>
    <t>4.具体兑换币种以当地中国银行实际开办币种为准，客户可前往当地中国银行网点咨询或致电95566。</t>
  </si>
  <si>
    <t>热开平板 4.5t</t>
  </si>
  <si>
    <t>热开平板 5.5t</t>
  </si>
  <si>
    <t>热开平板 6.0t</t>
  </si>
  <si>
    <t>热开平板 8.0t</t>
  </si>
  <si>
    <t>外协轧12095 2.5t</t>
  </si>
  <si>
    <t>外协轧12095 3.0t</t>
  </si>
  <si>
    <t>外购K抱梁 1.5t</t>
  </si>
  <si>
    <t>外购K抱梁 2.0t</t>
  </si>
  <si>
    <t>矩管 1.8t</t>
  </si>
  <si>
    <t>L6340×6.0t</t>
  </si>
  <si>
    <t>矩管 2.3t</t>
  </si>
  <si>
    <t>角钢 L12580.8t</t>
  </si>
  <si>
    <t>矩管 3.0t</t>
  </si>
  <si>
    <t>矩管 6.0t</t>
  </si>
  <si>
    <t>矩管 8.0t</t>
  </si>
  <si>
    <t>矩管 10.0t</t>
  </si>
  <si>
    <t>P型梁热轧带1.5t</t>
  </si>
  <si>
    <t>P型梁热轧带1.8t</t>
  </si>
  <si>
    <t>P型梁热轧带2.0t</t>
  </si>
  <si>
    <t>P型梁半光亮 1.8t</t>
  </si>
  <si>
    <t>牛腿梁.镀锌 W100.H70.2.3t</t>
  </si>
  <si>
    <t>圆管ø27-2.0t</t>
  </si>
  <si>
    <t>圆管ø76-2.0t</t>
  </si>
  <si>
    <t>圆管ø114-2.8t</t>
  </si>
  <si>
    <t>槽钢10#</t>
  </si>
  <si>
    <t>扁铁F40.3.0t</t>
  </si>
  <si>
    <r>
      <rPr>
        <sz val="11"/>
        <color rgb="FFFF0000"/>
        <rFont val="宋体"/>
        <family val="3"/>
        <charset val="134"/>
        <scheme val="minor"/>
      </rPr>
      <t>钢</t>
    </r>
    <r>
      <rPr>
        <sz val="11"/>
        <color theme="1"/>
        <rFont val="宋体"/>
        <family val="3"/>
        <charset val="134"/>
        <scheme val="minor"/>
      </rPr>
      <t>层板 0.6t 黑件</t>
    </r>
  </si>
  <si>
    <r>
      <rPr>
        <sz val="11"/>
        <color rgb="FFFF0000"/>
        <rFont val="宋体"/>
        <family val="3"/>
        <charset val="134"/>
        <scheme val="minor"/>
      </rPr>
      <t>钢</t>
    </r>
    <r>
      <rPr>
        <sz val="11"/>
        <color theme="1"/>
        <rFont val="宋体"/>
        <family val="3"/>
        <charset val="134"/>
        <scheme val="minor"/>
      </rPr>
      <t>层板 0.8t 黑件</t>
    </r>
  </si>
  <si>
    <r>
      <rPr>
        <sz val="11"/>
        <color rgb="FFFF0000"/>
        <rFont val="宋体"/>
        <family val="3"/>
        <charset val="134"/>
        <scheme val="minor"/>
      </rPr>
      <t>钢</t>
    </r>
    <r>
      <rPr>
        <sz val="11"/>
        <color theme="1"/>
        <rFont val="宋体"/>
        <family val="3"/>
        <charset val="134"/>
        <scheme val="minor"/>
      </rPr>
      <t>层板 0.8t 镀锌板</t>
    </r>
  </si>
  <si>
    <t>角钢 L7550-5.5t</t>
  </si>
  <si>
    <t>角钢 L10080.7.5t</t>
  </si>
  <si>
    <t>角钢 L10080.10t</t>
  </si>
  <si>
    <t>角钢 L100100.6t</t>
  </si>
  <si>
    <t>角钢 L12580.7t</t>
  </si>
  <si>
    <t>14a＃槽钢</t>
  </si>
  <si>
    <t>10＃工字钢</t>
  </si>
  <si>
    <t>12＃工字钢</t>
  </si>
  <si>
    <t>HN150.75</t>
  </si>
  <si>
    <t>HN248.124</t>
  </si>
  <si>
    <t>HN298.149</t>
  </si>
  <si>
    <t>HN300.150</t>
  </si>
  <si>
    <t>HN346*174</t>
  </si>
  <si>
    <t>HN400.200</t>
  </si>
  <si>
    <t>HN450.200</t>
  </si>
  <si>
    <t>SPHC 酸洗板 2.3t</t>
  </si>
  <si>
    <t>SPHC 酸洗板 2.5t</t>
  </si>
  <si>
    <t>SPHC 酸洗板 3.5t</t>
  </si>
  <si>
    <t>SPHC 酸洗板 4.0t</t>
  </si>
  <si>
    <t>硬边网片4.0t-黑件</t>
  </si>
  <si>
    <t>硬边网片3.0t-黑件</t>
  </si>
  <si>
    <t>软边网片3.0t-黑件</t>
  </si>
  <si>
    <t>穿梭车预镀锌导轨 2.5t</t>
  </si>
  <si>
    <t>穿梭车预镀锌导轨 3.0t</t>
  </si>
  <si>
    <t>单立柱隔撑</t>
  </si>
  <si>
    <t>钢格栅H30.3mm.30.50G</t>
  </si>
  <si>
    <t>钢格栅H30.3mm.30.100G</t>
  </si>
  <si>
    <t>钢格栅H30.4mm.30.100G</t>
  </si>
  <si>
    <t>钢格栅H40.3mm.30.100G</t>
  </si>
  <si>
    <t>钢格栅H40.5mm.30.100G</t>
  </si>
  <si>
    <t>钢格栅H50.5mm.30.100G</t>
  </si>
  <si>
    <t>圆钢ø16</t>
  </si>
  <si>
    <t>M10螺杆</t>
  </si>
  <si>
    <t>CPJ</t>
  </si>
  <si>
    <t>NZS</t>
  </si>
  <si>
    <t>材料信息更新</t>
  </si>
  <si>
    <t>表格使用规则：</t>
  </si>
  <si>
    <t>价格为每公斤人民币送到工厂开专业发票价格（即包含运费、含增值税）；</t>
  </si>
  <si>
    <t>每周只需要更新常用的几类材料价格信息（黑色字体），其它的是最后一次更新的信息（用红色字体标识）；</t>
  </si>
  <si>
    <t>不要直接修改序号和材料名称，需要更正名称时在备注里建议。</t>
  </si>
  <si>
    <t>更新日期：</t>
  </si>
  <si>
    <t>历史资料：</t>
  </si>
  <si>
    <t>材料种类</t>
  </si>
  <si>
    <t>到厂价/kg</t>
  </si>
  <si>
    <t>厂家/信息日期</t>
  </si>
  <si>
    <t>上次到厂价</t>
  </si>
  <si>
    <t>安徽特钢/2024.10.21</t>
  </si>
  <si>
    <t>现在安徽特钢可以做最后达2.5t</t>
  </si>
  <si>
    <t>带钢是Q195的中宽带为原料生产，强度差，但表面跟镀锌卷板材料没有明显区别</t>
  </si>
  <si>
    <t>目前不好采购4.5的厚度</t>
  </si>
  <si>
    <t>镀锌Q355的材料无锡联创的不达标，屈服强</t>
  </si>
  <si>
    <t>度只能在300左右。达标的只能到上海采购，</t>
  </si>
  <si>
    <t>报价需要具体吨位，需单独询价。</t>
  </si>
  <si>
    <t>以上请销售知悉！</t>
  </si>
  <si>
    <t>以上为苏州隆兴含税含运费整卷价格！</t>
  </si>
  <si>
    <t>南京世岐</t>
  </si>
  <si>
    <t>冲轧650/轧制450/冲孔200</t>
  </si>
  <si>
    <t>P88.9*63.5*41.3*23*1.8美式P梁的米重4.26KG</t>
  </si>
  <si>
    <t>美式P梁76.2*1.5   5吨  12.25  7,120  /  88.9*1.8  10吨   12.25   6.120</t>
  </si>
  <si>
    <t>无锡冉升/2022.9.26</t>
  </si>
  <si>
    <t>南京世岐/2025.06.09</t>
  </si>
  <si>
    <r>
      <rPr>
        <b/>
        <sz val="11"/>
        <color theme="1"/>
        <rFont val="宋体"/>
        <family val="3"/>
        <charset val="134"/>
        <scheme val="minor"/>
      </rPr>
      <t>无缝管ø20-2.0t*8500</t>
    </r>
    <r>
      <rPr>
        <b/>
        <sz val="11"/>
        <color theme="1"/>
        <rFont val="Microsoft YaHei"/>
        <charset val="134"/>
      </rPr>
      <t>～</t>
    </r>
    <r>
      <rPr>
        <b/>
        <sz val="11"/>
        <color theme="1"/>
        <rFont val="宋体"/>
        <family val="3"/>
        <charset val="134"/>
        <scheme val="minor"/>
      </rPr>
      <t>9000  9.000</t>
    </r>
  </si>
  <si>
    <t>层板轧制规格只能是W250或W200*L900*H38，轧制费600元/吨，镀锌板的6800元/吨，小边12MM.</t>
  </si>
  <si>
    <t>2021.4.28</t>
  </si>
  <si>
    <t>4.16镀锌 L50*3.0 6.55，l75*5.0 6.8；黑件L50*3.0 5.9，L75*5.0  6。</t>
  </si>
  <si>
    <r>
      <rPr>
        <b/>
        <sz val="12"/>
        <color rgb="FFFF0000"/>
        <rFont val="等线"/>
        <family val="3"/>
        <charset val="134"/>
      </rPr>
      <t>所有型材每次送货达到</t>
    </r>
    <r>
      <rPr>
        <b/>
        <sz val="12"/>
        <color rgb="FFFF0000"/>
        <rFont val="Arial"/>
        <family val="2"/>
      </rPr>
      <t>5</t>
    </r>
    <r>
      <rPr>
        <b/>
        <sz val="12"/>
        <color rgb="FFFF0000"/>
        <rFont val="等线"/>
        <family val="3"/>
        <charset val="134"/>
      </rPr>
      <t>吨以上，价格可以下调</t>
    </r>
    <r>
      <rPr>
        <b/>
        <sz val="12"/>
        <color rgb="FFFF0000"/>
        <rFont val="Arial"/>
        <family val="2"/>
      </rPr>
      <t>50-100/</t>
    </r>
    <r>
      <rPr>
        <b/>
        <sz val="12"/>
        <color rgb="FFFF0000"/>
        <rFont val="等线"/>
        <family val="3"/>
        <charset val="134"/>
      </rPr>
      <t>吨</t>
    </r>
  </si>
  <si>
    <t>每片单重不能少于8KG</t>
  </si>
  <si>
    <t>2025.4.27常规打孔镀锌背网8.900</t>
  </si>
  <si>
    <t>3.0的软边网片跟有边框打孔的背网同价</t>
  </si>
  <si>
    <t>锌层180g</t>
  </si>
  <si>
    <t>常规40-60g锌层  4.650</t>
  </si>
  <si>
    <r>
      <rPr>
        <b/>
        <sz val="10"/>
        <rFont val="等线"/>
        <family val="3"/>
        <charset val="134"/>
      </rPr>
      <t xml:space="preserve">镀锌牛腿梁 </t>
    </r>
    <r>
      <rPr>
        <b/>
        <sz val="10"/>
        <rFont val="Arial"/>
        <family val="2"/>
      </rPr>
      <t>2022.5.10</t>
    </r>
    <r>
      <rPr>
        <b/>
        <sz val="10"/>
        <rFont val="宋体"/>
        <family val="3"/>
        <charset val="134"/>
      </rPr>
      <t>钱磊冷弯型钢价格</t>
    </r>
    <r>
      <rPr>
        <b/>
        <sz val="10"/>
        <rFont val="Arial"/>
        <family val="2"/>
      </rPr>
      <t>6600</t>
    </r>
    <r>
      <rPr>
        <b/>
        <sz val="10"/>
        <rFont val="宋体"/>
        <family val="3"/>
        <charset val="134"/>
      </rPr>
      <t>（锌含量</t>
    </r>
    <r>
      <rPr>
        <b/>
        <sz val="10"/>
        <rFont val="Arial"/>
        <family val="2"/>
      </rPr>
      <t>50G</t>
    </r>
    <r>
      <rPr>
        <b/>
        <sz val="10"/>
        <rFont val="宋体"/>
        <family val="3"/>
        <charset val="134"/>
      </rPr>
      <t>）</t>
    </r>
  </si>
  <si>
    <t>常规120g锌层  4.730</t>
  </si>
  <si>
    <t>冲圆孔4.700，冲腰型孔并打托5.500</t>
  </si>
  <si>
    <r>
      <rPr>
        <sz val="10"/>
        <rFont val="等线"/>
        <family val="3"/>
        <charset val="134"/>
      </rPr>
      <t xml:space="preserve">镀锌楼板世岐 </t>
    </r>
    <r>
      <rPr>
        <sz val="10"/>
        <color rgb="FFFF0000"/>
        <rFont val="Arial"/>
        <family val="2"/>
      </rPr>
      <t xml:space="preserve">2021.4.14 </t>
    </r>
    <r>
      <rPr>
        <sz val="10"/>
        <rFont val="等线"/>
        <family val="3"/>
        <charset val="134"/>
      </rPr>
      <t>轧制</t>
    </r>
    <r>
      <rPr>
        <sz val="10"/>
        <rFont val="Arial"/>
        <family val="2"/>
      </rPr>
      <t>500</t>
    </r>
    <r>
      <rPr>
        <sz val="10"/>
        <rFont val="等线"/>
        <family val="3"/>
        <charset val="134"/>
      </rPr>
      <t>，冲孔</t>
    </r>
    <r>
      <rPr>
        <sz val="10"/>
        <rFont val="Arial"/>
        <family val="2"/>
      </rPr>
      <t>200</t>
    </r>
    <r>
      <rPr>
        <sz val="10"/>
        <rFont val="等线"/>
        <family val="3"/>
        <charset val="134"/>
      </rPr>
      <t>，圆形（大</t>
    </r>
    <r>
      <rPr>
        <sz val="10"/>
        <rFont val="Arial"/>
        <family val="2"/>
      </rPr>
      <t>12</t>
    </r>
    <r>
      <rPr>
        <sz val="10"/>
        <rFont val="等线"/>
        <family val="3"/>
        <charset val="134"/>
      </rPr>
      <t>小</t>
    </r>
    <r>
      <rPr>
        <sz val="10"/>
        <rFont val="Arial"/>
        <family val="2"/>
      </rPr>
      <t>8</t>
    </r>
    <r>
      <rPr>
        <sz val="10"/>
        <rFont val="等线"/>
        <family val="3"/>
        <charset val="134"/>
      </rPr>
      <t>）孔，成品</t>
    </r>
    <r>
      <rPr>
        <sz val="10"/>
        <rFont val="Arial"/>
        <family val="2"/>
      </rPr>
      <t>7200</t>
    </r>
    <r>
      <rPr>
        <sz val="10"/>
        <rFont val="等线"/>
        <family val="3"/>
        <charset val="134"/>
      </rPr>
      <t>元</t>
    </r>
    <r>
      <rPr>
        <sz val="10"/>
        <rFont val="Arial"/>
        <family val="2"/>
      </rPr>
      <t>/</t>
    </r>
    <r>
      <rPr>
        <sz val="10"/>
        <rFont val="等线"/>
        <family val="3"/>
        <charset val="134"/>
      </rPr>
      <t>吨。</t>
    </r>
  </si>
  <si>
    <t>圆形（大10.5小8）孔/均固</t>
  </si>
  <si>
    <r>
      <rPr>
        <sz val="10"/>
        <rFont val="宋体"/>
        <family val="3"/>
        <charset val="134"/>
      </rPr>
      <t>南京杰固立柱冲孔</t>
    </r>
    <r>
      <rPr>
        <sz val="10"/>
        <rFont val="Arial"/>
        <family val="2"/>
      </rPr>
      <t>200</t>
    </r>
    <r>
      <rPr>
        <sz val="10"/>
        <rFont val="宋体"/>
        <family val="3"/>
        <charset val="134"/>
      </rPr>
      <t>元</t>
    </r>
    <r>
      <rPr>
        <sz val="10"/>
        <rFont val="Arial"/>
        <family val="2"/>
      </rPr>
      <t>/</t>
    </r>
    <r>
      <rPr>
        <sz val="10"/>
        <rFont val="宋体"/>
        <family val="3"/>
        <charset val="134"/>
      </rPr>
      <t>吨（不含运费，自己提供模具。）</t>
    </r>
  </si>
  <si>
    <t>总和：</t>
  </si>
  <si>
    <r>
      <rPr>
        <sz val="11"/>
        <rFont val="等线"/>
        <family val="3"/>
        <charset val="134"/>
      </rPr>
      <t>钢格栅</t>
    </r>
    <r>
      <rPr>
        <sz val="11"/>
        <rFont val="Arial"/>
        <family val="2"/>
      </rPr>
      <t xml:space="preserve">505/30/100 </t>
    </r>
    <r>
      <rPr>
        <sz val="11"/>
        <rFont val="等线"/>
        <family val="3"/>
        <charset val="134"/>
      </rPr>
      <t>承载</t>
    </r>
    <r>
      <rPr>
        <sz val="11"/>
        <rFont val="Arial"/>
        <family val="2"/>
      </rPr>
      <t xml:space="preserve">250KG/L2600*W995*H50*5.0t    </t>
    </r>
    <r>
      <rPr>
        <sz val="11"/>
        <rFont val="等线"/>
        <family val="3"/>
        <charset val="134"/>
      </rPr>
      <t>，</t>
    </r>
    <r>
      <rPr>
        <sz val="11"/>
        <rFont val="Arial"/>
        <family val="2"/>
      </rPr>
      <t>77.9KG/</t>
    </r>
    <r>
      <rPr>
        <sz val="11"/>
        <rFont val="等线"/>
        <family val="3"/>
        <charset val="134"/>
      </rPr>
      <t>米，</t>
    </r>
    <r>
      <rPr>
        <sz val="11"/>
        <rFont val="Arial"/>
        <family val="2"/>
      </rPr>
      <t>3</t>
    </r>
    <r>
      <rPr>
        <sz val="11"/>
        <rFont val="等线"/>
        <family val="3"/>
        <charset val="134"/>
      </rPr>
      <t>月</t>
    </r>
    <r>
      <rPr>
        <sz val="11"/>
        <rFont val="Arial"/>
        <family val="2"/>
      </rPr>
      <t>18</t>
    </r>
    <r>
      <rPr>
        <sz val="11"/>
        <rFont val="等线"/>
        <family val="3"/>
        <charset val="134"/>
      </rPr>
      <t>日价格</t>
    </r>
    <r>
      <rPr>
        <sz val="11"/>
        <rFont val="Arial"/>
        <family val="2"/>
      </rPr>
      <t>670</t>
    </r>
    <r>
      <rPr>
        <sz val="11"/>
        <rFont val="等线"/>
        <family val="3"/>
        <charset val="134"/>
      </rPr>
      <t>元</t>
    </r>
    <r>
      <rPr>
        <sz val="11"/>
        <rFont val="Arial"/>
        <family val="2"/>
      </rPr>
      <t>/M2</t>
    </r>
    <r>
      <rPr>
        <sz val="11"/>
        <rFont val="等线"/>
        <family val="3"/>
        <charset val="134"/>
      </rPr>
      <t>（威尔玛含税及运至江宁的运费）。</t>
    </r>
  </si>
  <si>
    <r>
      <rPr>
        <sz val="11"/>
        <rFont val="等线"/>
        <family val="3"/>
        <charset val="134"/>
      </rPr>
      <t>钢格栅</t>
    </r>
    <r>
      <rPr>
        <sz val="11"/>
        <rFont val="Arial"/>
        <family val="2"/>
      </rPr>
      <t xml:space="preserve">405/30/100 </t>
    </r>
    <r>
      <rPr>
        <sz val="11"/>
        <rFont val="等线"/>
        <family val="3"/>
        <charset val="134"/>
      </rPr>
      <t>承载</t>
    </r>
    <r>
      <rPr>
        <sz val="11"/>
        <rFont val="Arial"/>
        <family val="2"/>
      </rPr>
      <t>350KG/M2,L2800*W995*H40*5.0t</t>
    </r>
    <r>
      <rPr>
        <sz val="11"/>
        <rFont val="等线"/>
        <family val="3"/>
        <charset val="134"/>
      </rPr>
      <t>（实际</t>
    </r>
    <r>
      <rPr>
        <sz val="11"/>
        <rFont val="Arial"/>
        <family val="2"/>
      </rPr>
      <t>4.6</t>
    </r>
    <r>
      <rPr>
        <sz val="11"/>
        <rFont val="等线"/>
        <family val="3"/>
        <charset val="134"/>
      </rPr>
      <t>）</t>
    </r>
    <r>
      <rPr>
        <sz val="11"/>
        <rFont val="Arial"/>
        <family val="2"/>
      </rPr>
      <t xml:space="preserve">    </t>
    </r>
    <r>
      <rPr>
        <sz val="11"/>
        <rFont val="等线"/>
        <family val="3"/>
        <charset val="134"/>
      </rPr>
      <t>，</t>
    </r>
    <r>
      <rPr>
        <sz val="11"/>
        <rFont val="Arial"/>
        <family val="2"/>
      </rPr>
      <t>62.9KG/</t>
    </r>
    <r>
      <rPr>
        <sz val="11"/>
        <rFont val="等线"/>
        <family val="3"/>
        <charset val="134"/>
      </rPr>
      <t>米，</t>
    </r>
    <r>
      <rPr>
        <sz val="11"/>
        <rFont val="Arial"/>
        <family val="2"/>
      </rPr>
      <t>4</t>
    </r>
    <r>
      <rPr>
        <sz val="11"/>
        <rFont val="等线"/>
        <family val="3"/>
        <charset val="134"/>
      </rPr>
      <t>月</t>
    </r>
    <r>
      <rPr>
        <sz val="11"/>
        <rFont val="Arial"/>
        <family val="2"/>
      </rPr>
      <t>13</t>
    </r>
    <r>
      <rPr>
        <sz val="11"/>
        <rFont val="等线"/>
        <family val="3"/>
        <charset val="134"/>
      </rPr>
      <t>日价格</t>
    </r>
    <r>
      <rPr>
        <sz val="11"/>
        <rFont val="Arial"/>
        <family val="2"/>
      </rPr>
      <t>553</t>
    </r>
    <r>
      <rPr>
        <sz val="11"/>
        <rFont val="等线"/>
        <family val="3"/>
        <charset val="134"/>
      </rPr>
      <t>元</t>
    </r>
    <r>
      <rPr>
        <sz val="11"/>
        <rFont val="Arial"/>
        <family val="2"/>
      </rPr>
      <t>/M2</t>
    </r>
    <r>
      <rPr>
        <sz val="11"/>
        <rFont val="等线"/>
        <family val="3"/>
        <charset val="134"/>
      </rPr>
      <t>（苏州威尔玛含税及运至江宁的运费）。</t>
    </r>
  </si>
  <si>
    <r>
      <rPr>
        <sz val="11"/>
        <rFont val="等线"/>
        <family val="3"/>
        <charset val="134"/>
      </rPr>
      <t>钢格栅</t>
    </r>
    <r>
      <rPr>
        <sz val="11"/>
        <rFont val="Arial"/>
        <family val="2"/>
      </rPr>
      <t xml:space="preserve">304/30/100 </t>
    </r>
    <r>
      <rPr>
        <sz val="11"/>
        <rFont val="等线"/>
        <family val="3"/>
        <charset val="134"/>
      </rPr>
      <t>承载</t>
    </r>
    <r>
      <rPr>
        <sz val="11"/>
        <rFont val="Arial"/>
        <family val="2"/>
      </rPr>
      <t xml:space="preserve">350KG/M2,L2800*W995*H30*4.0t </t>
    </r>
    <r>
      <rPr>
        <sz val="11"/>
        <rFont val="等线"/>
        <family val="3"/>
        <charset val="134"/>
      </rPr>
      <t>（实际</t>
    </r>
    <r>
      <rPr>
        <sz val="11"/>
        <rFont val="Arial"/>
        <family val="2"/>
      </rPr>
      <t>3.75</t>
    </r>
    <r>
      <rPr>
        <sz val="11"/>
        <rFont val="等线"/>
        <family val="3"/>
        <charset val="134"/>
      </rPr>
      <t>）</t>
    </r>
    <r>
      <rPr>
        <sz val="11"/>
        <rFont val="Arial"/>
        <family val="2"/>
      </rPr>
      <t xml:space="preserve">   </t>
    </r>
    <r>
      <rPr>
        <sz val="11"/>
        <rFont val="等线"/>
        <family val="3"/>
        <charset val="134"/>
      </rPr>
      <t>，</t>
    </r>
    <r>
      <rPr>
        <sz val="11"/>
        <rFont val="Arial"/>
        <family val="2"/>
      </rPr>
      <t>33KG/</t>
    </r>
    <r>
      <rPr>
        <sz val="11"/>
        <rFont val="等线"/>
        <family val="3"/>
        <charset val="134"/>
      </rPr>
      <t>米，</t>
    </r>
    <r>
      <rPr>
        <sz val="11"/>
        <rFont val="Arial"/>
        <family val="2"/>
      </rPr>
      <t>4</t>
    </r>
    <r>
      <rPr>
        <sz val="11"/>
        <rFont val="等线"/>
        <family val="3"/>
        <charset val="134"/>
      </rPr>
      <t>月</t>
    </r>
    <r>
      <rPr>
        <sz val="11"/>
        <rFont val="Arial"/>
        <family val="2"/>
      </rPr>
      <t>14</t>
    </r>
    <r>
      <rPr>
        <sz val="11"/>
        <rFont val="等线"/>
        <family val="3"/>
        <charset val="134"/>
      </rPr>
      <t>日价格</t>
    </r>
    <r>
      <rPr>
        <sz val="11"/>
        <rFont val="Arial"/>
        <family val="2"/>
      </rPr>
      <t>305</t>
    </r>
    <r>
      <rPr>
        <sz val="11"/>
        <rFont val="等线"/>
        <family val="3"/>
        <charset val="134"/>
      </rPr>
      <t>元</t>
    </r>
    <r>
      <rPr>
        <sz val="11"/>
        <rFont val="Arial"/>
        <family val="2"/>
      </rPr>
      <t>/M2</t>
    </r>
    <r>
      <rPr>
        <sz val="11"/>
        <rFont val="等线"/>
        <family val="3"/>
        <charset val="134"/>
      </rPr>
      <t>（河北豪鹏含税及运至江宁的运费）。</t>
    </r>
  </si>
  <si>
    <r>
      <rPr>
        <sz val="11"/>
        <rFont val="等线"/>
        <family val="3"/>
        <charset val="134"/>
      </rPr>
      <t>钢格栅</t>
    </r>
    <r>
      <rPr>
        <sz val="11"/>
        <rFont val="Arial"/>
        <family val="2"/>
      </rPr>
      <t xml:space="preserve">L2000*W910*H30*3.0t </t>
    </r>
    <r>
      <rPr>
        <sz val="11"/>
        <rFont val="等线"/>
        <family val="3"/>
        <charset val="134"/>
      </rPr>
      <t>（网格</t>
    </r>
    <r>
      <rPr>
        <sz val="11"/>
        <rFont val="Arial"/>
        <family val="2"/>
      </rPr>
      <t>50*30</t>
    </r>
    <r>
      <rPr>
        <sz val="11"/>
        <rFont val="等线"/>
        <family val="3"/>
        <charset val="134"/>
      </rPr>
      <t>），</t>
    </r>
    <r>
      <rPr>
        <sz val="11"/>
        <rFont val="Arial"/>
        <family val="2"/>
      </rPr>
      <t>6</t>
    </r>
    <r>
      <rPr>
        <sz val="11"/>
        <rFont val="等线"/>
        <family val="3"/>
        <charset val="134"/>
      </rPr>
      <t>月</t>
    </r>
    <r>
      <rPr>
        <sz val="11"/>
        <rFont val="Arial"/>
        <family val="2"/>
      </rPr>
      <t>8</t>
    </r>
    <r>
      <rPr>
        <sz val="11"/>
        <rFont val="等线"/>
        <family val="3"/>
        <charset val="134"/>
      </rPr>
      <t>日价格</t>
    </r>
    <r>
      <rPr>
        <sz val="11"/>
        <rFont val="Arial"/>
        <family val="2"/>
      </rPr>
      <t>288</t>
    </r>
    <r>
      <rPr>
        <sz val="11"/>
        <rFont val="等线"/>
        <family val="3"/>
        <charset val="134"/>
      </rPr>
      <t>元</t>
    </r>
    <r>
      <rPr>
        <sz val="11"/>
        <rFont val="Arial"/>
        <family val="2"/>
      </rPr>
      <t>/M2</t>
    </r>
    <r>
      <rPr>
        <sz val="11"/>
        <rFont val="等线"/>
        <family val="3"/>
        <charset val="134"/>
      </rPr>
      <t>（苏州威尔玛含扣件、含税及运至江宁的运费）。</t>
    </r>
  </si>
  <si>
    <r>
      <rPr>
        <sz val="11"/>
        <rFont val="等线"/>
        <family val="3"/>
        <charset val="134"/>
      </rPr>
      <t>钢格栅</t>
    </r>
    <r>
      <rPr>
        <sz val="11"/>
        <rFont val="Arial"/>
        <family val="2"/>
      </rPr>
      <t>L2000*W910*H30*3.0t</t>
    </r>
    <r>
      <rPr>
        <sz val="11"/>
        <rFont val="等线"/>
        <family val="3"/>
        <charset val="134"/>
      </rPr>
      <t>（网格</t>
    </r>
    <r>
      <rPr>
        <sz val="11"/>
        <rFont val="Arial"/>
        <family val="2"/>
      </rPr>
      <t>50*30</t>
    </r>
    <r>
      <rPr>
        <sz val="11"/>
        <rFont val="等线"/>
        <family val="3"/>
        <charset val="134"/>
      </rPr>
      <t>）</t>
    </r>
    <r>
      <rPr>
        <sz val="11"/>
        <rFont val="等线"/>
        <family val="3"/>
        <charset val="134"/>
      </rPr>
      <t>，</t>
    </r>
    <r>
      <rPr>
        <sz val="11"/>
        <rFont val="Arial"/>
        <family val="2"/>
      </rPr>
      <t>25.9KG/</t>
    </r>
    <r>
      <rPr>
        <sz val="11"/>
        <rFont val="等线"/>
        <family val="3"/>
        <charset val="134"/>
      </rPr>
      <t>米，</t>
    </r>
    <r>
      <rPr>
        <sz val="11"/>
        <rFont val="Arial"/>
        <family val="2"/>
      </rPr>
      <t>6</t>
    </r>
    <r>
      <rPr>
        <sz val="11"/>
        <rFont val="等线"/>
        <family val="3"/>
        <charset val="134"/>
      </rPr>
      <t>月</t>
    </r>
    <r>
      <rPr>
        <sz val="11"/>
        <rFont val="Arial"/>
        <family val="2"/>
      </rPr>
      <t>8</t>
    </r>
    <r>
      <rPr>
        <sz val="11"/>
        <rFont val="等线"/>
        <family val="3"/>
        <charset val="134"/>
      </rPr>
      <t>日价格</t>
    </r>
    <r>
      <rPr>
        <sz val="11"/>
        <rFont val="Arial"/>
        <family val="2"/>
      </rPr>
      <t>268</t>
    </r>
    <r>
      <rPr>
        <sz val="11"/>
        <rFont val="等线"/>
        <family val="3"/>
        <charset val="134"/>
      </rPr>
      <t>元</t>
    </r>
    <r>
      <rPr>
        <sz val="11"/>
        <rFont val="Arial"/>
        <family val="2"/>
      </rPr>
      <t xml:space="preserve">/M2  </t>
    </r>
    <r>
      <rPr>
        <sz val="11"/>
        <rFont val="等线"/>
        <family val="3"/>
        <charset val="134"/>
      </rPr>
      <t>（河北豪鹏含扣件、含税及运至江宁的运费）。</t>
    </r>
  </si>
  <si>
    <r>
      <rPr>
        <sz val="11"/>
        <rFont val="宋体"/>
        <family val="3"/>
        <charset val="134"/>
      </rPr>
      <t>爱沙尼亚</t>
    </r>
    <r>
      <rPr>
        <sz val="11"/>
        <rFont val="Arial"/>
        <family val="2"/>
      </rPr>
      <t>55</t>
    </r>
    <r>
      <rPr>
        <sz val="11"/>
        <rFont val="宋体"/>
        <family val="3"/>
        <charset val="134"/>
      </rPr>
      <t>立柱配的安全销是</t>
    </r>
    <r>
      <rPr>
        <sz val="11"/>
        <rFont val="Arial"/>
        <family val="2"/>
      </rPr>
      <t>7*38</t>
    </r>
    <r>
      <rPr>
        <sz val="11"/>
        <rFont val="宋体"/>
        <family val="3"/>
        <charset val="134"/>
      </rPr>
      <t>的圆头安全销（不带耳朵）</t>
    </r>
  </si>
  <si>
    <t>部件清单</t>
  </si>
  <si>
    <t>产品</t>
  </si>
  <si>
    <r>
      <rPr>
        <sz val="12"/>
        <color theme="1"/>
        <rFont val="Times New Roman"/>
        <family val="1"/>
      </rPr>
      <t>单</t>
    </r>
    <r>
      <rPr>
        <sz val="12"/>
        <color theme="1"/>
        <rFont val="Yu Gothic"/>
        <family val="2"/>
        <charset val="128"/>
      </rPr>
      <t>重</t>
    </r>
  </si>
  <si>
    <r>
      <rPr>
        <sz val="12"/>
        <color theme="1"/>
        <rFont val="Times New Roman"/>
        <family val="1"/>
      </rPr>
      <t>总</t>
    </r>
    <r>
      <rPr>
        <sz val="12"/>
        <color theme="1"/>
        <rFont val="Yu Gothic"/>
        <family val="2"/>
        <charset val="128"/>
      </rPr>
      <t>重</t>
    </r>
  </si>
  <si>
    <t>固定行</t>
  </si>
  <si>
    <t>务必整行复制到
柱片下方</t>
  </si>
  <si>
    <t>柱片配件</t>
  </si>
  <si>
    <t>本行不复制</t>
  </si>
  <si>
    <t>不适用于三立柱</t>
  </si>
  <si>
    <t>注意检查是否有重复项目但价格不一致的情况!</t>
  </si>
  <si>
    <t xml:space="preserve">Box beam </t>
  </si>
  <si>
    <t xml:space="preserve">B110*50*1.5 mm,pitch 75, 3 claws, H200,  </t>
  </si>
  <si>
    <t xml:space="preserve">Row spacer </t>
  </si>
  <si>
    <t>L900</t>
  </si>
  <si>
    <t>HS50*30*1.5 mm,</t>
  </si>
  <si>
    <t>参考公式</t>
  </si>
  <si>
    <t xml:space="preserve">L Upright protector </t>
  </si>
  <si>
    <t>L100*100*t5</t>
  </si>
  <si>
    <r>
      <rPr>
        <sz val="11"/>
        <color theme="1"/>
        <rFont val="Times New Roman"/>
        <family val="1"/>
      </rPr>
      <t xml:space="preserve">XLOOKUP(C15&amp;D15&amp;E15&amp;F15, </t>
    </r>
    <r>
      <rPr>
        <sz val="11"/>
        <color theme="1"/>
        <rFont val="宋体"/>
        <family val="3"/>
        <charset val="134"/>
      </rPr>
      <t>历史价格</t>
    </r>
    <r>
      <rPr>
        <sz val="11"/>
        <color theme="1"/>
        <rFont val="Times New Roman"/>
        <family val="1"/>
      </rPr>
      <t>!C:C&amp;</t>
    </r>
    <r>
      <rPr>
        <sz val="11"/>
        <color theme="1"/>
        <rFont val="宋体"/>
        <family val="3"/>
        <charset val="134"/>
      </rPr>
      <t>历史价格</t>
    </r>
    <r>
      <rPr>
        <sz val="11"/>
        <color theme="1"/>
        <rFont val="Times New Roman"/>
        <family val="1"/>
      </rPr>
      <t>!D:D&amp;</t>
    </r>
    <r>
      <rPr>
        <sz val="11"/>
        <color theme="1"/>
        <rFont val="宋体"/>
        <family val="3"/>
        <charset val="134"/>
      </rPr>
      <t>历史价格</t>
    </r>
    <r>
      <rPr>
        <sz val="11"/>
        <color theme="1"/>
        <rFont val="Times New Roman"/>
        <family val="1"/>
      </rPr>
      <t>!E:E&amp;</t>
    </r>
    <r>
      <rPr>
        <sz val="11"/>
        <color theme="1"/>
        <rFont val="宋体"/>
        <family val="3"/>
        <charset val="134"/>
      </rPr>
      <t>历史价格</t>
    </r>
    <r>
      <rPr>
        <sz val="11"/>
        <color theme="1"/>
        <rFont val="Times New Roman"/>
        <family val="1"/>
      </rPr>
      <t xml:space="preserve">!F:F, </t>
    </r>
    <r>
      <rPr>
        <sz val="11"/>
        <color theme="1"/>
        <rFont val="宋体"/>
        <family val="3"/>
        <charset val="134"/>
      </rPr>
      <t>历史价格</t>
    </r>
    <r>
      <rPr>
        <sz val="11"/>
        <color theme="1"/>
        <rFont val="Times New Roman"/>
        <family val="1"/>
      </rPr>
      <t>!H:H, "</t>
    </r>
    <r>
      <rPr>
        <sz val="11"/>
        <color theme="1"/>
        <rFont val="宋体"/>
        <family val="3"/>
        <charset val="134"/>
      </rPr>
      <t>未找到</t>
    </r>
    <r>
      <rPr>
        <sz val="11"/>
        <color theme="1"/>
        <rFont val="Times New Roman"/>
        <family val="1"/>
      </rPr>
      <t>", 0)</t>
    </r>
  </si>
  <si>
    <t>1.90立柱特殊尺寸（正面孔50），一般用90*70*2.0，喷塑
2.横斜撑24*40*1.2
3.中型货架使用60*50立柱
4. 6m以下H2底板
5.楼板、层板需要喷塑
6.悬臂立柱和底座一般喷塑
7.重型货架用内膨胀螺栓M10*65, 横梁顶焊
8. 中型货架内膨胀螺栓用长度60mm</t>
  </si>
  <si>
    <t>L型冲压连接件</t>
  </si>
  <si>
    <t>L Type Connnector</t>
  </si>
  <si>
    <t>P-Beam</t>
  </si>
  <si>
    <t>Edward/Melissa</t>
  </si>
  <si>
    <t>R-clip</t>
  </si>
  <si>
    <t>U型连接件</t>
  </si>
  <si>
    <t>U Type Connnector</t>
  </si>
  <si>
    <t>U型长底板</t>
  </si>
  <si>
    <t>U Type Base plate</t>
  </si>
  <si>
    <t>U型座</t>
  </si>
  <si>
    <t>U-shaped seat</t>
  </si>
  <si>
    <t>安全销</t>
  </si>
  <si>
    <t>Safety Pin</t>
  </si>
  <si>
    <t>Peter / Steve/Ben/Chris</t>
  </si>
  <si>
    <t>背挡连接件</t>
  </si>
  <si>
    <t>Backguard connector</t>
  </si>
  <si>
    <t>背档</t>
  </si>
  <si>
    <t>Back Stopper</t>
  </si>
  <si>
    <t>Back beam</t>
  </si>
  <si>
    <t xml:space="preserve"> Back Stopper </t>
  </si>
  <si>
    <t>背拉扁铁</t>
  </si>
  <si>
    <t>Back bracing</t>
  </si>
  <si>
    <t>背拉隔撑</t>
  </si>
  <si>
    <t>Back pull brace</t>
  </si>
  <si>
    <t>背拉连接件</t>
  </si>
  <si>
    <t>Backpull connector</t>
  </si>
  <si>
    <t>背网连接件</t>
  </si>
  <si>
    <t>Backnet connector</t>
  </si>
  <si>
    <t>臂挂爪</t>
  </si>
  <si>
    <t>Wall mounted claw</t>
  </si>
  <si>
    <t>臂支撑梁</t>
  </si>
  <si>
    <t>Support Beam for Arm</t>
  </si>
  <si>
    <t>槽钢护栏</t>
  </si>
  <si>
    <t>Handrail</t>
  </si>
  <si>
    <t>侧边梁</t>
  </si>
  <si>
    <t>Side beam</t>
  </si>
  <si>
    <t>叉车臂跨梁</t>
  </si>
  <si>
    <t>Forklift Entry Bar</t>
  </si>
  <si>
    <t>Forklift guide rail</t>
  </si>
  <si>
    <t>Y K TOH MARKETING (S)PTE LTD</t>
  </si>
  <si>
    <t>YKTOH</t>
  </si>
  <si>
    <t xml:space="preserve">ALEX </t>
  </si>
  <si>
    <t>插杆</t>
  </si>
  <si>
    <t>Insert rod</t>
  </si>
  <si>
    <t>LLC“Rhazes Pharma”</t>
  </si>
  <si>
    <t>DFL</t>
  </si>
  <si>
    <t>Akhmad Kasymov</t>
  </si>
  <si>
    <t>插销</t>
  </si>
  <si>
    <t>latch</t>
  </si>
  <si>
    <t>抽屉</t>
  </si>
  <si>
    <t>Drawer</t>
  </si>
  <si>
    <t>垂直拉</t>
  </si>
  <si>
    <t>Vertical pull</t>
  </si>
  <si>
    <t>次梁</t>
  </si>
  <si>
    <t>Roof Seconday Beam</t>
  </si>
  <si>
    <t>次梁拉杆</t>
  </si>
  <si>
    <t>Secondary beam tie rod</t>
  </si>
  <si>
    <t>次梁连接件</t>
  </si>
  <si>
    <t>Secondary beam connectors</t>
  </si>
  <si>
    <t>大垫片</t>
  </si>
  <si>
    <t>Large gasket</t>
  </si>
  <si>
    <t>单底座</t>
  </si>
  <si>
    <t>Single Base</t>
  </si>
  <si>
    <t>Single post</t>
  </si>
  <si>
    <t>Single post Row Spacer</t>
  </si>
  <si>
    <t>单面隔撑</t>
  </si>
  <si>
    <t>Single spacer</t>
  </si>
  <si>
    <t>Single Arm</t>
  </si>
  <si>
    <t>单左右牛腿</t>
  </si>
  <si>
    <t>弹垫</t>
  </si>
  <si>
    <t>spring washer</t>
  </si>
  <si>
    <t>弹簧安全销</t>
  </si>
  <si>
    <t>Spring safety pin</t>
  </si>
  <si>
    <t>挡杆</t>
  </si>
  <si>
    <t>Arm End Stopper</t>
  </si>
  <si>
    <t>导向板</t>
  </si>
  <si>
    <t>Lead in</t>
  </si>
  <si>
    <t>导向装置</t>
  </si>
  <si>
    <t>Guide device</t>
  </si>
  <si>
    <t>地插</t>
  </si>
  <si>
    <t>Ground insertion</t>
  </si>
  <si>
    <t>底板连接件</t>
  </si>
  <si>
    <t>Bottom plate connector</t>
  </si>
  <si>
    <t>Base sealing plate</t>
  </si>
  <si>
    <t>底座挂爪</t>
  </si>
  <si>
    <t>Base hanging claw</t>
  </si>
  <si>
    <t>Base Bracket</t>
  </si>
  <si>
    <t>底座支撑梁</t>
  </si>
  <si>
    <t>Support Beam for Base</t>
  </si>
  <si>
    <t>Shim plate</t>
  </si>
  <si>
    <t>蝶形螺杆</t>
  </si>
  <si>
    <t>Butterfly screw</t>
  </si>
  <si>
    <t>Top Bracing</t>
  </si>
  <si>
    <t>镀锌层板</t>
  </si>
  <si>
    <t>Dexion Shelf</t>
  </si>
  <si>
    <t>端头封板</t>
  </si>
  <si>
    <t>End sealing plate</t>
  </si>
  <si>
    <t>对开门</t>
  </si>
  <si>
    <t>Mezzanine Swing Gate</t>
  </si>
  <si>
    <t>法兰螺母</t>
  </si>
  <si>
    <t>Flange nut</t>
  </si>
  <si>
    <t>翻转门</t>
  </si>
  <si>
    <t>Swivel type loading gate</t>
  </si>
  <si>
    <t>反耳片横梁</t>
  </si>
  <si>
    <t>Support beam with connector</t>
  </si>
  <si>
    <t>防护桩</t>
  </si>
  <si>
    <t>防滑贴</t>
  </si>
  <si>
    <t>Anti slip sticker</t>
  </si>
  <si>
    <t>防火板</t>
  </si>
  <si>
    <t>Fire Baffle</t>
  </si>
  <si>
    <t>防撞角钢</t>
  </si>
  <si>
    <t>floor stopper</t>
  </si>
  <si>
    <t>Barrier</t>
  </si>
  <si>
    <t>防撞柱/防撞圆柱</t>
  </si>
  <si>
    <t>Post protector</t>
  </si>
  <si>
    <t>分隔板</t>
  </si>
  <si>
    <t>Divider plate</t>
  </si>
  <si>
    <t>Sideplate</t>
  </si>
  <si>
    <t>封头</t>
  </si>
  <si>
    <t>plug</t>
  </si>
  <si>
    <t>Steel shelving</t>
  </si>
  <si>
    <t>钢格栅</t>
  </si>
  <si>
    <t>steel grating</t>
  </si>
  <si>
    <t>钢托盘</t>
  </si>
  <si>
    <t>Steel Pallet</t>
  </si>
  <si>
    <t>Row Spacer</t>
  </si>
  <si>
    <t>工字钢臂</t>
  </si>
  <si>
    <t>Shopping Cart</t>
  </si>
  <si>
    <t>拐角防撞栏</t>
  </si>
  <si>
    <t>Conner Barrier</t>
  </si>
  <si>
    <t>广角镜</t>
  </si>
  <si>
    <t>Corner mirror</t>
  </si>
  <si>
    <t>轨道</t>
  </si>
  <si>
    <t>轨道连接件</t>
  </si>
  <si>
    <t>Splice kit of guide rail</t>
  </si>
  <si>
    <t>滚筒</t>
  </si>
  <si>
    <t>Roller</t>
  </si>
  <si>
    <t>黑色固定脚轮</t>
  </si>
  <si>
    <t>Black fixed casters</t>
  </si>
  <si>
    <t>H-Bracing</t>
  </si>
  <si>
    <t>横撑角钢</t>
  </si>
  <si>
    <t>H  bracing</t>
  </si>
  <si>
    <t>后挡板</t>
  </si>
  <si>
    <t>Back Stop</t>
  </si>
  <si>
    <t>后护脚</t>
  </si>
  <si>
    <t>Back Upright Protector</t>
  </si>
  <si>
    <t>护轨</t>
  </si>
  <si>
    <t>Floor guide</t>
  </si>
  <si>
    <t>Upright Protector</t>
  </si>
  <si>
    <t>护脚连接件</t>
  </si>
  <si>
    <t>Foot protection connector</t>
  </si>
  <si>
    <t>护栏</t>
  </si>
  <si>
    <t>护栏隔撑</t>
  </si>
  <si>
    <t>Guardrail partition support</t>
  </si>
  <si>
    <t>护栏横梁</t>
  </si>
  <si>
    <t>Handrail Beam</t>
  </si>
  <si>
    <t>护栏框架</t>
  </si>
  <si>
    <t>Guardrail frame</t>
  </si>
  <si>
    <t>护栏立柱</t>
  </si>
  <si>
    <t>Fence Posts</t>
  </si>
  <si>
    <t>化学螺栓</t>
  </si>
  <si>
    <t>Chemical bolt</t>
  </si>
  <si>
    <t>化学药剂</t>
  </si>
  <si>
    <t>Chemical agents</t>
  </si>
  <si>
    <t>Ring pin</t>
  </si>
  <si>
    <t>活动顶板</t>
  </si>
  <si>
    <t>Top Plate</t>
  </si>
  <si>
    <t>加强筋</t>
  </si>
  <si>
    <t>Ribs</t>
  </si>
  <si>
    <t>交叉连接件</t>
  </si>
  <si>
    <t>Cross-Connect</t>
  </si>
  <si>
    <t>角钢隔撑</t>
  </si>
  <si>
    <t>Angle</t>
  </si>
  <si>
    <t>Angle Post Protector</t>
  </si>
  <si>
    <t>Foot Plate</t>
  </si>
  <si>
    <t>脚轮</t>
  </si>
  <si>
    <t>Casters</t>
  </si>
  <si>
    <t>开口销</t>
  </si>
  <si>
    <t>Cotter pin</t>
  </si>
  <si>
    <t>可调底脚</t>
  </si>
  <si>
    <t>Adjustable foot plate</t>
  </si>
  <si>
    <t>跨梁</t>
  </si>
  <si>
    <t>Support Bar</t>
  </si>
  <si>
    <t>跨梁矩管</t>
  </si>
  <si>
    <t>Cross beam</t>
  </si>
  <si>
    <t>拉杆</t>
  </si>
  <si>
    <t>Stoper</t>
  </si>
  <si>
    <t>Upright</t>
  </si>
  <si>
    <t>立柱单护栏/槽钢</t>
  </si>
  <si>
    <t>Single frame protector</t>
  </si>
  <si>
    <t>立柱护脚</t>
  </si>
  <si>
    <t>Column foot protection</t>
  </si>
  <si>
    <t>立柱连接件</t>
  </si>
  <si>
    <t>Splice kits</t>
  </si>
  <si>
    <t>立柱双护栏/槽钢</t>
  </si>
  <si>
    <t>Double rame protector</t>
  </si>
  <si>
    <t>Connector</t>
  </si>
  <si>
    <t>连接件/内衬</t>
  </si>
  <si>
    <t>Mezzanine floor</t>
  </si>
  <si>
    <t>Floor fasteners</t>
  </si>
  <si>
    <t>楼面梁</t>
  </si>
  <si>
    <t>Floor Beam</t>
  </si>
  <si>
    <t>楼梯盖板</t>
  </si>
  <si>
    <t>Covers</t>
  </si>
  <si>
    <t>楼梯拉杆</t>
  </si>
  <si>
    <t>Stair tie rod</t>
  </si>
  <si>
    <t>楼梯梁</t>
  </si>
  <si>
    <t>Stair Beam</t>
  </si>
  <si>
    <t>楼梯踏步</t>
  </si>
  <si>
    <t>Stair step</t>
  </si>
  <si>
    <t>楼梯支撑</t>
  </si>
  <si>
    <t>Staircase support</t>
  </si>
  <si>
    <t>楼梯主体</t>
  </si>
  <si>
    <t>Main structure</t>
  </si>
  <si>
    <t>螺杆</t>
  </si>
  <si>
    <t>Screw stem</t>
  </si>
  <si>
    <t>螺母</t>
  </si>
  <si>
    <t>Nut</t>
  </si>
  <si>
    <t>马车螺栓</t>
  </si>
  <si>
    <t>Carriage bolt</t>
  </si>
  <si>
    <t>铆钉</t>
  </si>
  <si>
    <t>rivet</t>
  </si>
  <si>
    <t>密度板</t>
  </si>
  <si>
    <t>MDF Board</t>
  </si>
  <si>
    <t>木板</t>
  </si>
  <si>
    <t>Board</t>
  </si>
  <si>
    <t>内六角</t>
  </si>
  <si>
    <t>Socket Bolt</t>
  </si>
  <si>
    <t>内膨胀螺栓</t>
  </si>
  <si>
    <t>Anchor Bolt</t>
  </si>
  <si>
    <t>Rail beam</t>
  </si>
  <si>
    <t>Accessories</t>
  </si>
  <si>
    <t>平垫</t>
  </si>
  <si>
    <t>flat washer</t>
  </si>
  <si>
    <t>back/front stopper</t>
  </si>
  <si>
    <t>前护脚</t>
  </si>
  <si>
    <t>Front Upright Protector</t>
  </si>
  <si>
    <t>墙撑</t>
  </si>
  <si>
    <t>Wall spacer</t>
  </si>
  <si>
    <t>手推车</t>
  </si>
  <si>
    <t>Carts</t>
  </si>
  <si>
    <t>双底座</t>
  </si>
  <si>
    <t>Double Base</t>
  </si>
  <si>
    <t>双护脚支撑</t>
  </si>
  <si>
    <t>Double Row End Protector</t>
  </si>
  <si>
    <t>双面隔撑</t>
  </si>
  <si>
    <t>Double spacer</t>
  </si>
  <si>
    <t>Double Arm</t>
  </si>
  <si>
    <t>Plan bracing</t>
  </si>
  <si>
    <t>水平拉连接件</t>
  </si>
  <si>
    <t>Horizontal pull connector</t>
  </si>
  <si>
    <t>塑料堵头</t>
  </si>
  <si>
    <t>Plastic plug</t>
  </si>
  <si>
    <t>塑料盒</t>
  </si>
  <si>
    <t>Plastic box</t>
  </si>
  <si>
    <t>塑料护脚</t>
  </si>
  <si>
    <t>Plastic column guard-Black</t>
  </si>
  <si>
    <t>Plastic Pallet</t>
  </si>
  <si>
    <t>踏板/楼梯踏板</t>
  </si>
  <si>
    <t>Steps</t>
  </si>
  <si>
    <t>套筒</t>
  </si>
  <si>
    <t>Tube Spacer</t>
  </si>
  <si>
    <t>Kickplate</t>
  </si>
  <si>
    <t>通道拉</t>
  </si>
  <si>
    <t>Channel pull</t>
  </si>
  <si>
    <t>推拉门</t>
  </si>
  <si>
    <t>Sliding</t>
  </si>
  <si>
    <t>推拉门阻挡</t>
  </si>
  <si>
    <t>Sliding door obstruction</t>
  </si>
  <si>
    <t>托盘背挡</t>
  </si>
  <si>
    <t>Pallet Back Stopper</t>
  </si>
  <si>
    <t>托盘导轨</t>
  </si>
  <si>
    <t>Pallet Rail</t>
  </si>
  <si>
    <t>托盘支撑</t>
  </si>
  <si>
    <t>Pallet support</t>
  </si>
  <si>
    <t>Hex Bolt</t>
  </si>
  <si>
    <t>外膨胀</t>
  </si>
  <si>
    <t>弯钩螺栓</t>
  </si>
  <si>
    <t>Swan-neck bolt</t>
  </si>
  <si>
    <t>弯头</t>
  </si>
  <si>
    <t>Elbow</t>
  </si>
  <si>
    <t>围网</t>
  </si>
  <si>
    <t xml:space="preserve">Wire Mesh </t>
  </si>
  <si>
    <t>围网立柱</t>
  </si>
  <si>
    <t>Post for Wire mesh</t>
  </si>
  <si>
    <t>文件柜</t>
  </si>
  <si>
    <t>Filing Cabinet</t>
  </si>
  <si>
    <t>无耳片横梁</t>
  </si>
  <si>
    <t>Support beam without connector</t>
  </si>
  <si>
    <t>无缝钢管</t>
  </si>
  <si>
    <t>Cable support</t>
  </si>
  <si>
    <t>巷道拉</t>
  </si>
  <si>
    <t>Aisle Portal Tie</t>
  </si>
  <si>
    <t>销钉</t>
  </si>
  <si>
    <t>pin</t>
  </si>
  <si>
    <t>小推车/提篮车</t>
  </si>
  <si>
    <t>Shopping cart</t>
  </si>
  <si>
    <t>D-Bracing</t>
  </si>
  <si>
    <t>斜支撑</t>
  </si>
  <si>
    <t>Brace</t>
  </si>
  <si>
    <t>悬臂顶臂</t>
  </si>
  <si>
    <t>Top Arm</t>
  </si>
  <si>
    <t>Column</t>
  </si>
  <si>
    <t>悬挑梁</t>
  </si>
  <si>
    <t>Cantilever Beam</t>
  </si>
  <si>
    <t>压条</t>
  </si>
  <si>
    <t>Batten</t>
  </si>
  <si>
    <t>引导板</t>
  </si>
  <si>
    <t>右牛腿</t>
  </si>
  <si>
    <t>Single Arm-Right</t>
  </si>
  <si>
    <t>圆管搁挡</t>
  </si>
  <si>
    <t>Circular pipe stopper</t>
  </si>
  <si>
    <t>圆管横拉/横拉</t>
  </si>
  <si>
    <t>H-bracing</t>
  </si>
  <si>
    <t>圆管护栏</t>
  </si>
  <si>
    <t>Round pipe guardrail</t>
  </si>
  <si>
    <t>圆管护桩</t>
  </si>
  <si>
    <t>Frame Protector</t>
  </si>
  <si>
    <t>圆管斜拉/斜拉</t>
  </si>
  <si>
    <t>D-bracing</t>
  </si>
  <si>
    <t>圆筒支架</t>
  </si>
  <si>
    <t>Cylindrical support</t>
  </si>
  <si>
    <t>圆头方颈</t>
  </si>
  <si>
    <t>Carriage Bolts</t>
  </si>
  <si>
    <t>圆头螺栓</t>
  </si>
  <si>
    <t>圆头自攻钉</t>
  </si>
  <si>
    <t>Self tapping screw</t>
  </si>
  <si>
    <t>圆柱销</t>
  </si>
  <si>
    <t>Clevis pin</t>
  </si>
  <si>
    <t>折弯楼板</t>
  </si>
  <si>
    <t>Bending floor</t>
  </si>
  <si>
    <t>正耳片横梁</t>
  </si>
  <si>
    <t>支撑</t>
  </si>
  <si>
    <t>Pupport</t>
  </si>
  <si>
    <t>轴</t>
  </si>
  <si>
    <t>axle</t>
  </si>
  <si>
    <t>轴承</t>
  </si>
  <si>
    <t>bearing</t>
  </si>
  <si>
    <t>主梁</t>
  </si>
  <si>
    <t>Main Beam</t>
  </si>
  <si>
    <t>Bracket</t>
  </si>
  <si>
    <t>自攻螺丝</t>
  </si>
  <si>
    <t>Tack screw</t>
  </si>
  <si>
    <t>左牛腿</t>
  </si>
  <si>
    <t>Single Arm-Left</t>
  </si>
  <si>
    <t>Frame Loading Table (Grade Q235)</t>
  </si>
  <si>
    <t>Minimum 260Mpa Yield strength requirement @ 1.65 safety margin (or 280Mpa @ 1.80 safety margin)</t>
  </si>
  <si>
    <t>DEXION</t>
  </si>
  <si>
    <t>80*58 (1.8) SF</t>
  </si>
  <si>
    <t>90*68 (1.8) SF</t>
  </si>
  <si>
    <t>90*70 (1.8)</t>
  </si>
  <si>
    <t>90*70 (2.0)</t>
  </si>
  <si>
    <t>90*70 (2.3)</t>
  </si>
  <si>
    <t>100*75 (2.3)</t>
  </si>
  <si>
    <t>100 (2.5)</t>
  </si>
  <si>
    <t>120*75 (2.3)</t>
  </si>
  <si>
    <t>120*75 (2.5)</t>
  </si>
  <si>
    <t>X/D ratio</t>
  </si>
  <si>
    <r>
      <rPr>
        <b/>
        <sz val="9"/>
        <rFont val="Arial"/>
        <family val="2"/>
      </rPr>
      <t xml:space="preserve">120x95
</t>
    </r>
    <r>
      <rPr>
        <b/>
        <sz val="9"/>
        <rFont val="宋体"/>
        <family val="3"/>
        <charset val="134"/>
      </rPr>
      <t>（</t>
    </r>
    <r>
      <rPr>
        <b/>
        <sz val="9"/>
        <rFont val="Arial"/>
        <family val="2"/>
      </rPr>
      <t>3.0</t>
    </r>
    <r>
      <rPr>
        <b/>
        <sz val="9"/>
        <rFont val="宋体"/>
        <family val="3"/>
        <charset val="134"/>
      </rPr>
      <t>）</t>
    </r>
  </si>
  <si>
    <r>
      <rPr>
        <b/>
        <sz val="9"/>
        <rFont val="Arial"/>
        <family val="2"/>
      </rPr>
      <t xml:space="preserve">120x95
</t>
    </r>
    <r>
      <rPr>
        <b/>
        <sz val="9"/>
        <rFont val="宋体"/>
        <family val="3"/>
        <charset val="134"/>
      </rPr>
      <t>（</t>
    </r>
    <r>
      <rPr>
        <b/>
        <sz val="9"/>
        <rFont val="Arial"/>
        <family val="2"/>
      </rPr>
      <t>2.8</t>
    </r>
    <r>
      <rPr>
        <b/>
        <sz val="9"/>
        <rFont val="宋体"/>
        <family val="3"/>
        <charset val="134"/>
      </rPr>
      <t>）</t>
    </r>
  </si>
  <si>
    <r>
      <rPr>
        <b/>
        <sz val="9"/>
        <rFont val="Arial"/>
        <family val="2"/>
      </rPr>
      <t xml:space="preserve">120x95
</t>
    </r>
    <r>
      <rPr>
        <b/>
        <sz val="9"/>
        <rFont val="宋体"/>
        <family val="3"/>
        <charset val="134"/>
      </rPr>
      <t>（</t>
    </r>
    <r>
      <rPr>
        <b/>
        <sz val="9"/>
        <rFont val="Arial"/>
        <family val="2"/>
      </rPr>
      <t>2.75</t>
    </r>
    <r>
      <rPr>
        <b/>
        <sz val="9"/>
        <rFont val="宋体"/>
        <family val="3"/>
        <charset val="134"/>
      </rPr>
      <t>）</t>
    </r>
  </si>
  <si>
    <r>
      <rPr>
        <b/>
        <sz val="9"/>
        <rFont val="Arial"/>
        <family val="2"/>
      </rPr>
      <t xml:space="preserve">120x95
</t>
    </r>
    <r>
      <rPr>
        <b/>
        <sz val="9"/>
        <rFont val="宋体"/>
        <family val="3"/>
        <charset val="134"/>
      </rPr>
      <t>（</t>
    </r>
    <r>
      <rPr>
        <b/>
        <sz val="9"/>
        <rFont val="Arial"/>
        <family val="2"/>
      </rPr>
      <t>2.7</t>
    </r>
    <r>
      <rPr>
        <b/>
        <sz val="9"/>
        <rFont val="宋体"/>
        <family val="3"/>
        <charset val="134"/>
      </rPr>
      <t>）</t>
    </r>
  </si>
  <si>
    <r>
      <rPr>
        <b/>
        <sz val="9"/>
        <rFont val="Arial"/>
        <family val="2"/>
      </rPr>
      <t xml:space="preserve">120x95
</t>
    </r>
    <r>
      <rPr>
        <b/>
        <sz val="9"/>
        <rFont val="宋体"/>
        <family val="3"/>
        <charset val="134"/>
      </rPr>
      <t>（</t>
    </r>
    <r>
      <rPr>
        <b/>
        <sz val="9"/>
        <rFont val="Arial"/>
        <family val="2"/>
      </rPr>
      <t>2.5</t>
    </r>
    <r>
      <rPr>
        <b/>
        <sz val="9"/>
        <rFont val="宋体"/>
        <family val="3"/>
        <charset val="134"/>
      </rPr>
      <t>）</t>
    </r>
  </si>
  <si>
    <r>
      <rPr>
        <b/>
        <sz val="9"/>
        <rFont val="Arial"/>
        <family val="2"/>
      </rPr>
      <t xml:space="preserve">120x95
</t>
    </r>
    <r>
      <rPr>
        <b/>
        <sz val="9"/>
        <rFont val="宋体"/>
        <family val="3"/>
        <charset val="134"/>
      </rPr>
      <t>（</t>
    </r>
    <r>
      <rPr>
        <b/>
        <sz val="9"/>
        <rFont val="Arial"/>
        <family val="2"/>
      </rPr>
      <t>2.3</t>
    </r>
    <r>
      <rPr>
        <b/>
        <sz val="9"/>
        <rFont val="宋体"/>
        <family val="3"/>
        <charset val="134"/>
      </rPr>
      <t>）</t>
    </r>
  </si>
  <si>
    <t>COLBY MAXI</t>
  </si>
  <si>
    <t>88*70 (2.0)</t>
  </si>
  <si>
    <t>1st beam</t>
  </si>
  <si>
    <t>Z / X</t>
  </si>
  <si>
    <t>Heavy duty</t>
  </si>
  <si>
    <r>
      <rPr>
        <sz val="11"/>
        <color theme="1"/>
        <rFont val="Arial"/>
        <family val="2"/>
      </rPr>
      <t>D</t>
    </r>
    <r>
      <rPr>
        <sz val="11"/>
        <color indexed="8"/>
        <rFont val="宋体"/>
        <family val="3"/>
        <charset val="134"/>
      </rPr>
      <t>型</t>
    </r>
  </si>
  <si>
    <r>
      <rPr>
        <sz val="11"/>
        <color theme="1"/>
        <rFont val="Arial"/>
        <family val="2"/>
      </rPr>
      <t>Z</t>
    </r>
    <r>
      <rPr>
        <sz val="11"/>
        <color indexed="8"/>
        <rFont val="宋体"/>
        <family val="3"/>
        <charset val="134"/>
      </rPr>
      <t>型</t>
    </r>
  </si>
  <si>
    <r>
      <rPr>
        <sz val="11"/>
        <color indexed="8"/>
        <rFont val="宋体"/>
        <family val="3"/>
        <charset val="134"/>
      </rPr>
      <t>长度</t>
    </r>
    <r>
      <rPr>
        <sz val="11"/>
        <color indexed="8"/>
        <rFont val="Arial"/>
        <family val="2"/>
      </rPr>
      <t>mm</t>
    </r>
  </si>
  <si>
    <r>
      <rPr>
        <sz val="11"/>
        <color indexed="8"/>
        <rFont val="宋体"/>
        <family val="3"/>
        <charset val="134"/>
      </rPr>
      <t>数量</t>
    </r>
    <r>
      <rPr>
        <sz val="11"/>
        <color indexed="8"/>
        <rFont val="Arial"/>
        <family val="2"/>
      </rPr>
      <t>Pcs</t>
    </r>
  </si>
  <si>
    <r>
      <rPr>
        <sz val="11"/>
        <color indexed="8"/>
        <rFont val="宋体"/>
        <family val="3"/>
        <charset val="134"/>
      </rPr>
      <t>增加数量</t>
    </r>
    <r>
      <rPr>
        <sz val="11"/>
        <color indexed="8"/>
        <rFont val="Arial"/>
        <family val="2"/>
      </rPr>
      <t>Pcs</t>
    </r>
  </si>
  <si>
    <t>90x70</t>
  </si>
  <si>
    <t>第一层横梁高度</t>
  </si>
  <si>
    <t>Depth</t>
  </si>
  <si>
    <t>参数1</t>
  </si>
  <si>
    <t>参数2</t>
  </si>
  <si>
    <t>参数3</t>
  </si>
  <si>
    <t>H bracing</t>
  </si>
  <si>
    <t>24x35x1.5t</t>
  </si>
  <si>
    <t>D bracing</t>
  </si>
  <si>
    <r>
      <rPr>
        <sz val="11"/>
        <color theme="1"/>
        <rFont val="Arial"/>
        <family val="2"/>
      </rPr>
      <t>110</t>
    </r>
    <r>
      <rPr>
        <sz val="11"/>
        <color theme="1"/>
        <rFont val="宋体"/>
        <family val="3"/>
        <charset val="134"/>
      </rPr>
      <t>变109</t>
    </r>
  </si>
  <si>
    <t>Longspan</t>
  </si>
  <si>
    <t>55x47x1.5t</t>
  </si>
  <si>
    <t>18x30</t>
  </si>
  <si>
    <t>900-862</t>
  </si>
  <si>
    <t>600-562</t>
  </si>
  <si>
    <r>
      <rPr>
        <b/>
        <sz val="11"/>
        <color indexed="8"/>
        <rFont val="等线"/>
        <family val="3"/>
        <charset val="134"/>
      </rPr>
      <t>采购使用名称</t>
    </r>
    <r>
      <rPr>
        <b/>
        <sz val="11"/>
        <color indexed="8"/>
        <rFont val="Arial"/>
        <family val="2"/>
      </rPr>
      <t>/</t>
    </r>
    <r>
      <rPr>
        <b/>
        <sz val="11"/>
        <color indexed="8"/>
        <rFont val="等线"/>
        <family val="3"/>
        <charset val="134"/>
      </rPr>
      <t>规格</t>
    </r>
  </si>
  <si>
    <t>技术使用规格</t>
  </si>
  <si>
    <t>螺栓规格</t>
  </si>
  <si>
    <t>报价用价格</t>
  </si>
  <si>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M20*40</t>
    </r>
    <r>
      <rPr>
        <sz val="11"/>
        <color theme="1"/>
        <rFont val="宋体"/>
        <family val="3"/>
        <charset val="134"/>
      </rPr>
      <t>（配</t>
    </r>
    <r>
      <rPr>
        <sz val="11"/>
        <color theme="1"/>
        <rFont val="Arial"/>
        <family val="2"/>
      </rPr>
      <t>1</t>
    </r>
    <r>
      <rPr>
        <sz val="11"/>
        <color theme="1"/>
        <rFont val="宋体"/>
        <family val="3"/>
        <charset val="134"/>
      </rPr>
      <t>螺母</t>
    </r>
    <r>
      <rPr>
        <sz val="11"/>
        <color theme="1"/>
        <rFont val="Arial"/>
        <family val="2"/>
      </rPr>
      <t>+1</t>
    </r>
    <r>
      <rPr>
        <sz val="11"/>
        <color theme="1"/>
        <rFont val="宋体"/>
        <family val="3"/>
        <charset val="134"/>
      </rPr>
      <t>平垫</t>
    </r>
    <r>
      <rPr>
        <sz val="11"/>
        <color theme="1"/>
        <rFont val="Arial"/>
        <family val="2"/>
      </rPr>
      <t>+1</t>
    </r>
    <r>
      <rPr>
        <sz val="11"/>
        <color theme="1"/>
        <rFont val="宋体"/>
        <family val="3"/>
        <charset val="134"/>
      </rPr>
      <t>弹垫）</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</si>
  <si>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M20*50</t>
    </r>
    <r>
      <rPr>
        <sz val="11"/>
        <color theme="1"/>
        <rFont val="宋体"/>
        <family val="3"/>
        <charset val="134"/>
      </rPr>
      <t>（配</t>
    </r>
    <r>
      <rPr>
        <sz val="11"/>
        <color theme="1"/>
        <rFont val="Arial"/>
        <family val="2"/>
      </rPr>
      <t>1</t>
    </r>
    <r>
      <rPr>
        <sz val="11"/>
        <color theme="1"/>
        <rFont val="宋体"/>
        <family val="3"/>
        <charset val="134"/>
      </rPr>
      <t>螺母</t>
    </r>
    <r>
      <rPr>
        <sz val="11"/>
        <color theme="1"/>
        <rFont val="Arial"/>
        <family val="2"/>
      </rPr>
      <t>+1</t>
    </r>
    <r>
      <rPr>
        <sz val="11"/>
        <color theme="1"/>
        <rFont val="宋体"/>
        <family val="3"/>
        <charset val="134"/>
      </rPr>
      <t>平垫</t>
    </r>
    <r>
      <rPr>
        <sz val="11"/>
        <color theme="1"/>
        <rFont val="Arial"/>
        <family val="2"/>
      </rPr>
      <t>+1</t>
    </r>
    <r>
      <rPr>
        <sz val="11"/>
        <color theme="1"/>
        <rFont val="宋体"/>
        <family val="3"/>
        <charset val="134"/>
      </rPr>
      <t>弹垫）</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</si>
  <si>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M14*90</t>
    </r>
    <r>
      <rPr>
        <sz val="11"/>
        <color theme="1"/>
        <rFont val="宋体"/>
        <family val="3"/>
        <charset val="134"/>
      </rPr>
      <t>（配</t>
    </r>
    <r>
      <rPr>
        <sz val="11"/>
        <color theme="1"/>
        <rFont val="Arial"/>
        <family val="2"/>
      </rPr>
      <t>1</t>
    </r>
    <r>
      <rPr>
        <sz val="11"/>
        <color theme="1"/>
        <rFont val="宋体"/>
        <family val="3"/>
        <charset val="134"/>
      </rPr>
      <t>螺母</t>
    </r>
    <r>
      <rPr>
        <sz val="11"/>
        <color theme="1"/>
        <rFont val="Arial"/>
        <family val="2"/>
      </rPr>
      <t>+1</t>
    </r>
    <r>
      <rPr>
        <sz val="11"/>
        <color theme="1"/>
        <rFont val="宋体"/>
        <family val="3"/>
        <charset val="134"/>
      </rPr>
      <t>平垫</t>
    </r>
    <r>
      <rPr>
        <sz val="11"/>
        <color theme="1"/>
        <rFont val="Arial"/>
        <family val="2"/>
      </rPr>
      <t>+1</t>
    </r>
    <r>
      <rPr>
        <sz val="11"/>
        <color theme="1"/>
        <rFont val="宋体"/>
        <family val="3"/>
        <charset val="134"/>
      </rPr>
      <t>弹垫）</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</si>
  <si>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M16*35</t>
    </r>
    <r>
      <rPr>
        <sz val="11"/>
        <color theme="1"/>
        <rFont val="等线"/>
        <family val="3"/>
        <charset val="134"/>
      </rPr>
      <t>（配</t>
    </r>
    <r>
      <rPr>
        <sz val="11"/>
        <color theme="1"/>
        <rFont val="Arial"/>
        <family val="2"/>
      </rPr>
      <t>1</t>
    </r>
    <r>
      <rPr>
        <sz val="11"/>
        <color theme="1"/>
        <rFont val="等线"/>
        <family val="3"/>
        <charset val="134"/>
      </rPr>
      <t>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</si>
  <si>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M10*110</t>
    </r>
    <r>
      <rPr>
        <sz val="11"/>
        <color theme="1"/>
        <rFont val="等线"/>
        <family val="3"/>
        <charset val="134"/>
      </rPr>
      <t>（配</t>
    </r>
    <r>
      <rPr>
        <sz val="11"/>
        <color theme="1"/>
        <rFont val="Arial"/>
        <family val="2"/>
      </rPr>
      <t>1</t>
    </r>
    <r>
      <rPr>
        <sz val="11"/>
        <color theme="1"/>
        <rFont val="宋体"/>
        <family val="3"/>
        <charset val="134"/>
      </rPr>
      <t>防滑尼龙</t>
    </r>
    <r>
      <rPr>
        <sz val="11"/>
        <color theme="1"/>
        <rFont val="等线"/>
        <family val="3"/>
        <charset val="134"/>
      </rPr>
      <t>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</si>
  <si>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M10*80</t>
    </r>
    <r>
      <rPr>
        <sz val="11"/>
        <color theme="1"/>
        <rFont val="等线"/>
        <family val="3"/>
        <charset val="134"/>
      </rPr>
      <t>（配</t>
    </r>
    <r>
      <rPr>
        <sz val="11"/>
        <color theme="1"/>
        <rFont val="Arial"/>
        <family val="2"/>
      </rPr>
      <t>1</t>
    </r>
    <r>
      <rPr>
        <sz val="11"/>
        <color theme="1"/>
        <rFont val="宋体"/>
        <family val="3"/>
        <charset val="134"/>
      </rPr>
      <t>防滑尼龙</t>
    </r>
    <r>
      <rPr>
        <sz val="11"/>
        <color theme="1"/>
        <rFont val="等线"/>
        <family val="3"/>
        <charset val="134"/>
      </rPr>
      <t>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</si>
  <si>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M10*20</t>
    </r>
    <r>
      <rPr>
        <sz val="11"/>
        <color theme="1"/>
        <rFont val="等线"/>
        <family val="3"/>
        <charset val="134"/>
      </rPr>
      <t>（配</t>
    </r>
    <r>
      <rPr>
        <sz val="11"/>
        <color theme="1"/>
        <rFont val="Arial"/>
        <family val="2"/>
      </rPr>
      <t>1</t>
    </r>
    <r>
      <rPr>
        <sz val="11"/>
        <color theme="1"/>
        <rFont val="宋体"/>
        <family val="3"/>
        <charset val="134"/>
      </rPr>
      <t>法兰</t>
    </r>
    <r>
      <rPr>
        <sz val="11"/>
        <color theme="1"/>
        <rFont val="等线"/>
        <family val="3"/>
        <charset val="134"/>
      </rPr>
      <t>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</si>
  <si>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M12*120</t>
    </r>
    <r>
      <rPr>
        <sz val="11"/>
        <color theme="1"/>
        <rFont val="等线"/>
        <family val="3"/>
        <charset val="134"/>
      </rPr>
      <t>（配</t>
    </r>
    <r>
      <rPr>
        <sz val="11"/>
        <color theme="1"/>
        <rFont val="Arial"/>
        <family val="2"/>
      </rPr>
      <t>1</t>
    </r>
    <r>
      <rPr>
        <sz val="11"/>
        <color theme="1"/>
        <rFont val="等线"/>
        <family val="3"/>
        <charset val="134"/>
      </rPr>
      <t>螺母</t>
    </r>
    <r>
      <rPr>
        <sz val="11"/>
        <color theme="1"/>
        <rFont val="Arial"/>
        <family val="2"/>
      </rPr>
      <t>+1</t>
    </r>
    <r>
      <rPr>
        <sz val="11"/>
        <color theme="1"/>
        <rFont val="宋体"/>
        <family val="3"/>
        <charset val="134"/>
      </rPr>
      <t>平垫</t>
    </r>
    <r>
      <rPr>
        <sz val="11"/>
        <color theme="1"/>
        <rFont val="Arial"/>
        <family val="2"/>
      </rPr>
      <t>+1</t>
    </r>
    <r>
      <rPr>
        <sz val="11"/>
        <color theme="1"/>
        <rFont val="等线"/>
        <family val="3"/>
        <charset val="134"/>
      </rPr>
      <t>弹垫）</t>
    </r>
  </si>
  <si>
    <t>M12×100</t>
  </si>
  <si>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M12*130</t>
    </r>
    <r>
      <rPr>
        <sz val="11"/>
        <color theme="1"/>
        <rFont val="等线"/>
        <family val="3"/>
        <charset val="134"/>
      </rPr>
      <t>（配</t>
    </r>
    <r>
      <rPr>
        <sz val="11"/>
        <color theme="1"/>
        <rFont val="Arial"/>
        <family val="2"/>
      </rPr>
      <t>1</t>
    </r>
    <r>
      <rPr>
        <sz val="11"/>
        <color theme="1"/>
        <rFont val="等线"/>
        <family val="3"/>
        <charset val="134"/>
      </rPr>
      <t>螺母</t>
    </r>
    <r>
      <rPr>
        <sz val="11"/>
        <color theme="1"/>
        <rFont val="Arial"/>
        <family val="2"/>
      </rPr>
      <t>+1</t>
    </r>
    <r>
      <rPr>
        <sz val="11"/>
        <color theme="1"/>
        <rFont val="宋体"/>
        <family val="3"/>
        <charset val="134"/>
      </rPr>
      <t>平垫</t>
    </r>
    <r>
      <rPr>
        <sz val="11"/>
        <color theme="1"/>
        <rFont val="Arial"/>
        <family val="2"/>
      </rPr>
      <t>+1</t>
    </r>
    <r>
      <rPr>
        <sz val="11"/>
        <color theme="1"/>
        <rFont val="等线"/>
        <family val="3"/>
        <charset val="134"/>
      </rPr>
      <t>弹垫）</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</si>
  <si>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M12*130</t>
    </r>
    <r>
      <rPr>
        <sz val="11"/>
        <color theme="1"/>
        <rFont val="等线"/>
        <family val="3"/>
        <charset val="134"/>
      </rPr>
      <t>（配</t>
    </r>
    <r>
      <rPr>
        <sz val="11"/>
        <color theme="1"/>
        <rFont val="Arial"/>
        <family val="2"/>
      </rPr>
      <t>1</t>
    </r>
    <r>
      <rPr>
        <sz val="11"/>
        <color theme="1"/>
        <rFont val="等线"/>
        <family val="3"/>
        <charset val="134"/>
      </rPr>
      <t>螺母</t>
    </r>
    <r>
      <rPr>
        <sz val="11"/>
        <color theme="1"/>
        <rFont val="Arial"/>
        <family val="2"/>
      </rPr>
      <t>+1</t>
    </r>
    <r>
      <rPr>
        <sz val="11"/>
        <color theme="1"/>
        <rFont val="宋体"/>
        <family val="3"/>
        <charset val="134"/>
      </rPr>
      <t>平垫</t>
    </r>
    <r>
      <rPr>
        <sz val="11"/>
        <color theme="1"/>
        <rFont val="Arial"/>
        <family val="2"/>
      </rPr>
      <t>+1</t>
    </r>
    <r>
      <rPr>
        <sz val="11"/>
        <color theme="1"/>
        <rFont val="等线"/>
        <family val="3"/>
        <charset val="134"/>
      </rPr>
      <t>弹垫）</t>
    </r>
    <r>
      <rPr>
        <b/>
        <sz val="11"/>
        <color rgb="FFFF0000"/>
        <rFont val="等线"/>
        <family val="3"/>
        <charset val="134"/>
      </rPr>
      <t>热镀锌</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</si>
  <si>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M12*150</t>
    </r>
    <r>
      <rPr>
        <sz val="11"/>
        <color theme="1"/>
        <rFont val="等线"/>
        <family val="3"/>
        <charset val="134"/>
      </rPr>
      <t>（配</t>
    </r>
    <r>
      <rPr>
        <sz val="11"/>
        <color theme="1"/>
        <rFont val="Arial"/>
        <family val="2"/>
      </rPr>
      <t>1</t>
    </r>
    <r>
      <rPr>
        <sz val="11"/>
        <color theme="1"/>
        <rFont val="等线"/>
        <family val="3"/>
        <charset val="134"/>
      </rPr>
      <t>螺母</t>
    </r>
    <r>
      <rPr>
        <sz val="11"/>
        <color theme="1"/>
        <rFont val="Arial"/>
        <family val="2"/>
      </rPr>
      <t>+1</t>
    </r>
    <r>
      <rPr>
        <sz val="11"/>
        <color theme="1"/>
        <rFont val="宋体"/>
        <family val="3"/>
        <charset val="134"/>
      </rPr>
      <t>平垫</t>
    </r>
    <r>
      <rPr>
        <sz val="11"/>
        <color theme="1"/>
        <rFont val="Arial"/>
        <family val="2"/>
      </rPr>
      <t>+1</t>
    </r>
    <r>
      <rPr>
        <sz val="11"/>
        <color theme="1"/>
        <rFont val="等线"/>
        <family val="3"/>
        <charset val="134"/>
      </rPr>
      <t>弹垫）</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</si>
  <si>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M10*30</t>
    </r>
    <r>
      <rPr>
        <sz val="11"/>
        <color theme="1"/>
        <rFont val="宋体"/>
        <family val="3"/>
        <charset val="134"/>
      </rPr>
      <t>（配</t>
    </r>
    <r>
      <rPr>
        <sz val="11"/>
        <color theme="1"/>
        <rFont val="Arial"/>
        <family val="2"/>
      </rPr>
      <t>1</t>
    </r>
    <r>
      <rPr>
        <sz val="11"/>
        <color theme="1"/>
        <rFont val="宋体"/>
        <family val="3"/>
        <charset val="134"/>
      </rPr>
      <t>螺母</t>
    </r>
    <r>
      <rPr>
        <sz val="11"/>
        <color theme="1"/>
        <rFont val="Arial"/>
        <family val="2"/>
      </rPr>
      <t>+1</t>
    </r>
    <r>
      <rPr>
        <sz val="11"/>
        <color theme="1"/>
        <rFont val="宋体"/>
        <family val="3"/>
        <charset val="134"/>
      </rPr>
      <t>平垫</t>
    </r>
    <r>
      <rPr>
        <sz val="11"/>
        <color theme="1"/>
        <rFont val="Arial"/>
        <family val="2"/>
      </rPr>
      <t>+1</t>
    </r>
    <r>
      <rPr>
        <sz val="11"/>
        <color theme="1"/>
        <rFont val="宋体"/>
        <family val="3"/>
        <charset val="134"/>
      </rPr>
      <t>弹垫）</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</si>
  <si>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M10*30</t>
    </r>
    <r>
      <rPr>
        <sz val="11"/>
        <color theme="1"/>
        <rFont val="宋体"/>
        <family val="3"/>
        <charset val="134"/>
      </rPr>
      <t>（配</t>
    </r>
    <r>
      <rPr>
        <sz val="11"/>
        <color theme="1"/>
        <rFont val="Arial"/>
        <family val="2"/>
      </rPr>
      <t>1</t>
    </r>
    <r>
      <rPr>
        <sz val="11"/>
        <color theme="1"/>
        <rFont val="宋体"/>
        <family val="3"/>
        <charset val="134"/>
      </rPr>
      <t>螺母</t>
    </r>
    <r>
      <rPr>
        <sz val="11"/>
        <color theme="1"/>
        <rFont val="Arial"/>
        <family val="2"/>
      </rPr>
      <t>+1</t>
    </r>
    <r>
      <rPr>
        <sz val="11"/>
        <color theme="1"/>
        <rFont val="宋体"/>
        <family val="3"/>
        <charset val="134"/>
      </rPr>
      <t>平垫</t>
    </r>
    <r>
      <rPr>
        <sz val="11"/>
        <color theme="1"/>
        <rFont val="Arial"/>
        <family val="2"/>
      </rPr>
      <t>+1</t>
    </r>
    <r>
      <rPr>
        <sz val="11"/>
        <color theme="1"/>
        <rFont val="宋体"/>
        <family val="3"/>
        <charset val="134"/>
      </rPr>
      <t>弹垫）</t>
    </r>
    <r>
      <rPr>
        <b/>
        <sz val="11"/>
        <color rgb="FFFF0000"/>
        <rFont val="宋体"/>
        <family val="3"/>
        <charset val="134"/>
      </rPr>
      <t>热镀锌</t>
    </r>
  </si>
  <si>
    <t>M10×30  8.8G  HDG</t>
  </si>
  <si>
    <r>
      <rPr>
        <sz val="11"/>
        <color theme="1"/>
        <rFont val="宋体"/>
        <family val="3"/>
        <charset val="134"/>
      </rPr>
      <t>车修外膨胀</t>
    </r>
    <r>
      <rPr>
        <sz val="11"/>
        <color theme="1"/>
        <rFont val="等线"/>
        <family val="3"/>
        <charset val="134"/>
      </rPr>
      <t>螺栓</t>
    </r>
    <r>
      <rPr>
        <sz val="11"/>
        <color theme="1"/>
        <rFont val="宋体"/>
        <family val="3"/>
        <charset val="134"/>
      </rPr>
      <t>：</t>
    </r>
    <r>
      <rPr>
        <sz val="11"/>
        <color theme="1"/>
        <rFont val="Arial"/>
        <family val="2"/>
      </rPr>
      <t>M8*100</t>
    </r>
  </si>
  <si>
    <r>
      <rPr>
        <sz val="11"/>
        <color theme="1"/>
        <rFont val="宋体"/>
        <family val="3"/>
        <charset val="134"/>
      </rPr>
      <t>车修外膨胀</t>
    </r>
    <r>
      <rPr>
        <sz val="11"/>
        <color theme="1"/>
        <rFont val="等线"/>
        <family val="3"/>
        <charset val="134"/>
      </rPr>
      <t>螺栓</t>
    </r>
    <r>
      <rPr>
        <sz val="11"/>
        <color theme="1"/>
        <rFont val="宋体"/>
        <family val="3"/>
        <charset val="134"/>
      </rPr>
      <t>：</t>
    </r>
    <r>
      <rPr>
        <sz val="11"/>
        <color theme="1"/>
        <rFont val="Arial"/>
        <family val="2"/>
      </rPr>
      <t>M10*80</t>
    </r>
  </si>
  <si>
    <t>Anc.M10.L100</t>
  </si>
  <si>
    <r>
      <rPr>
        <sz val="11"/>
        <color theme="1"/>
        <rFont val="宋体"/>
        <family val="3"/>
        <charset val="134"/>
      </rPr>
      <t>车修外膨胀</t>
    </r>
    <r>
      <rPr>
        <sz val="11"/>
        <color theme="1"/>
        <rFont val="等线"/>
        <family val="3"/>
        <charset val="134"/>
      </rPr>
      <t>螺栓</t>
    </r>
    <r>
      <rPr>
        <sz val="11"/>
        <color theme="1"/>
        <rFont val="宋体"/>
        <family val="3"/>
        <charset val="134"/>
      </rPr>
      <t>：</t>
    </r>
    <r>
      <rPr>
        <sz val="11"/>
        <color theme="1"/>
        <rFont val="Arial"/>
        <family val="2"/>
      </rPr>
      <t>M12*100</t>
    </r>
  </si>
  <si>
    <r>
      <rPr>
        <sz val="11"/>
        <color theme="1"/>
        <rFont val="宋体"/>
        <family val="3"/>
        <charset val="134"/>
      </rPr>
      <t>内膨胀</t>
    </r>
    <r>
      <rPr>
        <sz val="11"/>
        <color theme="1"/>
        <rFont val="等线"/>
        <family val="3"/>
        <charset val="134"/>
      </rPr>
      <t>螺栓</t>
    </r>
    <r>
      <rPr>
        <sz val="11"/>
        <color theme="1"/>
        <rFont val="宋体"/>
        <family val="3"/>
        <charset val="134"/>
      </rPr>
      <t>：</t>
    </r>
    <r>
      <rPr>
        <sz val="11"/>
        <color theme="1"/>
        <rFont val="Arial"/>
        <family val="2"/>
      </rPr>
      <t>M12*100</t>
    </r>
  </si>
  <si>
    <r>
      <rPr>
        <sz val="11"/>
        <color theme="1"/>
        <rFont val="宋体"/>
        <family val="3"/>
        <charset val="134"/>
      </rPr>
      <t>不锈钢车修外膨胀</t>
    </r>
    <r>
      <rPr>
        <sz val="11"/>
        <color theme="1"/>
        <rFont val="等线"/>
        <family val="3"/>
        <charset val="134"/>
      </rPr>
      <t>螺栓</t>
    </r>
    <r>
      <rPr>
        <sz val="11"/>
        <color theme="1"/>
        <rFont val="宋体"/>
        <family val="3"/>
        <charset val="134"/>
      </rPr>
      <t>：</t>
    </r>
    <r>
      <rPr>
        <sz val="11"/>
        <color theme="1"/>
        <rFont val="Arial"/>
        <family val="2"/>
      </rPr>
      <t>M12*100</t>
    </r>
  </si>
  <si>
    <r>
      <rPr>
        <sz val="11"/>
        <color theme="1"/>
        <rFont val="宋体"/>
        <family val="3"/>
        <charset val="134"/>
      </rPr>
      <t>车修外膨胀</t>
    </r>
    <r>
      <rPr>
        <sz val="11"/>
        <color theme="1"/>
        <rFont val="等线"/>
        <family val="3"/>
        <charset val="134"/>
      </rPr>
      <t>螺栓</t>
    </r>
    <r>
      <rPr>
        <sz val="11"/>
        <color theme="1"/>
        <rFont val="宋体"/>
        <family val="3"/>
        <charset val="134"/>
      </rPr>
      <t>：</t>
    </r>
    <r>
      <rPr>
        <sz val="11"/>
        <color theme="1"/>
        <rFont val="Arial"/>
        <family val="2"/>
      </rPr>
      <t>M12*150</t>
    </r>
  </si>
  <si>
    <r>
      <rPr>
        <sz val="11"/>
        <color theme="1"/>
        <rFont val="宋体"/>
        <family val="3"/>
        <charset val="134"/>
      </rPr>
      <t>车修外膨胀</t>
    </r>
    <r>
      <rPr>
        <sz val="11"/>
        <color theme="1"/>
        <rFont val="等线"/>
        <family val="3"/>
        <charset val="134"/>
      </rPr>
      <t>螺栓</t>
    </r>
    <r>
      <rPr>
        <sz val="11"/>
        <color theme="1"/>
        <rFont val="宋体"/>
        <family val="3"/>
        <charset val="134"/>
      </rPr>
      <t>：</t>
    </r>
    <r>
      <rPr>
        <sz val="11"/>
        <color theme="1"/>
        <rFont val="Arial"/>
        <family val="2"/>
      </rPr>
      <t>M16*100</t>
    </r>
  </si>
  <si>
    <r>
      <rPr>
        <sz val="11"/>
        <color theme="1"/>
        <rFont val="宋体"/>
        <family val="3"/>
        <charset val="134"/>
      </rPr>
      <t>车修外膨胀</t>
    </r>
    <r>
      <rPr>
        <sz val="11"/>
        <color theme="1"/>
        <rFont val="等线"/>
        <family val="3"/>
        <charset val="134"/>
      </rPr>
      <t>螺栓</t>
    </r>
    <r>
      <rPr>
        <sz val="11"/>
        <color theme="1"/>
        <rFont val="宋体"/>
        <family val="3"/>
        <charset val="134"/>
      </rPr>
      <t>：</t>
    </r>
    <r>
      <rPr>
        <sz val="11"/>
        <color theme="1"/>
        <rFont val="Arial"/>
        <family val="2"/>
      </rPr>
      <t>M12*75</t>
    </r>
  </si>
  <si>
    <r>
      <rPr>
        <sz val="11"/>
        <color theme="1"/>
        <rFont val="宋体"/>
        <family val="3"/>
        <charset val="134"/>
      </rPr>
      <t>车修外膨胀</t>
    </r>
    <r>
      <rPr>
        <sz val="11"/>
        <color theme="1"/>
        <rFont val="等线"/>
        <family val="3"/>
        <charset val="134"/>
      </rPr>
      <t>螺栓</t>
    </r>
    <r>
      <rPr>
        <sz val="11"/>
        <color theme="1"/>
        <rFont val="宋体"/>
        <family val="3"/>
        <charset val="134"/>
      </rPr>
      <t>：</t>
    </r>
    <r>
      <rPr>
        <sz val="11"/>
        <color theme="1"/>
        <rFont val="Arial"/>
        <family val="2"/>
      </rPr>
      <t>M12*120</t>
    </r>
  </si>
  <si>
    <r>
      <rPr>
        <sz val="11"/>
        <color theme="1"/>
        <rFont val="宋体"/>
        <family val="3"/>
        <charset val="134"/>
      </rPr>
      <t>车修外膨胀</t>
    </r>
    <r>
      <rPr>
        <sz val="11"/>
        <color theme="1"/>
        <rFont val="等线"/>
        <family val="3"/>
        <charset val="134"/>
      </rPr>
      <t>螺栓</t>
    </r>
    <r>
      <rPr>
        <sz val="11"/>
        <color theme="1"/>
        <rFont val="宋体"/>
        <family val="3"/>
        <charset val="134"/>
      </rPr>
      <t>：</t>
    </r>
    <r>
      <rPr>
        <sz val="11"/>
        <color theme="1"/>
        <rFont val="Arial"/>
        <family val="2"/>
      </rPr>
      <t>M16*130</t>
    </r>
  </si>
  <si>
    <r>
      <rPr>
        <sz val="11"/>
        <color theme="1"/>
        <rFont val="宋体"/>
        <family val="3"/>
        <charset val="134"/>
      </rPr>
      <t>车修外膨胀</t>
    </r>
    <r>
      <rPr>
        <sz val="11"/>
        <color theme="1"/>
        <rFont val="等线"/>
        <family val="3"/>
        <charset val="134"/>
      </rPr>
      <t>螺栓</t>
    </r>
    <r>
      <rPr>
        <sz val="11"/>
        <color theme="1"/>
        <rFont val="宋体"/>
        <family val="3"/>
        <charset val="134"/>
      </rPr>
      <t>：</t>
    </r>
    <r>
      <rPr>
        <sz val="11"/>
        <color theme="1"/>
        <rFont val="Arial"/>
        <family val="2"/>
      </rPr>
      <t>M16*140</t>
    </r>
  </si>
  <si>
    <r>
      <rPr>
        <sz val="11"/>
        <color theme="1"/>
        <rFont val="宋体"/>
        <family val="3"/>
        <charset val="134"/>
      </rPr>
      <t>车修外膨胀</t>
    </r>
    <r>
      <rPr>
        <sz val="11"/>
        <color theme="1"/>
        <rFont val="等线"/>
        <family val="3"/>
        <charset val="134"/>
      </rPr>
      <t>螺栓</t>
    </r>
    <r>
      <rPr>
        <sz val="11"/>
        <color theme="1"/>
        <rFont val="宋体"/>
        <family val="3"/>
        <charset val="134"/>
      </rPr>
      <t>：</t>
    </r>
    <r>
      <rPr>
        <sz val="11"/>
        <color theme="1"/>
        <rFont val="Arial"/>
        <family val="2"/>
      </rPr>
      <t xml:space="preserve">M16*100  </t>
    </r>
    <r>
      <rPr>
        <b/>
        <sz val="11"/>
        <color rgb="FFFF0000"/>
        <rFont val="宋体"/>
        <family val="3"/>
        <charset val="134"/>
      </rPr>
      <t>热镀锌</t>
    </r>
  </si>
  <si>
    <r>
      <rPr>
        <sz val="11"/>
        <color theme="1"/>
        <rFont val="宋体"/>
        <family val="3"/>
        <charset val="134"/>
      </rPr>
      <t>车修外膨胀</t>
    </r>
    <r>
      <rPr>
        <sz val="11"/>
        <color theme="1"/>
        <rFont val="等线"/>
        <family val="3"/>
        <charset val="134"/>
      </rPr>
      <t>螺栓</t>
    </r>
    <r>
      <rPr>
        <sz val="11"/>
        <color theme="1"/>
        <rFont val="宋体"/>
        <family val="3"/>
        <charset val="134"/>
      </rPr>
      <t>：</t>
    </r>
    <r>
      <rPr>
        <sz val="11"/>
        <color theme="1"/>
        <rFont val="Arial"/>
        <family val="2"/>
      </rPr>
      <t xml:space="preserve">M16*110  </t>
    </r>
    <r>
      <rPr>
        <b/>
        <sz val="11"/>
        <color rgb="FFFF0000"/>
        <rFont val="宋体"/>
        <family val="3"/>
        <charset val="134"/>
      </rPr>
      <t>热镀锌</t>
    </r>
  </si>
  <si>
    <r>
      <rPr>
        <sz val="11"/>
        <color theme="1"/>
        <rFont val="宋体"/>
        <family val="3"/>
        <charset val="134"/>
      </rPr>
      <t>圆柱销：</t>
    </r>
    <r>
      <rPr>
        <sz val="11"/>
        <color theme="1"/>
        <rFont val="Arial"/>
        <family val="2"/>
      </rPr>
      <t>Ø19.2*120</t>
    </r>
  </si>
  <si>
    <r>
      <rPr>
        <sz val="11"/>
        <color theme="1"/>
        <rFont val="Arial"/>
        <family val="2"/>
      </rPr>
      <t>R</t>
    </r>
    <r>
      <rPr>
        <sz val="11"/>
        <color theme="1"/>
        <rFont val="宋体"/>
        <family val="3"/>
        <charset val="134"/>
      </rPr>
      <t>销：</t>
    </r>
    <r>
      <rPr>
        <sz val="11"/>
        <color theme="1"/>
        <rFont val="Arial"/>
        <family val="2"/>
      </rPr>
      <t>Ø3.5*76</t>
    </r>
  </si>
  <si>
    <r>
      <rPr>
        <sz val="11"/>
        <color theme="1"/>
        <rFont val="宋体"/>
        <family val="3"/>
        <charset val="134"/>
      </rPr>
      <t>圆柱销：</t>
    </r>
    <r>
      <rPr>
        <sz val="11"/>
        <color theme="1"/>
        <rFont val="Arial"/>
        <family val="2"/>
      </rPr>
      <t>Ø16</t>
    </r>
    <r>
      <rPr>
        <sz val="11"/>
        <color theme="1"/>
        <rFont val="宋体"/>
        <family val="3"/>
        <charset val="134"/>
      </rPr>
      <t>（</t>
    </r>
    <r>
      <rPr>
        <sz val="11"/>
        <color theme="1"/>
        <rFont val="Arial"/>
        <family val="2"/>
      </rPr>
      <t>12</t>
    </r>
    <r>
      <rPr>
        <sz val="11"/>
        <color theme="1"/>
        <rFont val="宋体"/>
        <family val="3"/>
        <charset val="134"/>
      </rPr>
      <t>）</t>
    </r>
    <r>
      <rPr>
        <sz val="11"/>
        <color theme="1"/>
        <rFont val="Arial"/>
        <family val="2"/>
      </rPr>
      <t>*84</t>
    </r>
    <r>
      <rPr>
        <sz val="11"/>
        <color theme="1"/>
        <rFont val="宋体"/>
        <family val="3"/>
        <charset val="134"/>
      </rPr>
      <t>（圆柱</t>
    </r>
    <r>
      <rPr>
        <sz val="11"/>
        <color theme="1"/>
        <rFont val="Arial"/>
        <family val="2"/>
      </rPr>
      <t>1/3</t>
    </r>
    <r>
      <rPr>
        <sz val="11"/>
        <color theme="1"/>
        <rFont val="宋体"/>
        <family val="3"/>
        <charset val="134"/>
      </rPr>
      <t>磨扁）</t>
    </r>
  </si>
  <si>
    <r>
      <rPr>
        <sz val="11"/>
        <color theme="1"/>
        <rFont val="宋体"/>
        <family val="3"/>
        <charset val="134"/>
      </rPr>
      <t>开口销：</t>
    </r>
    <r>
      <rPr>
        <sz val="11"/>
        <color theme="1"/>
        <rFont val="Arial"/>
        <family val="2"/>
      </rPr>
      <t>Ø4*30</t>
    </r>
  </si>
  <si>
    <r>
      <rPr>
        <sz val="11"/>
        <color theme="1"/>
        <rFont val="宋体"/>
        <family val="3"/>
        <charset val="134"/>
      </rPr>
      <t>圆柱销：</t>
    </r>
    <r>
      <rPr>
        <sz val="11"/>
        <color theme="1"/>
        <rFont val="Arial"/>
        <family val="2"/>
      </rPr>
      <t>Ø16*84</t>
    </r>
  </si>
  <si>
    <r>
      <rPr>
        <sz val="11"/>
        <color theme="1"/>
        <rFont val="宋体"/>
        <family val="3"/>
        <charset val="134"/>
      </rPr>
      <t>圆柱销：</t>
    </r>
    <r>
      <rPr>
        <sz val="11"/>
        <color theme="1"/>
        <rFont val="Arial"/>
        <family val="2"/>
      </rPr>
      <t>Ø29*142</t>
    </r>
  </si>
  <si>
    <r>
      <rPr>
        <sz val="11"/>
        <color theme="1"/>
        <rFont val="宋体"/>
        <family val="3"/>
        <charset val="134"/>
      </rPr>
      <t>圆柱销：</t>
    </r>
    <r>
      <rPr>
        <sz val="11"/>
        <color theme="1"/>
        <rFont val="Arial"/>
        <family val="2"/>
      </rPr>
      <t>Ø29*142</t>
    </r>
    <r>
      <rPr>
        <sz val="11"/>
        <color theme="1"/>
        <rFont val="宋体"/>
        <family val="3"/>
        <charset val="134"/>
      </rPr>
      <t>（热镀锌）</t>
    </r>
  </si>
  <si>
    <r>
      <rPr>
        <sz val="11"/>
        <color theme="1"/>
        <rFont val="宋体"/>
        <family val="3"/>
        <charset val="134"/>
      </rPr>
      <t>环型销：</t>
    </r>
    <r>
      <rPr>
        <sz val="11"/>
        <color theme="1"/>
        <rFont val="Arial"/>
        <family val="2"/>
      </rPr>
      <t>Ø46*L46*6</t>
    </r>
  </si>
  <si>
    <r>
      <rPr>
        <sz val="11"/>
        <color theme="1"/>
        <rFont val="宋体"/>
        <family val="3"/>
        <charset val="134"/>
      </rPr>
      <t>环型销：</t>
    </r>
    <r>
      <rPr>
        <sz val="11"/>
        <color theme="1"/>
        <rFont val="Arial"/>
        <family val="2"/>
      </rPr>
      <t>Ø46*L46*6</t>
    </r>
    <r>
      <rPr>
        <sz val="11"/>
        <color theme="1"/>
        <rFont val="宋体"/>
        <family val="3"/>
        <charset val="134"/>
      </rPr>
      <t>（镀达克罗）</t>
    </r>
  </si>
  <si>
    <r>
      <rPr>
        <sz val="12"/>
        <color theme="1"/>
        <rFont val="宋体"/>
        <family val="3"/>
        <charset val="134"/>
      </rPr>
      <t>O</t>
    </r>
    <r>
      <rPr>
        <sz val="11"/>
        <color theme="1"/>
        <rFont val="宋体"/>
        <family val="3"/>
        <charset val="134"/>
      </rPr>
      <t>型销：</t>
    </r>
    <r>
      <rPr>
        <sz val="11"/>
        <color theme="1"/>
        <rFont val="Arial"/>
        <family val="2"/>
      </rPr>
      <t>Ø40*L40*4.5</t>
    </r>
    <r>
      <rPr>
        <sz val="11"/>
        <color theme="1"/>
        <rFont val="宋体"/>
        <family val="3"/>
        <charset val="134"/>
      </rPr>
      <t>（镀锌）</t>
    </r>
  </si>
  <si>
    <r>
      <rPr>
        <sz val="12"/>
        <color theme="1"/>
        <rFont val="宋体"/>
        <family val="3"/>
        <charset val="134"/>
      </rPr>
      <t>O</t>
    </r>
    <r>
      <rPr>
        <sz val="11"/>
        <color theme="1"/>
        <rFont val="宋体"/>
        <family val="3"/>
        <charset val="134"/>
      </rPr>
      <t>型销：</t>
    </r>
    <r>
      <rPr>
        <sz val="11"/>
        <color theme="1"/>
        <rFont val="Arial"/>
        <family val="2"/>
      </rPr>
      <t>Ø40*4.5</t>
    </r>
    <r>
      <rPr>
        <sz val="11"/>
        <color theme="1"/>
        <rFont val="宋体"/>
        <family val="3"/>
        <charset val="134"/>
      </rPr>
      <t>（镀达克罗）</t>
    </r>
  </si>
  <si>
    <r>
      <rPr>
        <sz val="11"/>
        <color theme="1"/>
        <rFont val="宋体"/>
        <family val="3"/>
        <charset val="134"/>
      </rPr>
      <t>销钉：</t>
    </r>
    <r>
      <rPr>
        <sz val="11"/>
        <color theme="1"/>
        <rFont val="Arial"/>
        <family val="2"/>
      </rPr>
      <t>Ø50*141</t>
    </r>
    <r>
      <rPr>
        <sz val="11"/>
        <color theme="1"/>
        <rFont val="宋体"/>
        <family val="3"/>
        <charset val="134"/>
      </rPr>
      <t>（黑件）</t>
    </r>
  </si>
  <si>
    <r>
      <rPr>
        <sz val="11"/>
        <color theme="1"/>
        <rFont val="宋体"/>
        <family val="3"/>
        <charset val="134"/>
      </rPr>
      <t>轴套：</t>
    </r>
    <r>
      <rPr>
        <sz val="11"/>
        <color theme="1"/>
        <rFont val="Arial"/>
        <family val="2"/>
      </rPr>
      <t>Ø35.5*4.0*84</t>
    </r>
    <r>
      <rPr>
        <sz val="11"/>
        <color theme="1"/>
        <rFont val="宋体"/>
        <family val="3"/>
        <charset val="134"/>
      </rPr>
      <t>（黑件）</t>
    </r>
  </si>
  <si>
    <r>
      <rPr>
        <sz val="11"/>
        <color theme="1"/>
        <rFont val="宋体"/>
        <family val="3"/>
        <charset val="134"/>
      </rPr>
      <t>轴套：</t>
    </r>
    <r>
      <rPr>
        <sz val="11"/>
        <color theme="1"/>
        <rFont val="Arial"/>
        <family val="2"/>
      </rPr>
      <t>Ø25.5*4.0*48</t>
    </r>
    <r>
      <rPr>
        <sz val="11"/>
        <color theme="1"/>
        <rFont val="宋体"/>
        <family val="3"/>
        <charset val="134"/>
      </rPr>
      <t>（黑件）</t>
    </r>
  </si>
  <si>
    <r>
      <rPr>
        <sz val="11"/>
        <color theme="1"/>
        <rFont val="宋体"/>
        <family val="3"/>
        <charset val="134"/>
      </rPr>
      <t>酷比安全销</t>
    </r>
    <r>
      <rPr>
        <sz val="11"/>
        <color theme="1"/>
        <rFont val="Arial"/>
        <family val="2"/>
      </rPr>
      <t xml:space="preserve">         0.65</t>
    </r>
    <r>
      <rPr>
        <sz val="11"/>
        <color theme="1"/>
        <rFont val="宋体"/>
        <family val="3"/>
        <charset val="134"/>
      </rPr>
      <t>元</t>
    </r>
    <r>
      <rPr>
        <sz val="11"/>
        <color theme="1"/>
        <rFont val="Arial"/>
        <family val="2"/>
      </rPr>
      <t>/</t>
    </r>
    <r>
      <rPr>
        <sz val="11"/>
        <color theme="1"/>
        <rFont val="宋体"/>
        <family val="3"/>
        <charset val="134"/>
      </rPr>
      <t>只，起订量</t>
    </r>
    <r>
      <rPr>
        <sz val="11"/>
        <color theme="1"/>
        <rFont val="Arial"/>
        <family val="2"/>
      </rPr>
      <t>10000-12000</t>
    </r>
  </si>
  <si>
    <r>
      <rPr>
        <sz val="11"/>
        <color theme="1"/>
        <rFont val="宋体"/>
        <family val="3"/>
        <charset val="134"/>
      </rPr>
      <t>镀锌楼板扣件（</t>
    </r>
    <r>
      <rPr>
        <sz val="11"/>
        <color theme="1"/>
        <rFont val="Arial"/>
        <family val="2"/>
      </rPr>
      <t>1</t>
    </r>
    <r>
      <rPr>
        <sz val="11"/>
        <color theme="1"/>
        <rFont val="宋体"/>
        <family val="3"/>
        <charset val="134"/>
      </rPr>
      <t>底座</t>
    </r>
    <r>
      <rPr>
        <sz val="11"/>
        <color theme="1"/>
        <rFont val="Arial"/>
        <family val="2"/>
      </rPr>
      <t>+1</t>
    </r>
    <r>
      <rPr>
        <sz val="11"/>
        <color theme="1"/>
        <rFont val="宋体"/>
        <family val="3"/>
        <charset val="134"/>
      </rPr>
      <t>弯钩螺栓</t>
    </r>
    <r>
      <rPr>
        <sz val="11"/>
        <color theme="1"/>
        <rFont val="Arial"/>
        <family val="2"/>
      </rPr>
      <t>+1</t>
    </r>
    <r>
      <rPr>
        <sz val="11"/>
        <color theme="1"/>
        <rFont val="宋体"/>
        <family val="3"/>
        <charset val="134"/>
      </rPr>
      <t>弹垫</t>
    </r>
    <r>
      <rPr>
        <sz val="11"/>
        <color theme="1"/>
        <rFont val="Arial"/>
        <family val="2"/>
      </rPr>
      <t>+1</t>
    </r>
    <r>
      <rPr>
        <sz val="11"/>
        <color theme="1"/>
        <rFont val="宋体"/>
        <family val="3"/>
        <charset val="134"/>
      </rPr>
      <t>平垫</t>
    </r>
    <r>
      <rPr>
        <sz val="11"/>
        <color theme="1"/>
        <rFont val="Arial"/>
        <family val="2"/>
      </rPr>
      <t>+1</t>
    </r>
    <r>
      <rPr>
        <sz val="11"/>
        <color theme="1"/>
        <rFont val="宋体"/>
        <family val="3"/>
        <charset val="134"/>
      </rPr>
      <t>螺母）</t>
    </r>
  </si>
  <si>
    <r>
      <rPr>
        <sz val="11"/>
        <color theme="1"/>
        <rFont val="宋体"/>
        <family val="3"/>
        <charset val="134"/>
      </rPr>
      <t>镀锌楼板扣件（</t>
    </r>
    <r>
      <rPr>
        <sz val="11"/>
        <color theme="1"/>
        <rFont val="Arial"/>
        <family val="2"/>
      </rPr>
      <t>1</t>
    </r>
    <r>
      <rPr>
        <sz val="11"/>
        <color theme="1"/>
        <rFont val="宋体"/>
        <family val="3"/>
        <charset val="134"/>
      </rPr>
      <t>底座</t>
    </r>
    <r>
      <rPr>
        <sz val="11"/>
        <color theme="1"/>
        <rFont val="Arial"/>
        <family val="2"/>
      </rPr>
      <t>+2</t>
    </r>
    <r>
      <rPr>
        <sz val="11"/>
        <color theme="1"/>
        <rFont val="宋体"/>
        <family val="3"/>
        <charset val="134"/>
      </rPr>
      <t>弯钩螺栓</t>
    </r>
    <r>
      <rPr>
        <sz val="11"/>
        <color theme="1"/>
        <rFont val="Arial"/>
        <family val="2"/>
      </rPr>
      <t>M8*130+1</t>
    </r>
    <r>
      <rPr>
        <sz val="11"/>
        <color theme="1"/>
        <rFont val="宋体"/>
        <family val="3"/>
        <charset val="134"/>
      </rPr>
      <t>法兰螺母）</t>
    </r>
  </si>
  <si>
    <r>
      <rPr>
        <sz val="11"/>
        <color theme="1"/>
        <rFont val="Arial"/>
        <family val="2"/>
      </rPr>
      <t>8.8</t>
    </r>
    <r>
      <rPr>
        <sz val="11"/>
        <color theme="1"/>
        <rFont val="等线"/>
        <family val="3"/>
        <charset val="134"/>
      </rPr>
      <t>级内六角螺栓</t>
    </r>
    <r>
      <rPr>
        <sz val="11"/>
        <color theme="1"/>
        <rFont val="宋体"/>
        <family val="3"/>
        <charset val="134"/>
      </rPr>
      <t>：</t>
    </r>
    <r>
      <rPr>
        <sz val="11"/>
        <color theme="1"/>
        <rFont val="Arial"/>
        <family val="2"/>
      </rPr>
      <t>M10*65</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</si>
  <si>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304</t>
    </r>
    <r>
      <rPr>
        <sz val="11"/>
        <color theme="1"/>
        <rFont val="宋体"/>
        <family val="3"/>
        <charset val="134"/>
      </rPr>
      <t>不锈钢</t>
    </r>
    <r>
      <rPr>
        <sz val="11"/>
        <color theme="1"/>
        <rFont val="等线"/>
        <family val="3"/>
        <charset val="134"/>
      </rPr>
      <t>内六角螺栓</t>
    </r>
    <r>
      <rPr>
        <sz val="11"/>
        <color theme="1"/>
        <rFont val="宋体"/>
        <family val="3"/>
        <charset val="134"/>
      </rPr>
      <t>：</t>
    </r>
    <r>
      <rPr>
        <sz val="11"/>
        <color theme="1"/>
        <rFont val="Arial"/>
        <family val="2"/>
      </rPr>
      <t>M10*65</t>
    </r>
    <r>
      <rPr>
        <sz val="11"/>
        <color theme="1"/>
        <rFont val="宋体"/>
        <family val="3"/>
        <charset val="134"/>
      </rPr>
      <t>（配</t>
    </r>
    <r>
      <rPr>
        <sz val="11"/>
        <color theme="1"/>
        <rFont val="Arial"/>
        <family val="2"/>
      </rPr>
      <t>1</t>
    </r>
    <r>
      <rPr>
        <sz val="11"/>
        <color theme="1"/>
        <rFont val="宋体"/>
        <family val="3"/>
        <charset val="134"/>
      </rPr>
      <t>法兰螺母或</t>
    </r>
    <r>
      <rPr>
        <sz val="11"/>
        <color theme="1"/>
        <rFont val="Arial"/>
        <family val="2"/>
      </rPr>
      <t>1</t>
    </r>
    <r>
      <rPr>
        <sz val="11"/>
        <color theme="1"/>
        <rFont val="宋体"/>
        <family val="3"/>
        <charset val="134"/>
      </rPr>
      <t>平</t>
    </r>
    <r>
      <rPr>
        <sz val="11"/>
        <color theme="1"/>
        <rFont val="Arial"/>
        <family val="2"/>
      </rPr>
      <t>+1</t>
    </r>
    <r>
      <rPr>
        <sz val="11"/>
        <color theme="1"/>
        <rFont val="宋体"/>
        <family val="3"/>
        <charset val="134"/>
      </rPr>
      <t>母）</t>
    </r>
  </si>
  <si>
    <r>
      <rPr>
        <sz val="11"/>
        <color theme="1"/>
        <rFont val="Arial"/>
        <family val="2"/>
      </rPr>
      <t>8.8</t>
    </r>
    <r>
      <rPr>
        <sz val="11"/>
        <color theme="1"/>
        <rFont val="等线"/>
        <family val="3"/>
        <charset val="134"/>
      </rPr>
      <t>级内六角螺栓</t>
    </r>
    <r>
      <rPr>
        <sz val="11"/>
        <color theme="1"/>
        <rFont val="宋体"/>
        <family val="3"/>
        <charset val="134"/>
      </rPr>
      <t>：</t>
    </r>
    <r>
      <rPr>
        <sz val="11"/>
        <color theme="1"/>
        <rFont val="Arial"/>
        <family val="2"/>
      </rPr>
      <t>M10*75</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</si>
  <si>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级内六角螺栓</t>
    </r>
    <r>
      <rPr>
        <sz val="11"/>
        <color theme="1"/>
        <rFont val="宋体"/>
        <family val="3"/>
        <charset val="134"/>
      </rPr>
      <t>：</t>
    </r>
    <r>
      <rPr>
        <sz val="11"/>
        <color theme="1"/>
        <rFont val="Arial"/>
        <family val="2"/>
      </rPr>
      <t>M10*95</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</si>
  <si>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M6*16</t>
    </r>
    <r>
      <rPr>
        <sz val="11"/>
        <color theme="1"/>
        <rFont val="宋体"/>
        <family val="3"/>
        <charset val="134"/>
      </rPr>
      <t>（配</t>
    </r>
    <r>
      <rPr>
        <sz val="11"/>
        <color theme="1"/>
        <rFont val="Arial"/>
        <family val="2"/>
      </rPr>
      <t>1</t>
    </r>
    <r>
      <rPr>
        <sz val="11"/>
        <color theme="1"/>
        <rFont val="宋体"/>
        <family val="3"/>
        <charset val="134"/>
      </rPr>
      <t>法兰螺母）</t>
    </r>
  </si>
  <si>
    <r>
      <rPr>
        <sz val="11"/>
        <color indexed="8"/>
        <rFont val="Arial"/>
        <family val="2"/>
      </rPr>
      <t>8.8</t>
    </r>
    <r>
      <rPr>
        <sz val="11"/>
        <color indexed="8"/>
        <rFont val="等线"/>
        <family val="3"/>
        <charset val="134"/>
      </rPr>
      <t>级外六角螺栓</t>
    </r>
    <r>
      <rPr>
        <sz val="11"/>
        <color indexed="8"/>
        <rFont val="宋体"/>
        <family val="3"/>
        <charset val="134"/>
      </rPr>
      <t>：</t>
    </r>
    <r>
      <rPr>
        <sz val="11"/>
        <color indexed="8"/>
        <rFont val="Arial"/>
        <family val="2"/>
      </rPr>
      <t>M8*16</t>
    </r>
    <r>
      <rPr>
        <sz val="11"/>
        <color indexed="8"/>
        <rFont val="宋体"/>
        <family val="3"/>
        <charset val="134"/>
      </rPr>
      <t>（配</t>
    </r>
    <r>
      <rPr>
        <sz val="11"/>
        <color indexed="8"/>
        <rFont val="Arial"/>
        <family val="2"/>
      </rPr>
      <t>1</t>
    </r>
    <r>
      <rPr>
        <sz val="11"/>
        <color indexed="8"/>
        <rFont val="宋体"/>
        <family val="3"/>
        <charset val="134"/>
      </rPr>
      <t>法兰螺母）</t>
    </r>
  </si>
  <si>
    <r>
      <rPr>
        <sz val="11"/>
        <color theme="1"/>
        <rFont val="Arial"/>
        <family val="2"/>
      </rPr>
      <t>8.8</t>
    </r>
    <r>
      <rPr>
        <sz val="11"/>
        <color theme="1"/>
        <rFont val="等线"/>
        <family val="3"/>
        <charset val="134"/>
      </rPr>
      <t>级内六角螺栓</t>
    </r>
    <r>
      <rPr>
        <sz val="11"/>
        <color theme="1"/>
        <rFont val="宋体"/>
        <family val="3"/>
        <charset val="134"/>
      </rPr>
      <t>：</t>
    </r>
    <r>
      <rPr>
        <sz val="11"/>
        <color theme="1"/>
        <rFont val="Arial"/>
        <family val="2"/>
      </rPr>
      <t>M8*16</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</si>
  <si>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级内六角螺栓</t>
    </r>
    <r>
      <rPr>
        <sz val="11"/>
        <color theme="1"/>
        <rFont val="宋体"/>
        <family val="3"/>
        <charset val="134"/>
      </rPr>
      <t>：</t>
    </r>
    <r>
      <rPr>
        <sz val="11"/>
        <color theme="1"/>
        <rFont val="Arial"/>
        <family val="2"/>
      </rPr>
      <t>M8*16</t>
    </r>
    <r>
      <rPr>
        <sz val="11"/>
        <color theme="1"/>
        <rFont val="宋体"/>
        <family val="3"/>
        <charset val="134"/>
      </rPr>
      <t>（配</t>
    </r>
    <r>
      <rPr>
        <sz val="11"/>
        <color theme="1"/>
        <rFont val="Arial"/>
        <family val="2"/>
      </rPr>
      <t>1</t>
    </r>
    <r>
      <rPr>
        <sz val="11"/>
        <color theme="1"/>
        <rFont val="宋体"/>
        <family val="3"/>
        <charset val="134"/>
      </rPr>
      <t>外六角螺母）</t>
    </r>
  </si>
  <si>
    <r>
      <rPr>
        <sz val="11"/>
        <color theme="1"/>
        <rFont val="Arial"/>
        <family val="2"/>
      </rPr>
      <t>4.8</t>
    </r>
    <r>
      <rPr>
        <sz val="11"/>
        <color theme="1"/>
        <rFont val="等线"/>
        <family val="3"/>
        <charset val="134"/>
      </rPr>
      <t>级蝶形螺栓</t>
    </r>
    <r>
      <rPr>
        <sz val="11"/>
        <color theme="1"/>
        <rFont val="宋体"/>
        <family val="3"/>
        <charset val="134"/>
      </rPr>
      <t>：</t>
    </r>
    <r>
      <rPr>
        <sz val="11"/>
        <color theme="1"/>
        <rFont val="Arial"/>
        <family val="2"/>
      </rPr>
      <t>M8*16</t>
    </r>
    <r>
      <rPr>
        <sz val="11"/>
        <color theme="1"/>
        <rFont val="宋体"/>
        <family val="3"/>
        <charset val="134"/>
      </rPr>
      <t>（配</t>
    </r>
    <r>
      <rPr>
        <sz val="11"/>
        <color theme="1"/>
        <rFont val="Arial"/>
        <family val="2"/>
      </rPr>
      <t>1</t>
    </r>
    <r>
      <rPr>
        <sz val="11"/>
        <color theme="1"/>
        <rFont val="宋体"/>
        <family val="3"/>
        <charset val="134"/>
      </rPr>
      <t>外六角螺母）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</si>
  <si>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M8*20</t>
    </r>
    <r>
      <rPr>
        <sz val="11"/>
        <color theme="1"/>
        <rFont val="宋体"/>
        <family val="3"/>
        <charset val="134"/>
      </rPr>
      <t>（配</t>
    </r>
    <r>
      <rPr>
        <sz val="11"/>
        <color theme="1"/>
        <rFont val="Arial"/>
        <family val="2"/>
      </rPr>
      <t>1</t>
    </r>
    <r>
      <rPr>
        <sz val="11"/>
        <color theme="1"/>
        <rFont val="宋体"/>
        <family val="3"/>
        <charset val="134"/>
      </rPr>
      <t>法兰螺母）</t>
    </r>
  </si>
  <si>
    <t>M8.L20</t>
  </si>
  <si>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M8*25</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</si>
  <si>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M8*30</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</si>
  <si>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级内六角螺栓</t>
    </r>
    <r>
      <rPr>
        <sz val="11"/>
        <color theme="1"/>
        <rFont val="宋体"/>
        <family val="3"/>
        <charset val="134"/>
      </rPr>
      <t>：</t>
    </r>
    <r>
      <rPr>
        <sz val="11"/>
        <color theme="1"/>
        <rFont val="Arial"/>
        <family val="2"/>
      </rPr>
      <t>M6*45</t>
    </r>
    <r>
      <rPr>
        <sz val="11"/>
        <color theme="1"/>
        <rFont val="宋体"/>
        <family val="3"/>
        <charset val="134"/>
      </rPr>
      <t>（配</t>
    </r>
    <r>
      <rPr>
        <sz val="11"/>
        <color theme="1"/>
        <rFont val="Arial"/>
        <family val="2"/>
      </rPr>
      <t>1</t>
    </r>
    <r>
      <rPr>
        <sz val="11"/>
        <color theme="1"/>
        <rFont val="宋体"/>
        <family val="3"/>
        <charset val="134"/>
      </rPr>
      <t>六角螺母）</t>
    </r>
  </si>
  <si>
    <r>
      <rPr>
        <sz val="11"/>
        <color theme="1"/>
        <rFont val="Arial"/>
        <family val="2"/>
      </rPr>
      <t>8.8</t>
    </r>
    <r>
      <rPr>
        <sz val="11"/>
        <color theme="1"/>
        <rFont val="等线"/>
        <family val="3"/>
        <charset val="134"/>
      </rPr>
      <t>级内六角螺栓</t>
    </r>
    <r>
      <rPr>
        <sz val="11"/>
        <color theme="1"/>
        <rFont val="宋体"/>
        <family val="3"/>
        <charset val="134"/>
      </rPr>
      <t>：</t>
    </r>
    <r>
      <rPr>
        <sz val="11"/>
        <color theme="1"/>
        <rFont val="Arial"/>
        <family val="2"/>
      </rPr>
      <t>M8*45</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</si>
  <si>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级内六角螺栓</t>
    </r>
    <r>
      <rPr>
        <sz val="11"/>
        <color theme="1"/>
        <rFont val="宋体"/>
        <family val="3"/>
        <charset val="134"/>
      </rPr>
      <t>：</t>
    </r>
    <r>
      <rPr>
        <sz val="11"/>
        <color theme="1"/>
        <rFont val="Arial"/>
        <family val="2"/>
      </rPr>
      <t>M8*45</t>
    </r>
    <r>
      <rPr>
        <sz val="11"/>
        <color theme="1"/>
        <rFont val="宋体"/>
        <family val="3"/>
        <charset val="134"/>
      </rPr>
      <t>（配</t>
    </r>
    <r>
      <rPr>
        <sz val="11"/>
        <color theme="1"/>
        <rFont val="Arial"/>
        <family val="2"/>
      </rPr>
      <t>1</t>
    </r>
    <r>
      <rPr>
        <sz val="11"/>
        <color theme="1"/>
        <rFont val="宋体"/>
        <family val="3"/>
        <charset val="134"/>
      </rPr>
      <t>六角螺母）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</si>
  <si>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M8*50</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</si>
  <si>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宋体"/>
        <family val="3"/>
        <charset val="134"/>
      </rPr>
      <t>级外六角螺栓（镀锌）：</t>
    </r>
    <r>
      <rPr>
        <sz val="11"/>
        <color theme="1"/>
        <rFont val="Arial"/>
        <family val="2"/>
      </rPr>
      <t>M10*16</t>
    </r>
    <r>
      <rPr>
        <sz val="11"/>
        <color theme="1"/>
        <rFont val="宋体"/>
        <family val="3"/>
        <charset val="134"/>
      </rPr>
      <t>（配</t>
    </r>
    <r>
      <rPr>
        <sz val="11"/>
        <color theme="1"/>
        <rFont val="Arial"/>
        <family val="2"/>
      </rPr>
      <t>1</t>
    </r>
    <r>
      <rPr>
        <sz val="11"/>
        <color theme="1"/>
        <rFont val="宋体"/>
        <family val="3"/>
        <charset val="134"/>
      </rPr>
      <t>螺母）</t>
    </r>
  </si>
  <si>
    <r>
      <rPr>
        <sz val="11"/>
        <color theme="1"/>
        <rFont val="Arial"/>
        <family val="2"/>
      </rPr>
      <t>8.8</t>
    </r>
    <r>
      <rPr>
        <sz val="11"/>
        <color theme="1"/>
        <rFont val="等线"/>
        <family val="3"/>
        <charset val="134"/>
      </rPr>
      <t>级外六角螺栓（热镀锌）</t>
    </r>
    <r>
      <rPr>
        <sz val="11"/>
        <color theme="1"/>
        <rFont val="宋体"/>
        <family val="3"/>
        <charset val="134"/>
      </rPr>
      <t>：</t>
    </r>
    <r>
      <rPr>
        <sz val="11"/>
        <color theme="1"/>
        <rFont val="Arial"/>
        <family val="2"/>
      </rPr>
      <t>M10*20</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</si>
  <si>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304</t>
    </r>
    <r>
      <rPr>
        <sz val="11"/>
        <color theme="1"/>
        <rFont val="宋体"/>
        <family val="3"/>
        <charset val="134"/>
      </rPr>
      <t>不锈钢</t>
    </r>
    <r>
      <rPr>
        <sz val="11"/>
        <color theme="1"/>
        <rFont val="等线"/>
        <family val="3"/>
        <charset val="134"/>
      </rPr>
      <t>外六角螺栓</t>
    </r>
    <r>
      <rPr>
        <sz val="11"/>
        <color theme="1"/>
        <rFont val="宋体"/>
        <family val="3"/>
        <charset val="134"/>
      </rPr>
      <t>：</t>
    </r>
    <r>
      <rPr>
        <sz val="11"/>
        <color theme="1"/>
        <rFont val="Arial"/>
        <family val="2"/>
      </rPr>
      <t>M10*20</t>
    </r>
    <r>
      <rPr>
        <sz val="11"/>
        <color theme="1"/>
        <rFont val="宋体"/>
        <family val="3"/>
        <charset val="134"/>
      </rPr>
      <t>（配</t>
    </r>
    <r>
      <rPr>
        <sz val="11"/>
        <color theme="1"/>
        <rFont val="Arial"/>
        <family val="2"/>
      </rPr>
      <t>1</t>
    </r>
    <r>
      <rPr>
        <sz val="11"/>
        <color theme="1"/>
        <rFont val="宋体"/>
        <family val="3"/>
        <charset val="134"/>
      </rPr>
      <t>法兰螺母或</t>
    </r>
    <r>
      <rPr>
        <sz val="11"/>
        <color theme="1"/>
        <rFont val="Arial"/>
        <family val="2"/>
      </rPr>
      <t>1</t>
    </r>
    <r>
      <rPr>
        <sz val="11"/>
        <color theme="1"/>
        <rFont val="宋体"/>
        <family val="3"/>
        <charset val="134"/>
      </rPr>
      <t>平</t>
    </r>
    <r>
      <rPr>
        <sz val="11"/>
        <color theme="1"/>
        <rFont val="Arial"/>
        <family val="2"/>
      </rPr>
      <t>+1</t>
    </r>
    <r>
      <rPr>
        <sz val="11"/>
        <color theme="1"/>
        <rFont val="宋体"/>
        <family val="3"/>
        <charset val="134"/>
      </rPr>
      <t>母）</t>
    </r>
  </si>
  <si>
    <r>
      <rPr>
        <sz val="11"/>
        <color theme="1"/>
        <rFont val="Arial"/>
        <family val="2"/>
      </rPr>
      <t>4.8</t>
    </r>
    <r>
      <rPr>
        <sz val="11"/>
        <color theme="1"/>
        <rFont val="等线"/>
        <family val="3"/>
        <charset val="134"/>
      </rPr>
      <t>级十字沉头螺栓</t>
    </r>
    <r>
      <rPr>
        <sz val="11"/>
        <color theme="1"/>
        <rFont val="宋体"/>
        <family val="3"/>
        <charset val="134"/>
      </rPr>
      <t>：</t>
    </r>
    <r>
      <rPr>
        <sz val="11"/>
        <color theme="1"/>
        <rFont val="Arial"/>
        <family val="2"/>
      </rPr>
      <t>M10*25</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</si>
  <si>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M10*25</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</si>
  <si>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M10*30</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</si>
  <si>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M10*35</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</si>
  <si>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M10*40</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</si>
  <si>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M10*45</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</si>
  <si>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M10*50</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</si>
  <si>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M10*55</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</si>
  <si>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M10*60</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</si>
  <si>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M10*65</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</si>
  <si>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级外六角全牙螺杆</t>
    </r>
    <r>
      <rPr>
        <sz val="11"/>
        <color theme="1"/>
        <rFont val="宋体"/>
        <family val="3"/>
        <charset val="134"/>
      </rPr>
      <t>：</t>
    </r>
    <r>
      <rPr>
        <sz val="11"/>
        <color theme="1"/>
        <rFont val="Arial"/>
        <family val="2"/>
      </rPr>
      <t>M10*65</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</si>
  <si>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M10*70</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</si>
  <si>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M10*100</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</si>
  <si>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M10*110</t>
    </r>
    <r>
      <rPr>
        <sz val="11"/>
        <color theme="1"/>
        <rFont val="宋体"/>
        <family val="3"/>
        <charset val="134"/>
      </rPr>
      <t>（配</t>
    </r>
    <r>
      <rPr>
        <sz val="11"/>
        <color theme="1"/>
        <rFont val="Arial"/>
        <family val="2"/>
      </rPr>
      <t>1</t>
    </r>
    <r>
      <rPr>
        <sz val="11"/>
        <color theme="1"/>
        <rFont val="宋体"/>
        <family val="3"/>
        <charset val="134"/>
      </rPr>
      <t>法兰螺母）</t>
    </r>
  </si>
  <si>
    <t>M10×110</t>
  </si>
  <si>
    <r>
      <rPr>
        <sz val="11"/>
        <color theme="1"/>
        <rFont val="宋体"/>
        <family val="3"/>
        <charset val="134"/>
      </rPr>
      <t>全牙</t>
    </r>
    <r>
      <rPr>
        <sz val="11"/>
        <color theme="1"/>
        <rFont val="Arial"/>
        <family val="2"/>
      </rPr>
      <t>304</t>
    </r>
    <r>
      <rPr>
        <sz val="11"/>
        <color theme="1"/>
        <rFont val="宋体"/>
        <family val="3"/>
        <charset val="134"/>
      </rPr>
      <t>不锈钢</t>
    </r>
    <r>
      <rPr>
        <sz val="11"/>
        <color theme="1"/>
        <rFont val="等线"/>
        <family val="3"/>
        <charset val="134"/>
      </rPr>
      <t>外六角螺栓</t>
    </r>
    <r>
      <rPr>
        <sz val="11"/>
        <color theme="1"/>
        <rFont val="宋体"/>
        <family val="3"/>
        <charset val="134"/>
      </rPr>
      <t>：</t>
    </r>
    <r>
      <rPr>
        <sz val="11"/>
        <color theme="1"/>
        <rFont val="Arial"/>
        <family val="2"/>
      </rPr>
      <t>M10*110</t>
    </r>
    <r>
      <rPr>
        <sz val="11"/>
        <color theme="1"/>
        <rFont val="宋体"/>
        <family val="3"/>
        <charset val="134"/>
      </rPr>
      <t>（配</t>
    </r>
    <r>
      <rPr>
        <sz val="11"/>
        <color theme="1"/>
        <rFont val="Arial"/>
        <family val="2"/>
      </rPr>
      <t>1</t>
    </r>
    <r>
      <rPr>
        <sz val="11"/>
        <color theme="1"/>
        <rFont val="宋体"/>
        <family val="3"/>
        <charset val="134"/>
      </rPr>
      <t>法兰螺母或</t>
    </r>
    <r>
      <rPr>
        <sz val="11"/>
        <color theme="1"/>
        <rFont val="Arial"/>
        <family val="2"/>
      </rPr>
      <t>1</t>
    </r>
    <r>
      <rPr>
        <sz val="11"/>
        <color theme="1"/>
        <rFont val="宋体"/>
        <family val="3"/>
        <charset val="134"/>
      </rPr>
      <t>平</t>
    </r>
    <r>
      <rPr>
        <sz val="11"/>
        <color theme="1"/>
        <rFont val="Arial"/>
        <family val="2"/>
      </rPr>
      <t>+1</t>
    </r>
    <r>
      <rPr>
        <sz val="11"/>
        <color theme="1"/>
        <rFont val="宋体"/>
        <family val="3"/>
        <charset val="134"/>
      </rPr>
      <t>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</si>
  <si>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M10*120</t>
    </r>
    <r>
      <rPr>
        <sz val="11"/>
        <color theme="1"/>
        <rFont val="宋体"/>
        <family val="3"/>
        <charset val="134"/>
      </rPr>
      <t>（配</t>
    </r>
    <r>
      <rPr>
        <sz val="11"/>
        <color theme="1"/>
        <rFont val="Arial"/>
        <family val="2"/>
      </rPr>
      <t>1</t>
    </r>
    <r>
      <rPr>
        <sz val="11"/>
        <color theme="1"/>
        <rFont val="宋体"/>
        <family val="3"/>
        <charset val="134"/>
      </rPr>
      <t>螺母</t>
    </r>
    <r>
      <rPr>
        <sz val="11"/>
        <color theme="1"/>
        <rFont val="Arial"/>
        <family val="2"/>
      </rPr>
      <t>+1</t>
    </r>
    <r>
      <rPr>
        <sz val="11"/>
        <color theme="1"/>
        <rFont val="宋体"/>
        <family val="3"/>
        <charset val="134"/>
      </rPr>
      <t>平垫）</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</si>
  <si>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M10*140</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</si>
  <si>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级马车螺栓</t>
    </r>
    <r>
      <rPr>
        <sz val="11"/>
        <color theme="1"/>
        <rFont val="宋体"/>
        <family val="3"/>
        <charset val="134"/>
      </rPr>
      <t>：</t>
    </r>
    <r>
      <rPr>
        <sz val="11"/>
        <color theme="1"/>
        <rFont val="Arial"/>
        <family val="2"/>
      </rPr>
      <t>M10*25</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</si>
  <si>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M12*25</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</si>
  <si>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M12*30</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</si>
  <si>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M12*40</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</si>
  <si>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M12*45</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</si>
  <si>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M12*70</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</si>
  <si>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M12*80</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</si>
  <si>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M12*16</t>
    </r>
    <r>
      <rPr>
        <sz val="11"/>
        <color theme="1"/>
        <rFont val="宋体"/>
        <family val="3"/>
        <charset val="134"/>
      </rPr>
      <t>（配</t>
    </r>
    <r>
      <rPr>
        <sz val="11"/>
        <color theme="1"/>
        <rFont val="Arial"/>
        <family val="2"/>
      </rPr>
      <t>1</t>
    </r>
    <r>
      <rPr>
        <sz val="11"/>
        <color theme="1"/>
        <rFont val="宋体"/>
        <family val="3"/>
        <charset val="134"/>
      </rPr>
      <t>螺母）</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</si>
  <si>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M16*50</t>
    </r>
    <r>
      <rPr>
        <sz val="11"/>
        <color theme="1"/>
        <rFont val="等线"/>
        <family val="3"/>
        <charset val="134"/>
      </rPr>
      <t>（配</t>
    </r>
    <r>
      <rPr>
        <sz val="11"/>
        <color theme="1"/>
        <rFont val="Arial"/>
        <family val="2"/>
      </rPr>
      <t>1</t>
    </r>
    <r>
      <rPr>
        <sz val="11"/>
        <color theme="1"/>
        <rFont val="等线"/>
        <family val="3"/>
        <charset val="134"/>
      </rPr>
      <t>螺母</t>
    </r>
    <r>
      <rPr>
        <sz val="11"/>
        <color theme="1"/>
        <rFont val="Arial"/>
        <family val="2"/>
      </rPr>
      <t>+1</t>
    </r>
    <r>
      <rPr>
        <sz val="11"/>
        <color theme="1"/>
        <rFont val="宋体"/>
        <family val="3"/>
        <charset val="134"/>
      </rPr>
      <t>平垫</t>
    </r>
    <r>
      <rPr>
        <sz val="11"/>
        <color theme="1"/>
        <rFont val="Arial"/>
        <family val="2"/>
      </rPr>
      <t>+1</t>
    </r>
    <r>
      <rPr>
        <sz val="11"/>
        <color theme="1"/>
        <rFont val="等线"/>
        <family val="3"/>
        <charset val="134"/>
      </rPr>
      <t>弹垫）</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</si>
  <si>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M16*60</t>
    </r>
    <r>
      <rPr>
        <sz val="11"/>
        <color theme="1"/>
        <rFont val="等线"/>
        <family val="3"/>
        <charset val="134"/>
      </rPr>
      <t>（配</t>
    </r>
    <r>
      <rPr>
        <sz val="11"/>
        <color theme="1"/>
        <rFont val="Arial"/>
        <family val="2"/>
      </rPr>
      <t>1</t>
    </r>
    <r>
      <rPr>
        <sz val="11"/>
        <color theme="1"/>
        <rFont val="等线"/>
        <family val="3"/>
        <charset val="134"/>
      </rPr>
      <t>螺母</t>
    </r>
    <r>
      <rPr>
        <sz val="11"/>
        <color theme="1"/>
        <rFont val="Arial"/>
        <family val="2"/>
      </rPr>
      <t>+1</t>
    </r>
    <r>
      <rPr>
        <sz val="11"/>
        <color theme="1"/>
        <rFont val="宋体"/>
        <family val="3"/>
        <charset val="134"/>
      </rPr>
      <t>平垫</t>
    </r>
    <r>
      <rPr>
        <sz val="11"/>
        <color theme="1"/>
        <rFont val="Arial"/>
        <family val="2"/>
      </rPr>
      <t>+1</t>
    </r>
    <r>
      <rPr>
        <sz val="11"/>
        <color theme="1"/>
        <rFont val="等线"/>
        <family val="3"/>
        <charset val="134"/>
      </rPr>
      <t>弹垫）</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</si>
  <si>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M16*90</t>
    </r>
    <r>
      <rPr>
        <sz val="11"/>
        <color theme="1"/>
        <rFont val="等线"/>
        <family val="3"/>
        <charset val="134"/>
      </rPr>
      <t>（配</t>
    </r>
    <r>
      <rPr>
        <sz val="11"/>
        <color theme="1"/>
        <rFont val="Arial"/>
        <family val="2"/>
      </rPr>
      <t>1</t>
    </r>
    <r>
      <rPr>
        <sz val="11"/>
        <color theme="1"/>
        <rFont val="等线"/>
        <family val="3"/>
        <charset val="134"/>
      </rPr>
      <t>螺母</t>
    </r>
    <r>
      <rPr>
        <sz val="11"/>
        <color theme="1"/>
        <rFont val="Arial"/>
        <family val="2"/>
      </rPr>
      <t>+1</t>
    </r>
    <r>
      <rPr>
        <sz val="11"/>
        <color theme="1"/>
        <rFont val="宋体"/>
        <family val="3"/>
        <charset val="134"/>
      </rPr>
      <t>平垫</t>
    </r>
    <r>
      <rPr>
        <sz val="11"/>
        <color theme="1"/>
        <rFont val="Arial"/>
        <family val="2"/>
      </rPr>
      <t>+1</t>
    </r>
    <r>
      <rPr>
        <sz val="11"/>
        <color theme="1"/>
        <rFont val="等线"/>
        <family val="3"/>
        <charset val="134"/>
      </rPr>
      <t>弹垫）</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</si>
  <si>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M16*100</t>
    </r>
    <r>
      <rPr>
        <sz val="11"/>
        <color theme="1"/>
        <rFont val="等线"/>
        <family val="3"/>
        <charset val="134"/>
      </rPr>
      <t>（配</t>
    </r>
    <r>
      <rPr>
        <sz val="11"/>
        <color theme="1"/>
        <rFont val="Arial"/>
        <family val="2"/>
      </rPr>
      <t>1</t>
    </r>
    <r>
      <rPr>
        <sz val="11"/>
        <color theme="1"/>
        <rFont val="等线"/>
        <family val="3"/>
        <charset val="134"/>
      </rPr>
      <t>螺母</t>
    </r>
    <r>
      <rPr>
        <sz val="11"/>
        <color theme="1"/>
        <rFont val="Arial"/>
        <family val="2"/>
      </rPr>
      <t>+1</t>
    </r>
    <r>
      <rPr>
        <sz val="11"/>
        <color theme="1"/>
        <rFont val="宋体"/>
        <family val="3"/>
        <charset val="134"/>
      </rPr>
      <t>平垫</t>
    </r>
    <r>
      <rPr>
        <sz val="11"/>
        <color theme="1"/>
        <rFont val="Arial"/>
        <family val="2"/>
      </rPr>
      <t>+1</t>
    </r>
    <r>
      <rPr>
        <sz val="11"/>
        <color theme="1"/>
        <rFont val="等线"/>
        <family val="3"/>
        <charset val="134"/>
      </rPr>
      <t>弹垫）</t>
    </r>
  </si>
  <si>
    <r>
      <rPr>
        <sz val="11"/>
        <color theme="1"/>
        <rFont val="Arial"/>
        <family val="2"/>
      </rPr>
      <t>M16</t>
    </r>
    <r>
      <rPr>
        <sz val="11"/>
        <color theme="1"/>
        <rFont val="Calibri"/>
        <family val="2"/>
      </rPr>
      <t>×</t>
    </r>
    <r>
      <rPr>
        <sz val="11"/>
        <color theme="1"/>
        <rFont val="Arial"/>
        <family val="2"/>
      </rPr>
      <t>100 8.8G</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</si>
  <si>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M16*150</t>
    </r>
    <r>
      <rPr>
        <sz val="11"/>
        <color theme="1"/>
        <rFont val="等线"/>
        <family val="3"/>
        <charset val="134"/>
      </rPr>
      <t>（配</t>
    </r>
    <r>
      <rPr>
        <sz val="11"/>
        <color theme="1"/>
        <rFont val="Arial"/>
        <family val="2"/>
      </rPr>
      <t>1</t>
    </r>
    <r>
      <rPr>
        <sz val="11"/>
        <color theme="1"/>
        <rFont val="等线"/>
        <family val="3"/>
        <charset val="134"/>
      </rPr>
      <t>螺母</t>
    </r>
    <r>
      <rPr>
        <sz val="11"/>
        <color theme="1"/>
        <rFont val="Arial"/>
        <family val="2"/>
      </rPr>
      <t>+1</t>
    </r>
    <r>
      <rPr>
        <sz val="11"/>
        <color theme="1"/>
        <rFont val="宋体"/>
        <family val="3"/>
        <charset val="134"/>
      </rPr>
      <t>平垫</t>
    </r>
    <r>
      <rPr>
        <sz val="11"/>
        <color theme="1"/>
        <rFont val="Arial"/>
        <family val="2"/>
      </rPr>
      <t>+1</t>
    </r>
    <r>
      <rPr>
        <sz val="11"/>
        <color theme="1"/>
        <rFont val="等线"/>
        <family val="3"/>
        <charset val="134"/>
      </rPr>
      <t>弹垫）</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</si>
  <si>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M16*160</t>
    </r>
    <r>
      <rPr>
        <sz val="11"/>
        <color theme="1"/>
        <rFont val="等线"/>
        <family val="3"/>
        <charset val="134"/>
      </rPr>
      <t>（配</t>
    </r>
    <r>
      <rPr>
        <sz val="11"/>
        <color theme="1"/>
        <rFont val="Arial"/>
        <family val="2"/>
      </rPr>
      <t>1</t>
    </r>
    <r>
      <rPr>
        <sz val="11"/>
        <color theme="1"/>
        <rFont val="等线"/>
        <family val="3"/>
        <charset val="134"/>
      </rPr>
      <t>螺母</t>
    </r>
    <r>
      <rPr>
        <sz val="11"/>
        <color theme="1"/>
        <rFont val="Arial"/>
        <family val="2"/>
      </rPr>
      <t>+1</t>
    </r>
    <r>
      <rPr>
        <sz val="11"/>
        <color theme="1"/>
        <rFont val="宋体"/>
        <family val="3"/>
        <charset val="134"/>
      </rPr>
      <t>平垫</t>
    </r>
    <r>
      <rPr>
        <sz val="11"/>
        <color theme="1"/>
        <rFont val="Arial"/>
        <family val="2"/>
      </rPr>
      <t>+1</t>
    </r>
    <r>
      <rPr>
        <sz val="11"/>
        <color theme="1"/>
        <rFont val="等线"/>
        <family val="3"/>
        <charset val="134"/>
      </rPr>
      <t>弹垫）</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</si>
  <si>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M20*60</t>
    </r>
    <r>
      <rPr>
        <sz val="11"/>
        <color theme="1"/>
        <rFont val="等线"/>
        <family val="3"/>
        <charset val="134"/>
      </rPr>
      <t>（配</t>
    </r>
    <r>
      <rPr>
        <sz val="11"/>
        <color theme="1"/>
        <rFont val="Arial"/>
        <family val="2"/>
      </rPr>
      <t>1</t>
    </r>
    <r>
      <rPr>
        <sz val="11"/>
        <color theme="1"/>
        <rFont val="等线"/>
        <family val="3"/>
        <charset val="134"/>
      </rPr>
      <t>螺母</t>
    </r>
    <r>
      <rPr>
        <sz val="11"/>
        <color theme="1"/>
        <rFont val="Arial"/>
        <family val="2"/>
      </rPr>
      <t>+1</t>
    </r>
    <r>
      <rPr>
        <sz val="11"/>
        <color theme="1"/>
        <rFont val="宋体"/>
        <family val="3"/>
        <charset val="134"/>
      </rPr>
      <t>平垫</t>
    </r>
    <r>
      <rPr>
        <sz val="11"/>
        <color theme="1"/>
        <rFont val="Arial"/>
        <family val="2"/>
      </rPr>
      <t>+1</t>
    </r>
    <r>
      <rPr>
        <sz val="11"/>
        <color theme="1"/>
        <rFont val="等线"/>
        <family val="3"/>
        <charset val="134"/>
      </rPr>
      <t>弹垫）</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</si>
  <si>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M20*70</t>
    </r>
    <r>
      <rPr>
        <sz val="11"/>
        <color theme="1"/>
        <rFont val="等线"/>
        <family val="3"/>
        <charset val="134"/>
      </rPr>
      <t>（配</t>
    </r>
    <r>
      <rPr>
        <sz val="11"/>
        <color theme="1"/>
        <rFont val="Arial"/>
        <family val="2"/>
      </rPr>
      <t>1</t>
    </r>
    <r>
      <rPr>
        <sz val="11"/>
        <color theme="1"/>
        <rFont val="等线"/>
        <family val="3"/>
        <charset val="134"/>
      </rPr>
      <t>螺母</t>
    </r>
    <r>
      <rPr>
        <sz val="11"/>
        <color theme="1"/>
        <rFont val="Arial"/>
        <family val="2"/>
      </rPr>
      <t>+1</t>
    </r>
    <r>
      <rPr>
        <sz val="11"/>
        <color theme="1"/>
        <rFont val="宋体"/>
        <family val="3"/>
        <charset val="134"/>
      </rPr>
      <t>平垫</t>
    </r>
    <r>
      <rPr>
        <sz val="11"/>
        <color theme="1"/>
        <rFont val="Arial"/>
        <family val="2"/>
      </rPr>
      <t>+1</t>
    </r>
    <r>
      <rPr>
        <sz val="11"/>
        <color theme="1"/>
        <rFont val="等线"/>
        <family val="3"/>
        <charset val="134"/>
      </rPr>
      <t>弹垫）</t>
    </r>
  </si>
  <si>
    <r>
      <rPr>
        <sz val="11"/>
        <color theme="1"/>
        <rFont val="Arial"/>
        <family val="2"/>
      </rPr>
      <t>8.8</t>
    </r>
    <r>
      <rPr>
        <sz val="11"/>
        <color theme="1"/>
        <rFont val="宋体"/>
        <family val="3"/>
        <charset val="134"/>
      </rPr>
      <t>级全牙丝杆（黑色）：</t>
    </r>
    <r>
      <rPr>
        <sz val="11"/>
        <color theme="1"/>
        <rFont val="Arial"/>
        <family val="2"/>
      </rPr>
      <t>M20*150</t>
    </r>
  </si>
  <si>
    <r>
      <rPr>
        <sz val="11"/>
        <color theme="1"/>
        <rFont val="Arial"/>
        <family val="2"/>
      </rPr>
      <t>8.8</t>
    </r>
    <r>
      <rPr>
        <sz val="11"/>
        <color theme="1"/>
        <rFont val="宋体"/>
        <family val="3"/>
        <charset val="134"/>
      </rPr>
      <t>级全牙丝杆（黑色）：</t>
    </r>
    <r>
      <rPr>
        <sz val="11"/>
        <color theme="1"/>
        <rFont val="Arial"/>
        <family val="2"/>
      </rPr>
      <t>M20*160</t>
    </r>
  </si>
  <si>
    <r>
      <rPr>
        <sz val="11"/>
        <color theme="1"/>
        <rFont val="Arial"/>
        <family val="2"/>
      </rPr>
      <t>8.8</t>
    </r>
    <r>
      <rPr>
        <sz val="11"/>
        <color theme="1"/>
        <rFont val="宋体"/>
        <family val="3"/>
        <charset val="134"/>
      </rPr>
      <t>级全牙丝杆（黑色）：</t>
    </r>
    <r>
      <rPr>
        <sz val="11"/>
        <color theme="1"/>
        <rFont val="Arial"/>
        <family val="2"/>
      </rPr>
      <t>M20*170</t>
    </r>
  </si>
  <si>
    <r>
      <rPr>
        <sz val="11"/>
        <color theme="1"/>
        <rFont val="Arial"/>
        <family val="2"/>
      </rPr>
      <t>8.8</t>
    </r>
    <r>
      <rPr>
        <sz val="11"/>
        <color theme="1"/>
        <rFont val="宋体"/>
        <family val="3"/>
        <charset val="134"/>
      </rPr>
      <t>级</t>
    </r>
    <r>
      <rPr>
        <sz val="11"/>
        <color theme="1"/>
        <rFont val="Arial"/>
        <family val="2"/>
      </rPr>
      <t>7</t>
    </r>
    <r>
      <rPr>
        <sz val="11"/>
        <color theme="1"/>
        <rFont val="宋体"/>
        <family val="3"/>
        <charset val="134"/>
      </rPr>
      <t>字型预埋螺栓（黑色）：</t>
    </r>
    <r>
      <rPr>
        <sz val="11"/>
        <color theme="1"/>
        <rFont val="Arial"/>
        <family val="2"/>
      </rPr>
      <t>M24*1100</t>
    </r>
    <r>
      <rPr>
        <sz val="11"/>
        <color theme="1"/>
        <rFont val="宋体"/>
        <family val="3"/>
        <charset val="134"/>
      </rPr>
      <t>（螺纹</t>
    </r>
    <r>
      <rPr>
        <sz val="11"/>
        <color theme="1"/>
        <rFont val="Arial"/>
        <family val="2"/>
      </rPr>
      <t>L250</t>
    </r>
    <r>
      <rPr>
        <sz val="11"/>
        <color theme="1"/>
        <rFont val="宋体"/>
        <family val="3"/>
        <charset val="134"/>
      </rPr>
      <t>，</t>
    </r>
    <r>
      <rPr>
        <sz val="11"/>
        <color theme="1"/>
        <rFont val="Arial"/>
        <family val="2"/>
      </rPr>
      <t>2</t>
    </r>
    <r>
      <rPr>
        <sz val="11"/>
        <color theme="1"/>
        <rFont val="宋体"/>
        <family val="3"/>
        <charset val="134"/>
      </rPr>
      <t>螺母</t>
    </r>
    <r>
      <rPr>
        <sz val="11"/>
        <color theme="1"/>
        <rFont val="Arial"/>
        <family val="2"/>
      </rPr>
      <t>+1</t>
    </r>
    <r>
      <rPr>
        <sz val="11"/>
        <color theme="1"/>
        <rFont val="宋体"/>
        <family val="3"/>
        <charset val="134"/>
      </rPr>
      <t>平垫</t>
    </r>
    <r>
      <rPr>
        <sz val="11"/>
        <color theme="1"/>
        <rFont val="Arial"/>
        <family val="2"/>
      </rPr>
      <t>+1</t>
    </r>
    <r>
      <rPr>
        <sz val="11"/>
        <color theme="1"/>
        <rFont val="宋体"/>
        <family val="3"/>
        <charset val="134"/>
      </rPr>
      <t>弹垫）</t>
    </r>
  </si>
  <si>
    <r>
      <rPr>
        <sz val="11"/>
        <color theme="1"/>
        <rFont val="宋体"/>
        <family val="3"/>
        <charset val="134"/>
      </rPr>
      <t>内膨胀</t>
    </r>
    <r>
      <rPr>
        <sz val="11"/>
        <color theme="1"/>
        <rFont val="等线"/>
        <family val="3"/>
        <charset val="134"/>
      </rPr>
      <t>螺栓</t>
    </r>
    <r>
      <rPr>
        <sz val="11"/>
        <color theme="1"/>
        <rFont val="宋体"/>
        <family val="3"/>
        <charset val="134"/>
      </rPr>
      <t>：</t>
    </r>
    <r>
      <rPr>
        <sz val="11"/>
        <color theme="1"/>
        <rFont val="Arial"/>
        <family val="2"/>
      </rPr>
      <t>M8*55</t>
    </r>
  </si>
  <si>
    <r>
      <rPr>
        <sz val="11"/>
        <color theme="1"/>
        <rFont val="宋体"/>
        <family val="3"/>
        <charset val="134"/>
      </rPr>
      <t>内膨胀</t>
    </r>
    <r>
      <rPr>
        <sz val="11"/>
        <color theme="1"/>
        <rFont val="等线"/>
        <family val="3"/>
        <charset val="134"/>
      </rPr>
      <t>螺栓</t>
    </r>
    <r>
      <rPr>
        <sz val="11"/>
        <color theme="1"/>
        <rFont val="宋体"/>
        <family val="3"/>
        <charset val="134"/>
      </rPr>
      <t>：</t>
    </r>
    <r>
      <rPr>
        <sz val="11"/>
        <color theme="1"/>
        <rFont val="Arial"/>
        <family val="2"/>
      </rPr>
      <t>M8*80</t>
    </r>
  </si>
  <si>
    <r>
      <rPr>
        <sz val="11"/>
        <color theme="1"/>
        <rFont val="宋体"/>
        <family val="3"/>
        <charset val="134"/>
      </rPr>
      <t>内膨胀</t>
    </r>
    <r>
      <rPr>
        <sz val="11"/>
        <color theme="1"/>
        <rFont val="等线"/>
        <family val="3"/>
        <charset val="134"/>
      </rPr>
      <t>螺栓</t>
    </r>
    <r>
      <rPr>
        <sz val="11"/>
        <color theme="1"/>
        <rFont val="宋体"/>
        <family val="3"/>
        <charset val="134"/>
      </rPr>
      <t>：</t>
    </r>
    <r>
      <rPr>
        <sz val="11"/>
        <color theme="1"/>
        <rFont val="Arial"/>
        <family val="2"/>
      </rPr>
      <t>M10*65</t>
    </r>
  </si>
  <si>
    <r>
      <rPr>
        <sz val="11"/>
        <color theme="1"/>
        <rFont val="Arial"/>
        <family val="2"/>
      </rPr>
      <t>6.8</t>
    </r>
    <r>
      <rPr>
        <sz val="11"/>
        <color theme="1"/>
        <rFont val="宋体"/>
        <family val="3"/>
        <charset val="134"/>
      </rPr>
      <t>级碳钢混凝土自攻螺栓（镀锌）：</t>
    </r>
    <r>
      <rPr>
        <sz val="11"/>
        <color theme="1"/>
        <rFont val="Arial"/>
        <family val="2"/>
      </rPr>
      <t>M12*100</t>
    </r>
    <r>
      <rPr>
        <sz val="11"/>
        <color theme="1"/>
        <rFont val="宋体"/>
        <family val="3"/>
        <charset val="134"/>
      </rPr>
      <t>（</t>
    </r>
    <r>
      <rPr>
        <sz val="11"/>
        <color theme="1"/>
        <rFont val="Arial"/>
        <family val="2"/>
      </rPr>
      <t>45</t>
    </r>
    <r>
      <rPr>
        <sz val="11"/>
        <color theme="1"/>
        <rFont val="SimSun"/>
        <charset val="134"/>
      </rPr>
      <t>＃钢）</t>
    </r>
  </si>
  <si>
    <r>
      <rPr>
        <sz val="11"/>
        <color theme="1"/>
        <rFont val="Arial"/>
        <family val="2"/>
      </rPr>
      <t>6.8</t>
    </r>
    <r>
      <rPr>
        <sz val="11"/>
        <color theme="1"/>
        <rFont val="宋体"/>
        <family val="3"/>
        <charset val="134"/>
      </rPr>
      <t>级碳钢混凝土自攻螺栓（镀锌）：</t>
    </r>
    <r>
      <rPr>
        <sz val="11"/>
        <color theme="1"/>
        <rFont val="Arial"/>
        <family val="2"/>
      </rPr>
      <t>M14*135</t>
    </r>
    <r>
      <rPr>
        <sz val="11"/>
        <color theme="1"/>
        <rFont val="宋体"/>
        <family val="3"/>
        <charset val="134"/>
      </rPr>
      <t>（</t>
    </r>
    <r>
      <rPr>
        <sz val="11"/>
        <color theme="1"/>
        <rFont val="Arial"/>
        <family val="2"/>
      </rPr>
      <t>45</t>
    </r>
    <r>
      <rPr>
        <sz val="11"/>
        <color theme="1"/>
        <rFont val="SimSun"/>
        <charset val="134"/>
      </rPr>
      <t>＃钢）</t>
    </r>
    <r>
      <rPr>
        <sz val="11"/>
        <color theme="1"/>
        <rFont val="Arial"/>
        <family val="2"/>
      </rPr>
      <t>-</t>
    </r>
    <r>
      <rPr>
        <sz val="11"/>
        <color theme="1"/>
        <rFont val="SimSun"/>
        <charset val="134"/>
      </rPr>
      <t>牙长</t>
    </r>
    <r>
      <rPr>
        <sz val="11"/>
        <color theme="1"/>
        <rFont val="Arial"/>
        <family val="2"/>
      </rPr>
      <t>2/3</t>
    </r>
  </si>
  <si>
    <r>
      <rPr>
        <sz val="11"/>
        <color theme="1"/>
        <rFont val="Arial"/>
        <family val="2"/>
      </rPr>
      <t>6.8</t>
    </r>
    <r>
      <rPr>
        <sz val="11"/>
        <color theme="1"/>
        <rFont val="宋体"/>
        <family val="3"/>
        <charset val="134"/>
      </rPr>
      <t>级碳钢混凝土自攻螺栓（镀锌）：</t>
    </r>
    <r>
      <rPr>
        <sz val="11"/>
        <color theme="1"/>
        <rFont val="Arial"/>
        <family val="2"/>
      </rPr>
      <t>M14*145</t>
    </r>
    <r>
      <rPr>
        <sz val="11"/>
        <color theme="1"/>
        <rFont val="宋体"/>
        <family val="3"/>
        <charset val="134"/>
      </rPr>
      <t>（</t>
    </r>
    <r>
      <rPr>
        <sz val="11"/>
        <color theme="1"/>
        <rFont val="Arial"/>
        <family val="2"/>
      </rPr>
      <t>45</t>
    </r>
    <r>
      <rPr>
        <sz val="11"/>
        <color theme="1"/>
        <rFont val="SimSun"/>
        <charset val="134"/>
      </rPr>
      <t>＃钢）</t>
    </r>
    <r>
      <rPr>
        <sz val="11"/>
        <color theme="1"/>
        <rFont val="Arial"/>
        <family val="2"/>
      </rPr>
      <t>-</t>
    </r>
    <r>
      <rPr>
        <sz val="11"/>
        <color theme="1"/>
        <rFont val="宋体"/>
        <family val="3"/>
        <charset val="134"/>
      </rPr>
      <t>牙长</t>
    </r>
    <r>
      <rPr>
        <sz val="11"/>
        <color theme="1"/>
        <rFont val="Arial"/>
        <family val="2"/>
      </rPr>
      <t>2/3</t>
    </r>
  </si>
  <si>
    <r>
      <rPr>
        <sz val="11"/>
        <color theme="1"/>
        <rFont val="Arial"/>
        <family val="2"/>
      </rPr>
      <t>6.8</t>
    </r>
    <r>
      <rPr>
        <sz val="11"/>
        <color theme="1"/>
        <rFont val="宋体"/>
        <family val="3"/>
        <charset val="134"/>
      </rPr>
      <t>级碳钢混凝土自攻螺栓（镀锌）：</t>
    </r>
    <r>
      <rPr>
        <sz val="11"/>
        <color theme="1"/>
        <rFont val="Arial"/>
        <family val="2"/>
      </rPr>
      <t>M18*160</t>
    </r>
    <r>
      <rPr>
        <sz val="11"/>
        <color theme="1"/>
        <rFont val="宋体"/>
        <family val="3"/>
        <charset val="134"/>
      </rPr>
      <t>（</t>
    </r>
    <r>
      <rPr>
        <sz val="11"/>
        <color theme="1"/>
        <rFont val="Arial"/>
        <family val="2"/>
      </rPr>
      <t>45</t>
    </r>
    <r>
      <rPr>
        <sz val="11"/>
        <color theme="1"/>
        <rFont val="SimSun"/>
        <charset val="134"/>
      </rPr>
      <t>＃钢）</t>
    </r>
  </si>
  <si>
    <r>
      <rPr>
        <sz val="11"/>
        <color theme="1"/>
        <rFont val="Arial"/>
        <family val="2"/>
      </rPr>
      <t>8.8</t>
    </r>
    <r>
      <rPr>
        <sz val="11"/>
        <color theme="1"/>
        <rFont val="等线"/>
        <family val="3"/>
        <charset val="134"/>
      </rPr>
      <t>级化学螺栓：</t>
    </r>
    <r>
      <rPr>
        <sz val="11"/>
        <color theme="1"/>
        <rFont val="Arial"/>
        <family val="2"/>
      </rPr>
      <t>M16*190</t>
    </r>
  </si>
  <si>
    <r>
      <rPr>
        <sz val="11"/>
        <color theme="1"/>
        <rFont val="Arial"/>
        <family val="2"/>
      </rPr>
      <t>M16</t>
    </r>
    <r>
      <rPr>
        <sz val="11"/>
        <color theme="1"/>
        <rFont val="宋体"/>
        <family val="3"/>
        <charset val="134"/>
      </rPr>
      <t>化学螺栓配套药剂</t>
    </r>
  </si>
  <si>
    <r>
      <rPr>
        <sz val="11"/>
        <color theme="1"/>
        <rFont val="Arial"/>
        <family val="2"/>
      </rPr>
      <t>8.8</t>
    </r>
    <r>
      <rPr>
        <sz val="11"/>
        <color theme="1"/>
        <rFont val="等线"/>
        <family val="3"/>
        <charset val="134"/>
      </rPr>
      <t>级化学螺栓：</t>
    </r>
    <r>
      <rPr>
        <sz val="11"/>
        <color theme="1"/>
        <rFont val="Arial"/>
        <family val="2"/>
      </rPr>
      <t>M12*160</t>
    </r>
  </si>
  <si>
    <r>
      <rPr>
        <sz val="11"/>
        <color theme="1"/>
        <rFont val="Arial"/>
        <family val="2"/>
      </rPr>
      <t>M12</t>
    </r>
    <r>
      <rPr>
        <sz val="11"/>
        <color theme="1"/>
        <rFont val="宋体"/>
        <family val="3"/>
        <charset val="134"/>
      </rPr>
      <t>化学螺栓配套药剂</t>
    </r>
  </si>
  <si>
    <r>
      <rPr>
        <sz val="11"/>
        <color theme="1"/>
        <rFont val="Arial"/>
        <family val="2"/>
      </rPr>
      <t>8.8</t>
    </r>
    <r>
      <rPr>
        <sz val="11"/>
        <color theme="1"/>
        <rFont val="等线"/>
        <family val="3"/>
        <charset val="134"/>
      </rPr>
      <t>级外六角螺母</t>
    </r>
    <r>
      <rPr>
        <sz val="11"/>
        <color theme="1"/>
        <rFont val="宋体"/>
        <family val="3"/>
        <charset val="134"/>
      </rPr>
      <t>：</t>
    </r>
    <r>
      <rPr>
        <sz val="11"/>
        <color theme="1"/>
        <rFont val="Arial"/>
        <family val="2"/>
      </rPr>
      <t>M8</t>
    </r>
  </si>
  <si>
    <r>
      <rPr>
        <sz val="11"/>
        <color theme="1"/>
        <rFont val="Arial"/>
        <family val="2"/>
      </rPr>
      <t>8.8</t>
    </r>
    <r>
      <rPr>
        <sz val="11"/>
        <color theme="1"/>
        <rFont val="等线"/>
        <family val="3"/>
        <charset val="134"/>
      </rPr>
      <t>级法兰螺母</t>
    </r>
    <r>
      <rPr>
        <sz val="11"/>
        <color theme="1"/>
        <rFont val="宋体"/>
        <family val="3"/>
        <charset val="134"/>
      </rPr>
      <t>：</t>
    </r>
    <r>
      <rPr>
        <sz val="11"/>
        <color theme="1"/>
        <rFont val="Arial"/>
        <family val="2"/>
      </rPr>
      <t>M8</t>
    </r>
  </si>
  <si>
    <r>
      <rPr>
        <sz val="11"/>
        <color theme="1"/>
        <rFont val="Arial"/>
        <family val="2"/>
      </rPr>
      <t>8.8</t>
    </r>
    <r>
      <rPr>
        <sz val="11"/>
        <color theme="1"/>
        <rFont val="等线"/>
        <family val="3"/>
        <charset val="134"/>
      </rPr>
      <t>级外六角螺母</t>
    </r>
    <r>
      <rPr>
        <sz val="11"/>
        <color theme="1"/>
        <rFont val="宋体"/>
        <family val="3"/>
        <charset val="134"/>
      </rPr>
      <t>：</t>
    </r>
    <r>
      <rPr>
        <sz val="11"/>
        <color theme="1"/>
        <rFont val="Arial"/>
        <family val="2"/>
      </rPr>
      <t>M10</t>
    </r>
  </si>
  <si>
    <r>
      <rPr>
        <sz val="11"/>
        <color theme="1"/>
        <rFont val="Arial"/>
        <family val="2"/>
      </rPr>
      <t>8.8</t>
    </r>
    <r>
      <rPr>
        <sz val="11"/>
        <color theme="1"/>
        <rFont val="等线"/>
        <family val="3"/>
        <charset val="134"/>
      </rPr>
      <t>级法兰螺母</t>
    </r>
    <r>
      <rPr>
        <sz val="11"/>
        <color theme="1"/>
        <rFont val="宋体"/>
        <family val="3"/>
        <charset val="134"/>
      </rPr>
      <t>：</t>
    </r>
    <r>
      <rPr>
        <sz val="11"/>
        <color theme="1"/>
        <rFont val="Arial"/>
        <family val="2"/>
      </rPr>
      <t>M10</t>
    </r>
  </si>
  <si>
    <r>
      <rPr>
        <sz val="11"/>
        <color theme="1"/>
        <rFont val="Arial"/>
        <family val="2"/>
      </rPr>
      <t>8.8</t>
    </r>
    <r>
      <rPr>
        <sz val="11"/>
        <color theme="1"/>
        <rFont val="等线"/>
        <family val="3"/>
        <charset val="134"/>
      </rPr>
      <t>级防滑尼龙螺母</t>
    </r>
    <r>
      <rPr>
        <sz val="11"/>
        <color theme="1"/>
        <rFont val="宋体"/>
        <family val="3"/>
        <charset val="134"/>
      </rPr>
      <t>：</t>
    </r>
    <r>
      <rPr>
        <sz val="11"/>
        <color theme="1"/>
        <rFont val="Arial"/>
        <family val="2"/>
      </rPr>
      <t>M10</t>
    </r>
  </si>
  <si>
    <r>
      <rPr>
        <sz val="11"/>
        <color theme="1"/>
        <rFont val="Arial"/>
        <family val="2"/>
      </rPr>
      <t>8.8</t>
    </r>
    <r>
      <rPr>
        <sz val="11"/>
        <color theme="1"/>
        <rFont val="等线"/>
        <family val="3"/>
        <charset val="134"/>
      </rPr>
      <t>级防滑钢丝螺母</t>
    </r>
    <r>
      <rPr>
        <sz val="11"/>
        <color theme="1"/>
        <rFont val="宋体"/>
        <family val="3"/>
        <charset val="134"/>
      </rPr>
      <t>：</t>
    </r>
    <r>
      <rPr>
        <sz val="11"/>
        <color theme="1"/>
        <rFont val="Arial"/>
        <family val="2"/>
      </rPr>
      <t>M10</t>
    </r>
  </si>
  <si>
    <r>
      <rPr>
        <sz val="11"/>
        <color theme="1"/>
        <rFont val="Arial"/>
        <family val="2"/>
      </rPr>
      <t>8.8</t>
    </r>
    <r>
      <rPr>
        <sz val="11"/>
        <color theme="1"/>
        <rFont val="等线"/>
        <family val="3"/>
        <charset val="134"/>
      </rPr>
      <t>级外六角螺母</t>
    </r>
    <r>
      <rPr>
        <sz val="11"/>
        <color theme="1"/>
        <rFont val="宋体"/>
        <family val="3"/>
        <charset val="134"/>
      </rPr>
      <t>：</t>
    </r>
    <r>
      <rPr>
        <sz val="11"/>
        <color theme="1"/>
        <rFont val="Arial"/>
        <family val="2"/>
      </rPr>
      <t>M12</t>
    </r>
  </si>
  <si>
    <r>
      <rPr>
        <sz val="11"/>
        <color theme="1"/>
        <rFont val="Arial"/>
        <family val="2"/>
      </rPr>
      <t>8.8</t>
    </r>
    <r>
      <rPr>
        <sz val="11"/>
        <color theme="1"/>
        <rFont val="等线"/>
        <family val="3"/>
        <charset val="134"/>
      </rPr>
      <t>级法兰螺母</t>
    </r>
    <r>
      <rPr>
        <sz val="11"/>
        <color theme="1"/>
        <rFont val="宋体"/>
        <family val="3"/>
        <charset val="134"/>
      </rPr>
      <t>：</t>
    </r>
    <r>
      <rPr>
        <sz val="11"/>
        <color theme="1"/>
        <rFont val="Arial"/>
        <family val="2"/>
      </rPr>
      <t>M12</t>
    </r>
  </si>
  <si>
    <r>
      <rPr>
        <sz val="11"/>
        <color theme="1"/>
        <rFont val="Arial"/>
        <family val="2"/>
      </rPr>
      <t>8.8</t>
    </r>
    <r>
      <rPr>
        <sz val="11"/>
        <color theme="1"/>
        <rFont val="等线"/>
        <family val="3"/>
        <charset val="134"/>
      </rPr>
      <t>级外六角螺母</t>
    </r>
    <r>
      <rPr>
        <sz val="11"/>
        <color theme="1"/>
        <rFont val="宋体"/>
        <family val="3"/>
        <charset val="134"/>
      </rPr>
      <t>：</t>
    </r>
    <r>
      <rPr>
        <sz val="11"/>
        <color theme="1"/>
        <rFont val="Arial"/>
        <family val="2"/>
      </rPr>
      <t>M16</t>
    </r>
  </si>
  <si>
    <r>
      <rPr>
        <sz val="11"/>
        <color theme="1"/>
        <rFont val="Arial"/>
        <family val="2"/>
      </rPr>
      <t>8.8</t>
    </r>
    <r>
      <rPr>
        <sz val="11"/>
        <color theme="1"/>
        <rFont val="等线"/>
        <family val="3"/>
        <charset val="134"/>
      </rPr>
      <t>级法兰螺母</t>
    </r>
    <r>
      <rPr>
        <sz val="11"/>
        <color theme="1"/>
        <rFont val="宋体"/>
        <family val="3"/>
        <charset val="134"/>
      </rPr>
      <t>：</t>
    </r>
    <r>
      <rPr>
        <sz val="11"/>
        <color theme="1"/>
        <rFont val="Arial"/>
        <family val="2"/>
      </rPr>
      <t>M16</t>
    </r>
  </si>
  <si>
    <r>
      <rPr>
        <sz val="11"/>
        <color theme="1"/>
        <rFont val="Arial"/>
        <family val="2"/>
      </rPr>
      <t>8.8</t>
    </r>
    <r>
      <rPr>
        <sz val="11"/>
        <color theme="1"/>
        <rFont val="等线"/>
        <family val="3"/>
        <charset val="134"/>
      </rPr>
      <t>级外六角螺母</t>
    </r>
    <r>
      <rPr>
        <sz val="11"/>
        <color theme="1"/>
        <rFont val="宋体"/>
        <family val="3"/>
        <charset val="134"/>
      </rPr>
      <t>：</t>
    </r>
    <r>
      <rPr>
        <sz val="11"/>
        <color theme="1"/>
        <rFont val="Arial"/>
        <family val="2"/>
      </rPr>
      <t>M20</t>
    </r>
  </si>
  <si>
    <r>
      <rPr>
        <sz val="11"/>
        <color theme="1"/>
        <rFont val="Arial"/>
        <family val="2"/>
      </rPr>
      <t>8.8</t>
    </r>
    <r>
      <rPr>
        <sz val="11"/>
        <color theme="1"/>
        <rFont val="宋体"/>
        <family val="3"/>
        <charset val="134"/>
      </rPr>
      <t>级外六角螺母：</t>
    </r>
    <r>
      <rPr>
        <sz val="11"/>
        <color theme="1"/>
        <rFont val="Arial"/>
        <family val="2"/>
      </rPr>
      <t>M24</t>
    </r>
  </si>
  <si>
    <r>
      <rPr>
        <sz val="11"/>
        <color theme="1"/>
        <rFont val="宋体"/>
        <family val="3"/>
        <charset val="134"/>
      </rPr>
      <t>弹垫：</t>
    </r>
    <r>
      <rPr>
        <sz val="11"/>
        <color theme="1"/>
        <rFont val="Arial"/>
        <family val="2"/>
      </rPr>
      <t>M8</t>
    </r>
  </si>
  <si>
    <r>
      <rPr>
        <sz val="11"/>
        <color theme="1"/>
        <rFont val="宋体"/>
        <family val="3"/>
        <charset val="134"/>
      </rPr>
      <t>弹垫：</t>
    </r>
    <r>
      <rPr>
        <sz val="11"/>
        <color theme="1"/>
        <rFont val="Arial"/>
        <family val="2"/>
      </rPr>
      <t>M10</t>
    </r>
  </si>
  <si>
    <r>
      <rPr>
        <sz val="11"/>
        <color theme="1"/>
        <rFont val="宋体"/>
        <family val="3"/>
        <charset val="134"/>
      </rPr>
      <t>弹垫：</t>
    </r>
    <r>
      <rPr>
        <sz val="11"/>
        <color theme="1"/>
        <rFont val="Arial"/>
        <family val="2"/>
      </rPr>
      <t>M12</t>
    </r>
  </si>
  <si>
    <r>
      <rPr>
        <sz val="11"/>
        <color theme="1"/>
        <rFont val="宋体"/>
        <family val="3"/>
        <charset val="134"/>
      </rPr>
      <t>弹垫：</t>
    </r>
    <r>
      <rPr>
        <sz val="11"/>
        <color theme="1"/>
        <rFont val="Arial"/>
        <family val="2"/>
      </rPr>
      <t>M16</t>
    </r>
  </si>
  <si>
    <r>
      <rPr>
        <sz val="11"/>
        <color theme="1"/>
        <rFont val="宋体"/>
        <family val="3"/>
        <charset val="134"/>
      </rPr>
      <t>弹垫：</t>
    </r>
    <r>
      <rPr>
        <sz val="11"/>
        <color theme="1"/>
        <rFont val="Arial"/>
        <family val="2"/>
      </rPr>
      <t>M20</t>
    </r>
  </si>
  <si>
    <r>
      <rPr>
        <sz val="11"/>
        <color theme="1"/>
        <rFont val="宋体"/>
        <family val="3"/>
        <charset val="134"/>
      </rPr>
      <t>弹垫：</t>
    </r>
    <r>
      <rPr>
        <sz val="11"/>
        <color theme="1"/>
        <rFont val="Arial"/>
        <family val="2"/>
      </rPr>
      <t>M24</t>
    </r>
  </si>
  <si>
    <r>
      <rPr>
        <sz val="11"/>
        <color theme="1"/>
        <rFont val="宋体"/>
        <family val="3"/>
        <charset val="134"/>
      </rPr>
      <t>平垫：</t>
    </r>
    <r>
      <rPr>
        <sz val="11"/>
        <color theme="1"/>
        <rFont val="Arial"/>
        <family val="2"/>
      </rPr>
      <t>M8</t>
    </r>
  </si>
  <si>
    <r>
      <rPr>
        <sz val="11"/>
        <color theme="1"/>
        <rFont val="宋体"/>
        <family val="3"/>
        <charset val="134"/>
      </rPr>
      <t>平垫：</t>
    </r>
    <r>
      <rPr>
        <sz val="11"/>
        <color theme="1"/>
        <rFont val="Arial"/>
        <family val="2"/>
      </rPr>
      <t>M10</t>
    </r>
  </si>
  <si>
    <r>
      <rPr>
        <sz val="11"/>
        <color theme="1"/>
        <rFont val="宋体"/>
        <family val="3"/>
        <charset val="134"/>
      </rPr>
      <t>平垫：</t>
    </r>
    <r>
      <rPr>
        <sz val="11"/>
        <color theme="1"/>
        <rFont val="Arial"/>
        <family val="2"/>
      </rPr>
      <t>M10*2.0t*28</t>
    </r>
    <r>
      <rPr>
        <sz val="11"/>
        <color theme="1"/>
        <rFont val="宋体"/>
        <family val="3"/>
        <charset val="134"/>
      </rPr>
      <t>（外径</t>
    </r>
    <r>
      <rPr>
        <sz val="11"/>
        <color theme="1"/>
        <rFont val="Arial"/>
        <family val="2"/>
      </rPr>
      <t>28MM)</t>
    </r>
  </si>
  <si>
    <r>
      <rPr>
        <sz val="11"/>
        <color theme="1"/>
        <rFont val="宋体"/>
        <family val="3"/>
        <charset val="134"/>
      </rPr>
      <t>平垫：</t>
    </r>
    <r>
      <rPr>
        <sz val="11"/>
        <color theme="1"/>
        <rFont val="Arial"/>
        <family val="2"/>
      </rPr>
      <t>M10*5.0t*30</t>
    </r>
    <r>
      <rPr>
        <sz val="11"/>
        <color theme="1"/>
        <rFont val="宋体"/>
        <family val="3"/>
        <charset val="134"/>
      </rPr>
      <t>（外径30</t>
    </r>
    <r>
      <rPr>
        <sz val="11"/>
        <color theme="1"/>
        <rFont val="Arial"/>
        <family val="2"/>
      </rPr>
      <t>MM)</t>
    </r>
  </si>
  <si>
    <r>
      <rPr>
        <sz val="11"/>
        <color theme="1"/>
        <rFont val="宋体"/>
        <family val="3"/>
        <charset val="134"/>
      </rPr>
      <t>平垫：</t>
    </r>
    <r>
      <rPr>
        <sz val="11"/>
        <color theme="1"/>
        <rFont val="Arial"/>
        <family val="2"/>
      </rPr>
      <t>M12</t>
    </r>
  </si>
  <si>
    <r>
      <rPr>
        <sz val="11"/>
        <color theme="1"/>
        <rFont val="宋体"/>
        <family val="3"/>
        <charset val="134"/>
      </rPr>
      <t>平垫：</t>
    </r>
    <r>
      <rPr>
        <sz val="11"/>
        <color theme="1"/>
        <rFont val="Arial"/>
        <family val="2"/>
      </rPr>
      <t>M12*3.0t*24</t>
    </r>
    <r>
      <rPr>
        <sz val="11"/>
        <color theme="1"/>
        <rFont val="宋体"/>
        <family val="3"/>
        <charset val="134"/>
      </rPr>
      <t>（外径</t>
    </r>
    <r>
      <rPr>
        <sz val="11"/>
        <color theme="1"/>
        <rFont val="Arial"/>
        <family val="2"/>
      </rPr>
      <t>24MM)</t>
    </r>
  </si>
  <si>
    <r>
      <rPr>
        <sz val="11"/>
        <color theme="1"/>
        <rFont val="宋体"/>
        <family val="3"/>
        <charset val="134"/>
      </rPr>
      <t>平垫：</t>
    </r>
    <r>
      <rPr>
        <sz val="11"/>
        <color theme="1"/>
        <rFont val="Arial"/>
        <family val="2"/>
      </rPr>
      <t>M12*3.0t*44</t>
    </r>
    <r>
      <rPr>
        <sz val="11"/>
        <color theme="1"/>
        <rFont val="宋体"/>
        <family val="3"/>
        <charset val="134"/>
      </rPr>
      <t>（外径</t>
    </r>
    <r>
      <rPr>
        <sz val="11"/>
        <color theme="1"/>
        <rFont val="Arial"/>
        <family val="2"/>
      </rPr>
      <t>44MM)</t>
    </r>
  </si>
  <si>
    <r>
      <rPr>
        <sz val="11"/>
        <color theme="1"/>
        <rFont val="宋体"/>
        <family val="3"/>
        <charset val="134"/>
      </rPr>
      <t>平垫：</t>
    </r>
    <r>
      <rPr>
        <sz val="11"/>
        <color theme="1"/>
        <rFont val="Arial"/>
        <family val="2"/>
      </rPr>
      <t>M12*3.0t*50</t>
    </r>
    <r>
      <rPr>
        <sz val="11"/>
        <color theme="1"/>
        <rFont val="宋体"/>
        <family val="3"/>
        <charset val="134"/>
      </rPr>
      <t>（外径</t>
    </r>
    <r>
      <rPr>
        <sz val="11"/>
        <color theme="1"/>
        <rFont val="Arial"/>
        <family val="2"/>
      </rPr>
      <t>50MM)</t>
    </r>
  </si>
  <si>
    <r>
      <rPr>
        <sz val="11"/>
        <color theme="1"/>
        <rFont val="宋体"/>
        <family val="3"/>
        <charset val="134"/>
      </rPr>
      <t>平垫：</t>
    </r>
    <r>
      <rPr>
        <sz val="11"/>
        <color theme="1"/>
        <rFont val="Arial"/>
        <family val="2"/>
      </rPr>
      <t>M16</t>
    </r>
  </si>
  <si>
    <r>
      <rPr>
        <sz val="11"/>
        <color theme="1"/>
        <rFont val="宋体"/>
        <family val="3"/>
        <charset val="134"/>
      </rPr>
      <t>平垫：</t>
    </r>
    <r>
      <rPr>
        <sz val="11"/>
        <color theme="1"/>
        <rFont val="Arial"/>
        <family val="2"/>
      </rPr>
      <t>M16</t>
    </r>
    <r>
      <rPr>
        <sz val="11"/>
        <color theme="1"/>
        <rFont val="宋体"/>
        <family val="3"/>
        <charset val="134"/>
      </rPr>
      <t>（外径30mm/内径17mm/厚度3.0mm）</t>
    </r>
  </si>
  <si>
    <r>
      <rPr>
        <sz val="11"/>
        <color theme="1"/>
        <rFont val="宋体"/>
        <family val="3"/>
        <charset val="134"/>
      </rPr>
      <t>平垫：</t>
    </r>
    <r>
      <rPr>
        <sz val="11"/>
        <color theme="1"/>
        <rFont val="Arial"/>
        <family val="2"/>
      </rPr>
      <t>M20</t>
    </r>
  </si>
  <si>
    <r>
      <rPr>
        <sz val="11"/>
        <color theme="1"/>
        <rFont val="宋体"/>
        <family val="3"/>
        <charset val="134"/>
      </rPr>
      <t>平垫：</t>
    </r>
    <r>
      <rPr>
        <sz val="11"/>
        <color theme="1"/>
        <rFont val="Arial"/>
        <family val="2"/>
      </rPr>
      <t>M20</t>
    </r>
    <r>
      <rPr>
        <sz val="11"/>
        <color theme="1"/>
        <rFont val="宋体"/>
        <family val="3"/>
        <charset val="134"/>
      </rPr>
      <t>（外径39mm/内径21mm/厚度3.0mm）</t>
    </r>
  </si>
  <si>
    <r>
      <rPr>
        <sz val="11"/>
        <color theme="1"/>
        <rFont val="宋体"/>
        <family val="3"/>
        <charset val="134"/>
      </rPr>
      <t>平垫：</t>
    </r>
    <r>
      <rPr>
        <sz val="11"/>
        <color theme="1"/>
        <rFont val="Arial"/>
        <family val="2"/>
      </rPr>
      <t>M24</t>
    </r>
  </si>
  <si>
    <r>
      <rPr>
        <sz val="11"/>
        <color theme="1"/>
        <rFont val="宋体"/>
        <family val="3"/>
        <charset val="134"/>
      </rPr>
      <t>安全销：</t>
    </r>
    <r>
      <rPr>
        <sz val="11"/>
        <color theme="1"/>
        <rFont val="Arial"/>
        <family val="2"/>
      </rPr>
      <t>Ø5*30</t>
    </r>
    <r>
      <rPr>
        <sz val="11"/>
        <color theme="1"/>
        <rFont val="宋体"/>
        <family val="3"/>
        <charset val="134"/>
      </rPr>
      <t>（这种长度需要定做，起订量</t>
    </r>
    <r>
      <rPr>
        <sz val="11"/>
        <color theme="1"/>
        <rFont val="Arial"/>
        <family val="2"/>
      </rPr>
      <t>40000</t>
    </r>
    <r>
      <rPr>
        <sz val="11"/>
        <color theme="1"/>
        <rFont val="宋体"/>
        <family val="3"/>
        <charset val="134"/>
      </rPr>
      <t>只）</t>
    </r>
  </si>
  <si>
    <r>
      <rPr>
        <sz val="11"/>
        <color theme="1"/>
        <rFont val="宋体"/>
        <family val="3"/>
        <charset val="134"/>
      </rPr>
      <t>安全销：</t>
    </r>
    <r>
      <rPr>
        <sz val="11"/>
        <color theme="1"/>
        <rFont val="Arial"/>
        <family val="2"/>
      </rPr>
      <t>Ø6*35</t>
    </r>
  </si>
  <si>
    <r>
      <rPr>
        <sz val="11"/>
        <color theme="1"/>
        <rFont val="宋体"/>
        <family val="3"/>
        <charset val="134"/>
      </rPr>
      <t>安全销：</t>
    </r>
    <r>
      <rPr>
        <sz val="11"/>
        <color theme="1"/>
        <rFont val="Arial"/>
        <family val="2"/>
      </rPr>
      <t>Ø7*38</t>
    </r>
    <r>
      <rPr>
        <sz val="11"/>
        <color theme="1"/>
        <rFont val="宋体"/>
        <family val="3"/>
        <charset val="134"/>
      </rPr>
      <t>（两侧带耳朵）</t>
    </r>
  </si>
  <si>
    <r>
      <rPr>
        <sz val="11"/>
        <color theme="1"/>
        <rFont val="宋体"/>
        <family val="3"/>
        <charset val="134"/>
      </rPr>
      <t>安全销：</t>
    </r>
    <r>
      <rPr>
        <sz val="11"/>
        <color theme="1"/>
        <rFont val="Arial"/>
        <family val="2"/>
      </rPr>
      <t>Ø7*38</t>
    </r>
    <r>
      <rPr>
        <sz val="11"/>
        <color theme="1"/>
        <rFont val="宋体"/>
        <family val="3"/>
        <charset val="134"/>
      </rPr>
      <t>（不带耳朵）</t>
    </r>
  </si>
  <si>
    <r>
      <rPr>
        <sz val="11"/>
        <color theme="1"/>
        <rFont val="宋体"/>
        <family val="3"/>
        <charset val="134"/>
      </rPr>
      <t>（镀达克罗）安全销：</t>
    </r>
    <r>
      <rPr>
        <sz val="11"/>
        <color theme="1"/>
        <rFont val="Arial"/>
        <family val="2"/>
      </rPr>
      <t>Ø7*38</t>
    </r>
    <r>
      <rPr>
        <sz val="11"/>
        <color theme="1"/>
        <rFont val="宋体"/>
        <family val="3"/>
        <charset val="134"/>
      </rPr>
      <t>（两侧带耳朵）</t>
    </r>
  </si>
  <si>
    <r>
      <rPr>
        <sz val="11"/>
        <color theme="1"/>
        <rFont val="宋体"/>
        <family val="3"/>
        <charset val="134"/>
      </rPr>
      <t>镀锌垫管：</t>
    </r>
    <r>
      <rPr>
        <sz val="11"/>
        <color theme="1"/>
        <rFont val="Arial"/>
        <family val="2"/>
      </rPr>
      <t>14*33</t>
    </r>
  </si>
  <si>
    <r>
      <rPr>
        <sz val="11"/>
        <color theme="1"/>
        <rFont val="宋体"/>
        <family val="3"/>
        <charset val="134"/>
      </rPr>
      <t>镀锌垫管：</t>
    </r>
    <r>
      <rPr>
        <sz val="11"/>
        <color theme="1"/>
        <rFont val="Arial"/>
        <family val="2"/>
      </rPr>
      <t>14*43</t>
    </r>
  </si>
  <si>
    <r>
      <rPr>
        <sz val="11"/>
        <color theme="1"/>
        <rFont val="宋体"/>
        <family val="3"/>
        <charset val="134"/>
      </rPr>
      <t>镀锌垫管：</t>
    </r>
    <r>
      <rPr>
        <sz val="11"/>
        <color theme="1"/>
        <rFont val="Arial"/>
        <family val="2"/>
      </rPr>
      <t>14*47</t>
    </r>
  </si>
  <si>
    <r>
      <rPr>
        <sz val="11"/>
        <color theme="1"/>
        <rFont val="宋体"/>
        <family val="3"/>
        <charset val="134"/>
      </rPr>
      <t>镀锌垫管：</t>
    </r>
    <r>
      <rPr>
        <sz val="11"/>
        <color theme="1"/>
        <rFont val="Arial"/>
        <family val="2"/>
      </rPr>
      <t>14*53</t>
    </r>
  </si>
  <si>
    <r>
      <rPr>
        <sz val="11"/>
        <color theme="1"/>
        <rFont val="宋体"/>
        <family val="3"/>
        <charset val="134"/>
      </rPr>
      <t>镀锌垫管：</t>
    </r>
    <r>
      <rPr>
        <sz val="11"/>
        <color theme="1"/>
        <rFont val="Arial"/>
        <family val="2"/>
      </rPr>
      <t>14*57</t>
    </r>
  </si>
  <si>
    <r>
      <rPr>
        <sz val="11"/>
        <color theme="1"/>
        <rFont val="宋体"/>
        <family val="3"/>
        <charset val="134"/>
      </rPr>
      <t>镀锌垫管：</t>
    </r>
    <r>
      <rPr>
        <sz val="11"/>
        <color theme="1"/>
        <rFont val="Arial"/>
        <family val="2"/>
      </rPr>
      <t>14*73</t>
    </r>
  </si>
  <si>
    <r>
      <rPr>
        <sz val="11"/>
        <color theme="1"/>
        <rFont val="宋体"/>
        <family val="3"/>
        <charset val="134"/>
      </rPr>
      <t>镀锌垫管：</t>
    </r>
    <r>
      <rPr>
        <sz val="11"/>
        <color theme="1"/>
        <rFont val="Arial"/>
        <family val="2"/>
      </rPr>
      <t>14*77</t>
    </r>
  </si>
  <si>
    <t>挪威抽屉轴承：（含轴、轴承、钢珠、卡簧）/套</t>
  </si>
  <si>
    <r>
      <rPr>
        <sz val="11"/>
        <color theme="1"/>
        <rFont val="宋体"/>
        <family val="3"/>
        <charset val="134"/>
      </rPr>
      <t>外六角自攻自转螺栓（不锈钢）：</t>
    </r>
    <r>
      <rPr>
        <sz val="11"/>
        <color theme="1"/>
        <rFont val="Arial"/>
        <family val="2"/>
      </rPr>
      <t>M5*25</t>
    </r>
  </si>
  <si>
    <r>
      <rPr>
        <sz val="11"/>
        <color theme="1"/>
        <rFont val="宋体"/>
        <family val="3"/>
        <charset val="134"/>
      </rPr>
      <t>平头十字自攻自转螺栓（不锈钢）：</t>
    </r>
    <r>
      <rPr>
        <sz val="11"/>
        <color theme="1"/>
        <rFont val="Arial"/>
        <family val="2"/>
      </rPr>
      <t>M5*25</t>
    </r>
  </si>
  <si>
    <r>
      <rPr>
        <sz val="11"/>
        <color theme="1"/>
        <rFont val="Arial"/>
        <family val="2"/>
      </rPr>
      <t>8.8</t>
    </r>
    <r>
      <rPr>
        <sz val="11"/>
        <color theme="1"/>
        <rFont val="宋体"/>
        <family val="3"/>
        <charset val="134"/>
      </rPr>
      <t>级圆头方颈螺栓（镀锌）：</t>
    </r>
    <r>
      <rPr>
        <sz val="11"/>
        <color theme="1"/>
        <rFont val="Arial"/>
        <family val="2"/>
      </rPr>
      <t>M10*20</t>
    </r>
  </si>
  <si>
    <r>
      <rPr>
        <sz val="11"/>
        <color theme="1"/>
        <rFont val="Arial"/>
        <family val="2"/>
      </rPr>
      <t>8.8</t>
    </r>
    <r>
      <rPr>
        <sz val="11"/>
        <color theme="1"/>
        <rFont val="宋体"/>
        <family val="3"/>
        <charset val="134"/>
      </rPr>
      <t>级圆头方颈（马车）螺栓（镀锌）：</t>
    </r>
    <r>
      <rPr>
        <sz val="11"/>
        <color theme="1"/>
        <rFont val="Arial"/>
        <family val="2"/>
      </rPr>
      <t>M10*25</t>
    </r>
  </si>
  <si>
    <r>
      <rPr>
        <sz val="11"/>
        <color theme="1"/>
        <rFont val="Arial"/>
        <family val="2"/>
      </rPr>
      <t>8.8</t>
    </r>
    <r>
      <rPr>
        <sz val="11"/>
        <color theme="1"/>
        <rFont val="宋体"/>
        <family val="3"/>
        <charset val="134"/>
      </rPr>
      <t>级半圆头内六角螺栓（镀锌）：</t>
    </r>
    <r>
      <rPr>
        <sz val="11"/>
        <color theme="1"/>
        <rFont val="Arial"/>
        <family val="2"/>
      </rPr>
      <t>M10*50</t>
    </r>
  </si>
  <si>
    <r>
      <rPr>
        <sz val="11"/>
        <color theme="1"/>
        <rFont val="宋体"/>
        <family val="3"/>
        <charset val="134"/>
      </rPr>
      <t>加长螺母（镀锌）：</t>
    </r>
    <r>
      <rPr>
        <sz val="11"/>
        <color theme="1"/>
        <rFont val="Arial"/>
        <family val="2"/>
      </rPr>
      <t>M10*50</t>
    </r>
  </si>
  <si>
    <r>
      <rPr>
        <sz val="11"/>
        <color theme="1"/>
        <rFont val="Arial"/>
        <family val="2"/>
      </rPr>
      <t>8.8</t>
    </r>
    <r>
      <rPr>
        <sz val="11"/>
        <color theme="1"/>
        <rFont val="宋体"/>
        <family val="3"/>
        <charset val="134"/>
      </rPr>
      <t>级半圆头内六角螺栓（镀锌）：</t>
    </r>
    <r>
      <rPr>
        <sz val="11"/>
        <color theme="1"/>
        <rFont val="Arial"/>
        <family val="2"/>
      </rPr>
      <t>M10*60</t>
    </r>
  </si>
  <si>
    <r>
      <rPr>
        <sz val="11"/>
        <color theme="1"/>
        <rFont val="宋体"/>
        <family val="3"/>
        <charset val="134"/>
      </rPr>
      <t>（马车螺栓）</t>
    </r>
    <r>
      <rPr>
        <sz val="11"/>
        <color theme="1"/>
        <rFont val="Arial"/>
        <family val="2"/>
      </rPr>
      <t>4.8</t>
    </r>
    <r>
      <rPr>
        <sz val="11"/>
        <color theme="1"/>
        <rFont val="宋体"/>
        <family val="3"/>
        <charset val="134"/>
      </rPr>
      <t>级圆头四方螺栓（镀锌）：</t>
    </r>
    <r>
      <rPr>
        <sz val="11"/>
        <color theme="1"/>
        <rFont val="Arial"/>
        <family val="2"/>
      </rPr>
      <t>M8*150</t>
    </r>
  </si>
  <si>
    <r>
      <rPr>
        <sz val="11"/>
        <color theme="1"/>
        <rFont val="宋体"/>
        <family val="3"/>
        <charset val="134"/>
      </rPr>
      <t>（马车螺栓）</t>
    </r>
    <r>
      <rPr>
        <sz val="11"/>
        <color theme="1"/>
        <rFont val="Arial"/>
        <family val="2"/>
      </rPr>
      <t>4.8</t>
    </r>
    <r>
      <rPr>
        <sz val="11"/>
        <color theme="1"/>
        <rFont val="宋体"/>
        <family val="3"/>
        <charset val="134"/>
      </rPr>
      <t>级圆头四方螺栓（镀锌）：</t>
    </r>
    <r>
      <rPr>
        <sz val="11"/>
        <color theme="1"/>
        <rFont val="Arial"/>
        <family val="2"/>
      </rPr>
      <t>M8*180</t>
    </r>
    <r>
      <rPr>
        <sz val="11"/>
        <color theme="1"/>
        <rFont val="宋体"/>
        <family val="3"/>
        <charset val="134"/>
      </rPr>
      <t>（螺纹</t>
    </r>
    <r>
      <rPr>
        <sz val="11"/>
        <color theme="1"/>
        <rFont val="Arial"/>
        <family val="2"/>
      </rPr>
      <t>75MM</t>
    </r>
    <r>
      <rPr>
        <sz val="11"/>
        <color theme="1"/>
        <rFont val="宋体"/>
        <family val="3"/>
        <charset val="134"/>
      </rPr>
      <t>）</t>
    </r>
  </si>
  <si>
    <r>
      <rPr>
        <sz val="11"/>
        <color theme="1"/>
        <rFont val="宋体"/>
        <family val="3"/>
        <charset val="134"/>
      </rPr>
      <t>配套插销：Ø</t>
    </r>
    <r>
      <rPr>
        <sz val="11"/>
        <color theme="1"/>
        <rFont val="Arial"/>
        <family val="2"/>
      </rPr>
      <t>6.5*56</t>
    </r>
  </si>
  <si>
    <r>
      <rPr>
        <sz val="11"/>
        <color theme="1"/>
        <rFont val="Arial"/>
        <family val="2"/>
      </rPr>
      <t>4.8</t>
    </r>
    <r>
      <rPr>
        <sz val="11"/>
        <color theme="1"/>
        <rFont val="宋体"/>
        <family val="3"/>
        <charset val="134"/>
      </rPr>
      <t>级圆头十字螺栓（镀锌）：</t>
    </r>
    <r>
      <rPr>
        <sz val="11"/>
        <color theme="1"/>
        <rFont val="Arial"/>
        <family val="2"/>
      </rPr>
      <t>M8*70</t>
    </r>
  </si>
  <si>
    <r>
      <rPr>
        <sz val="11"/>
        <color theme="1"/>
        <rFont val="Arial"/>
        <family val="2"/>
      </rPr>
      <t>8.8</t>
    </r>
    <r>
      <rPr>
        <sz val="11"/>
        <color theme="1"/>
        <rFont val="宋体"/>
        <family val="3"/>
        <charset val="134"/>
      </rPr>
      <t>级外六角螺栓</t>
    </r>
    <r>
      <rPr>
        <b/>
        <sz val="11"/>
        <color theme="1"/>
        <rFont val="宋体"/>
        <family val="3"/>
        <charset val="134"/>
      </rPr>
      <t>（镀锌）</t>
    </r>
    <r>
      <rPr>
        <sz val="11"/>
        <color theme="1"/>
        <rFont val="宋体"/>
        <family val="3"/>
        <charset val="134"/>
      </rPr>
      <t>：</t>
    </r>
    <r>
      <rPr>
        <sz val="11"/>
        <color theme="1"/>
        <rFont val="Arial"/>
        <family val="2"/>
      </rPr>
      <t>M27*170</t>
    </r>
    <r>
      <rPr>
        <sz val="11"/>
        <color theme="1"/>
        <rFont val="宋体"/>
        <family val="3"/>
        <charset val="134"/>
      </rPr>
      <t>（</t>
    </r>
    <r>
      <rPr>
        <sz val="11"/>
        <color theme="1"/>
        <rFont val="Arial"/>
        <family val="2"/>
      </rPr>
      <t>1</t>
    </r>
    <r>
      <rPr>
        <sz val="11"/>
        <color theme="1"/>
        <rFont val="宋体"/>
        <family val="3"/>
        <charset val="134"/>
      </rPr>
      <t>平垫、1螺母）</t>
    </r>
  </si>
  <si>
    <r>
      <rPr>
        <sz val="11"/>
        <color theme="1"/>
        <rFont val="Arial"/>
        <family val="2"/>
      </rPr>
      <t>8.8</t>
    </r>
    <r>
      <rPr>
        <sz val="11"/>
        <color theme="1"/>
        <rFont val="宋体"/>
        <family val="3"/>
        <charset val="134"/>
      </rPr>
      <t>级外六角螺栓</t>
    </r>
    <r>
      <rPr>
        <b/>
        <sz val="11"/>
        <color theme="1"/>
        <rFont val="宋体"/>
        <family val="3"/>
        <charset val="134"/>
      </rPr>
      <t>（热镀锌）</t>
    </r>
    <r>
      <rPr>
        <sz val="11"/>
        <color theme="1"/>
        <rFont val="宋体"/>
        <family val="3"/>
        <charset val="134"/>
      </rPr>
      <t>：</t>
    </r>
    <r>
      <rPr>
        <sz val="11"/>
        <color theme="1"/>
        <rFont val="Arial"/>
        <family val="2"/>
      </rPr>
      <t>M27*170</t>
    </r>
    <r>
      <rPr>
        <sz val="11"/>
        <color theme="1"/>
        <rFont val="宋体"/>
        <family val="3"/>
        <charset val="134"/>
      </rPr>
      <t>（</t>
    </r>
    <r>
      <rPr>
        <sz val="11"/>
        <color theme="1"/>
        <rFont val="Arial"/>
        <family val="2"/>
      </rPr>
      <t>1</t>
    </r>
    <r>
      <rPr>
        <sz val="11"/>
        <color theme="1"/>
        <rFont val="宋体"/>
        <family val="3"/>
        <charset val="134"/>
      </rPr>
      <t>平垫、1螺母）</t>
    </r>
  </si>
  <si>
    <r>
      <rPr>
        <sz val="11"/>
        <color theme="1"/>
        <rFont val="Arial"/>
        <family val="2"/>
      </rPr>
      <t>M10*24</t>
    </r>
    <r>
      <rPr>
        <sz val="11"/>
        <color theme="1"/>
        <rFont val="宋体"/>
        <family val="3"/>
        <charset val="134"/>
      </rPr>
      <t>拉铆螺母</t>
    </r>
  </si>
  <si>
    <r>
      <rPr>
        <sz val="11"/>
        <color theme="1"/>
        <rFont val="宋体"/>
        <family val="3"/>
        <charset val="134"/>
      </rPr>
      <t>自攻自转外六角螺栓（镀锌）：</t>
    </r>
    <r>
      <rPr>
        <sz val="11"/>
        <color theme="1"/>
        <rFont val="Arial"/>
        <family val="2"/>
      </rPr>
      <t>M5*25</t>
    </r>
  </si>
  <si>
    <r>
      <rPr>
        <sz val="11"/>
        <color theme="1"/>
        <rFont val="宋体"/>
        <family val="3"/>
        <charset val="134"/>
      </rPr>
      <t>自攻自转半圆头螺栓（镀锌）：</t>
    </r>
    <r>
      <rPr>
        <sz val="11"/>
        <color theme="1"/>
        <rFont val="Arial"/>
        <family val="2"/>
      </rPr>
      <t>M5*25/30</t>
    </r>
  </si>
  <si>
    <r>
      <rPr>
        <sz val="11"/>
        <color theme="1"/>
        <rFont val="宋体"/>
        <family val="3"/>
        <charset val="134"/>
      </rPr>
      <t>自攻自转外六角螺栓（镀锌）：</t>
    </r>
    <r>
      <rPr>
        <sz val="11"/>
        <color theme="1"/>
        <rFont val="Arial"/>
        <family val="2"/>
      </rPr>
      <t>M5*65</t>
    </r>
  </si>
  <si>
    <r>
      <rPr>
        <sz val="11"/>
        <color theme="1"/>
        <rFont val="宋体"/>
        <family val="3"/>
        <charset val="134"/>
      </rPr>
      <t>抽芯铆钉：</t>
    </r>
    <r>
      <rPr>
        <sz val="11"/>
        <color theme="1"/>
        <rFont val="Arial"/>
        <family val="2"/>
      </rPr>
      <t>M5*20/30</t>
    </r>
  </si>
  <si>
    <r>
      <rPr>
        <sz val="11"/>
        <color theme="1"/>
        <rFont val="宋体"/>
        <family val="3"/>
        <charset val="134"/>
      </rPr>
      <t>花篮螺栓：</t>
    </r>
    <r>
      <rPr>
        <sz val="11"/>
        <color theme="1"/>
        <rFont val="宋体"/>
        <family val="3"/>
        <charset val="134"/>
      </rPr>
      <t>M12*200</t>
    </r>
  </si>
  <si>
    <t>花篮螺栓：M12×200</t>
  </si>
  <si>
    <r>
      <rPr>
        <sz val="11"/>
        <color theme="1"/>
        <rFont val="Arial"/>
        <family val="2"/>
      </rPr>
      <t>304</t>
    </r>
    <r>
      <rPr>
        <sz val="11"/>
        <color theme="1"/>
        <rFont val="宋体"/>
        <family val="3"/>
        <charset val="134"/>
      </rPr>
      <t>不锈钢外六角螺栓：</t>
    </r>
    <r>
      <rPr>
        <sz val="11"/>
        <color theme="1"/>
        <rFont val="Arial"/>
        <family val="2"/>
      </rPr>
      <t>M10*65</t>
    </r>
    <r>
      <rPr>
        <sz val="11"/>
        <color theme="1"/>
        <rFont val="宋体"/>
        <family val="3"/>
        <charset val="134"/>
      </rPr>
      <t>（</t>
    </r>
    <r>
      <rPr>
        <sz val="11"/>
        <color theme="1"/>
        <rFont val="Arial"/>
        <family val="2"/>
      </rPr>
      <t>1</t>
    </r>
    <r>
      <rPr>
        <sz val="11"/>
        <color theme="1"/>
        <rFont val="宋体"/>
        <family val="3"/>
        <charset val="134"/>
      </rPr>
      <t>法兰螺母）</t>
    </r>
  </si>
  <si>
    <r>
      <rPr>
        <sz val="11"/>
        <color theme="1"/>
        <rFont val="宋体"/>
        <family val="3"/>
        <charset val="134"/>
      </rPr>
      <t>镀铬外六角螺栓：</t>
    </r>
    <r>
      <rPr>
        <sz val="11"/>
        <color theme="1"/>
        <rFont val="Arial"/>
        <family val="2"/>
      </rPr>
      <t>M10*65</t>
    </r>
    <r>
      <rPr>
        <sz val="11"/>
        <color theme="1"/>
        <rFont val="宋体"/>
        <family val="3"/>
        <charset val="134"/>
      </rPr>
      <t>（</t>
    </r>
    <r>
      <rPr>
        <sz val="11"/>
        <color theme="1"/>
        <rFont val="Arial"/>
        <family val="2"/>
      </rPr>
      <t>1</t>
    </r>
    <r>
      <rPr>
        <sz val="11"/>
        <color theme="1"/>
        <rFont val="宋体"/>
        <family val="3"/>
        <charset val="134"/>
      </rPr>
      <t>法兰螺母）</t>
    </r>
  </si>
  <si>
    <r>
      <rPr>
        <sz val="11"/>
        <color theme="1"/>
        <rFont val="Arial"/>
        <family val="2"/>
      </rPr>
      <t>304</t>
    </r>
    <r>
      <rPr>
        <sz val="11"/>
        <color theme="1"/>
        <rFont val="宋体"/>
        <family val="3"/>
        <charset val="134"/>
      </rPr>
      <t>不锈钢外六角螺栓：</t>
    </r>
    <r>
      <rPr>
        <sz val="11"/>
        <color theme="1"/>
        <rFont val="Arial"/>
        <family val="2"/>
      </rPr>
      <t>M10*25</t>
    </r>
    <r>
      <rPr>
        <sz val="11"/>
        <color theme="1"/>
        <rFont val="宋体"/>
        <family val="3"/>
        <charset val="134"/>
      </rPr>
      <t>（</t>
    </r>
    <r>
      <rPr>
        <sz val="11"/>
        <color theme="1"/>
        <rFont val="Arial"/>
        <family val="2"/>
      </rPr>
      <t>1</t>
    </r>
    <r>
      <rPr>
        <sz val="11"/>
        <color theme="1"/>
        <rFont val="宋体"/>
        <family val="3"/>
        <charset val="134"/>
      </rPr>
      <t>法兰螺母）</t>
    </r>
  </si>
  <si>
    <r>
      <rPr>
        <sz val="11"/>
        <color theme="1"/>
        <rFont val="宋体"/>
        <family val="3"/>
        <charset val="134"/>
      </rPr>
      <t>镀铬外六角螺栓：</t>
    </r>
    <r>
      <rPr>
        <sz val="11"/>
        <color theme="1"/>
        <rFont val="Arial"/>
        <family val="2"/>
      </rPr>
      <t>M10*25</t>
    </r>
    <r>
      <rPr>
        <sz val="11"/>
        <color theme="1"/>
        <rFont val="宋体"/>
        <family val="3"/>
        <charset val="134"/>
      </rPr>
      <t>（</t>
    </r>
    <r>
      <rPr>
        <sz val="11"/>
        <color theme="1"/>
        <rFont val="Arial"/>
        <family val="2"/>
      </rPr>
      <t>1</t>
    </r>
    <r>
      <rPr>
        <sz val="11"/>
        <color theme="1"/>
        <rFont val="宋体"/>
        <family val="3"/>
        <charset val="134"/>
      </rPr>
      <t>法兰螺母）</t>
    </r>
  </si>
  <si>
    <r>
      <rPr>
        <sz val="11"/>
        <color theme="1"/>
        <rFont val="Arial"/>
        <family val="2"/>
      </rPr>
      <t>304</t>
    </r>
    <r>
      <rPr>
        <sz val="11"/>
        <color theme="1"/>
        <rFont val="宋体"/>
        <family val="3"/>
        <charset val="134"/>
      </rPr>
      <t>不锈钢马车螺栓：</t>
    </r>
    <r>
      <rPr>
        <sz val="11"/>
        <color theme="1"/>
        <rFont val="Arial"/>
        <family val="2"/>
      </rPr>
      <t>M10*25</t>
    </r>
    <r>
      <rPr>
        <sz val="11"/>
        <color theme="1"/>
        <rFont val="宋体"/>
        <family val="3"/>
        <charset val="134"/>
      </rPr>
      <t>（</t>
    </r>
    <r>
      <rPr>
        <sz val="11"/>
        <color theme="1"/>
        <rFont val="Arial"/>
        <family val="2"/>
      </rPr>
      <t>1</t>
    </r>
    <r>
      <rPr>
        <sz val="11"/>
        <color theme="1"/>
        <rFont val="宋体"/>
        <family val="3"/>
        <charset val="134"/>
      </rPr>
      <t>法兰螺母）</t>
    </r>
  </si>
  <si>
    <r>
      <rPr>
        <sz val="11"/>
        <color theme="1"/>
        <rFont val="宋体"/>
        <family val="3"/>
        <charset val="134"/>
      </rPr>
      <t>镀铬马车螺栓：</t>
    </r>
    <r>
      <rPr>
        <sz val="11"/>
        <color theme="1"/>
        <rFont val="Arial"/>
        <family val="2"/>
      </rPr>
      <t>M10*25</t>
    </r>
    <r>
      <rPr>
        <sz val="11"/>
        <color theme="1"/>
        <rFont val="宋体"/>
        <family val="3"/>
        <charset val="134"/>
      </rPr>
      <t>（</t>
    </r>
    <r>
      <rPr>
        <sz val="11"/>
        <color theme="1"/>
        <rFont val="Arial"/>
        <family val="2"/>
      </rPr>
      <t>1</t>
    </r>
    <r>
      <rPr>
        <sz val="11"/>
        <color theme="1"/>
        <rFont val="宋体"/>
        <family val="3"/>
        <charset val="134"/>
      </rPr>
      <t>法兰螺母）</t>
    </r>
  </si>
  <si>
    <r>
      <rPr>
        <sz val="11"/>
        <color theme="1"/>
        <rFont val="Arial"/>
        <family val="2"/>
      </rPr>
      <t>304</t>
    </r>
    <r>
      <rPr>
        <sz val="11"/>
        <color theme="1"/>
        <rFont val="宋体"/>
        <family val="3"/>
        <charset val="134"/>
      </rPr>
      <t>不锈钢外六角螺栓：</t>
    </r>
    <r>
      <rPr>
        <sz val="11"/>
        <color theme="1"/>
        <rFont val="Arial"/>
        <family val="2"/>
      </rPr>
      <t>M20*150</t>
    </r>
    <r>
      <rPr>
        <sz val="11"/>
        <color theme="1"/>
        <rFont val="宋体"/>
        <family val="3"/>
        <charset val="134"/>
      </rPr>
      <t>（</t>
    </r>
    <r>
      <rPr>
        <sz val="11"/>
        <color theme="1"/>
        <rFont val="Arial"/>
        <family val="2"/>
      </rPr>
      <t>2</t>
    </r>
    <r>
      <rPr>
        <sz val="11"/>
        <color theme="1"/>
        <rFont val="宋体"/>
        <family val="3"/>
        <charset val="134"/>
      </rPr>
      <t>螺母</t>
    </r>
    <r>
      <rPr>
        <sz val="11"/>
        <color theme="1"/>
        <rFont val="Arial"/>
        <family val="2"/>
      </rPr>
      <t>+2</t>
    </r>
    <r>
      <rPr>
        <sz val="11"/>
        <color theme="1"/>
        <rFont val="宋体"/>
        <family val="3"/>
        <charset val="134"/>
      </rPr>
      <t>弹垫</t>
    </r>
    <r>
      <rPr>
        <sz val="11"/>
        <color theme="1"/>
        <rFont val="Arial"/>
        <family val="2"/>
      </rPr>
      <t>+2</t>
    </r>
    <r>
      <rPr>
        <sz val="11"/>
        <color theme="1"/>
        <rFont val="宋体"/>
        <family val="3"/>
        <charset val="134"/>
      </rPr>
      <t>平垫）</t>
    </r>
  </si>
  <si>
    <r>
      <rPr>
        <sz val="11"/>
        <color theme="1"/>
        <rFont val="Arial"/>
        <family val="2"/>
      </rPr>
      <t>304</t>
    </r>
    <r>
      <rPr>
        <sz val="11"/>
        <color theme="1"/>
        <rFont val="宋体"/>
        <family val="3"/>
        <charset val="134"/>
      </rPr>
      <t>不锈钢化学螺栓：</t>
    </r>
    <r>
      <rPr>
        <sz val="11"/>
        <color theme="1"/>
        <rFont val="Arial"/>
        <family val="2"/>
      </rPr>
      <t>M16*190</t>
    </r>
    <r>
      <rPr>
        <sz val="11"/>
        <color theme="1"/>
        <rFont val="宋体"/>
        <family val="3"/>
        <charset val="134"/>
      </rPr>
      <t>（配</t>
    </r>
    <r>
      <rPr>
        <sz val="11"/>
        <color theme="1"/>
        <rFont val="Arial"/>
        <family val="2"/>
      </rPr>
      <t>1</t>
    </r>
    <r>
      <rPr>
        <sz val="11"/>
        <color theme="1"/>
        <rFont val="宋体"/>
        <family val="3"/>
        <charset val="134"/>
      </rPr>
      <t>弹垫）</t>
    </r>
  </si>
  <si>
    <t>手工新增部分</t>
  </si>
  <si>
    <t>A3</t>
  </si>
  <si>
    <r>
      <rPr>
        <sz val="11"/>
        <color indexed="8"/>
        <rFont val="Arial"/>
        <family val="2"/>
      </rPr>
      <t>8.8</t>
    </r>
    <r>
      <rPr>
        <sz val="11"/>
        <color indexed="8"/>
        <rFont val="等线"/>
        <family val="3"/>
        <charset val="134"/>
      </rPr>
      <t>级外六角螺栓</t>
    </r>
    <r>
      <rPr>
        <sz val="11"/>
        <color indexed="8"/>
        <rFont val="宋体"/>
        <family val="3"/>
        <charset val="134"/>
      </rPr>
      <t>：</t>
    </r>
    <r>
      <rPr>
        <sz val="11"/>
        <color indexed="8"/>
        <rFont val="Arial"/>
        <family val="2"/>
      </rPr>
      <t>M10*20</t>
    </r>
    <r>
      <rPr>
        <sz val="11"/>
        <color indexed="8"/>
        <rFont val="等线"/>
        <family val="3"/>
        <charset val="134"/>
      </rPr>
      <t>（配</t>
    </r>
    <r>
      <rPr>
        <sz val="11"/>
        <color indexed="8"/>
        <rFont val="Arial"/>
        <family val="2"/>
      </rPr>
      <t>1</t>
    </r>
    <r>
      <rPr>
        <sz val="11"/>
        <color indexed="8"/>
        <rFont val="宋体"/>
        <family val="3"/>
        <charset val="134"/>
      </rPr>
      <t>法兰</t>
    </r>
    <r>
      <rPr>
        <sz val="11"/>
        <color indexed="8"/>
        <rFont val="等线"/>
        <family val="3"/>
        <charset val="134"/>
      </rPr>
      <t>螺母）</t>
    </r>
  </si>
  <si>
    <t>A4</t>
  </si>
  <si>
    <r>
      <rPr>
        <sz val="11"/>
        <color theme="1"/>
        <rFont val="宋体"/>
        <family val="3"/>
        <charset val="134"/>
      </rPr>
      <t>安全销：</t>
    </r>
    <r>
      <rPr>
        <sz val="11"/>
        <color theme="1"/>
        <rFont val="Arial"/>
        <family val="2"/>
      </rPr>
      <t>Ø5*35</t>
    </r>
  </si>
  <si>
    <t>A5</t>
  </si>
  <si>
    <r>
      <rPr>
        <sz val="11"/>
        <color indexed="8"/>
        <rFont val="宋体"/>
        <family val="3"/>
        <charset val="134"/>
      </rPr>
      <t>车修外膨胀</t>
    </r>
    <r>
      <rPr>
        <sz val="11"/>
        <color indexed="8"/>
        <rFont val="等线"/>
        <family val="3"/>
        <charset val="134"/>
      </rPr>
      <t>螺栓</t>
    </r>
    <r>
      <rPr>
        <sz val="11"/>
        <color indexed="8"/>
        <rFont val="宋体"/>
        <family val="3"/>
        <charset val="134"/>
      </rPr>
      <t>：</t>
    </r>
    <r>
      <rPr>
        <sz val="11"/>
        <color indexed="8"/>
        <rFont val="Arial"/>
        <family val="2"/>
      </rPr>
      <t>M10*100</t>
    </r>
  </si>
  <si>
    <t>A6</t>
  </si>
  <si>
    <t>A7</t>
  </si>
  <si>
    <t>A8</t>
  </si>
  <si>
    <t>A9</t>
  </si>
  <si>
    <t>A10</t>
  </si>
  <si>
    <t>A11</t>
  </si>
  <si>
    <t>SHM55A.10.Pregal</t>
  </si>
  <si>
    <t>A12</t>
  </si>
  <si>
    <t>SHM55B.10.Pregal</t>
  </si>
  <si>
    <t>A13</t>
  </si>
  <si>
    <r>
      <rPr>
        <sz val="11"/>
        <color theme="1"/>
        <rFont val="宋体"/>
        <family val="3"/>
        <charset val="134"/>
      </rPr>
      <t>镀锌楼板扣件（</t>
    </r>
    <r>
      <rPr>
        <sz val="11"/>
        <color theme="1"/>
        <rFont val="Arial"/>
        <family val="2"/>
      </rPr>
      <t>1</t>
    </r>
    <r>
      <rPr>
        <sz val="11"/>
        <color theme="1"/>
        <rFont val="宋体"/>
        <family val="3"/>
        <charset val="134"/>
      </rPr>
      <t>底座</t>
    </r>
    <r>
      <rPr>
        <sz val="11"/>
        <color theme="1"/>
        <rFont val="Arial"/>
        <family val="2"/>
      </rPr>
      <t>+2</t>
    </r>
    <r>
      <rPr>
        <sz val="11"/>
        <color theme="1"/>
        <rFont val="宋体"/>
        <family val="3"/>
        <charset val="134"/>
      </rPr>
      <t>弯钩螺栓</t>
    </r>
    <r>
      <rPr>
        <sz val="11"/>
        <color theme="1"/>
        <rFont val="Arial"/>
        <family val="2"/>
      </rPr>
      <t>M8*155+1</t>
    </r>
    <r>
      <rPr>
        <sz val="11"/>
        <color theme="1"/>
        <rFont val="宋体"/>
        <family val="3"/>
        <charset val="134"/>
      </rPr>
      <t>法兰螺母）</t>
    </r>
  </si>
  <si>
    <t>A14</t>
  </si>
  <si>
    <t>螺栓</t>
  </si>
  <si>
    <t>A15</t>
  </si>
  <si>
    <t>A16</t>
  </si>
  <si>
    <t>新西兰</t>
  </si>
  <si>
    <t>A17</t>
  </si>
  <si>
    <t>A18</t>
  </si>
  <si>
    <r>
      <rPr>
        <sz val="11"/>
        <color indexed="8"/>
        <rFont val="宋体"/>
        <family val="3"/>
        <charset val="134"/>
      </rPr>
      <t>配套插销：Ø</t>
    </r>
    <r>
      <rPr>
        <sz val="11"/>
        <color indexed="8"/>
        <rFont val="Arial"/>
        <family val="2"/>
      </rPr>
      <t>6*56</t>
    </r>
  </si>
  <si>
    <t>A19</t>
  </si>
  <si>
    <t>A20</t>
  </si>
  <si>
    <t>M8.L45</t>
  </si>
  <si>
    <t>A21</t>
  </si>
  <si>
    <t>其他</t>
  </si>
  <si>
    <t>A22</t>
  </si>
  <si>
    <t>A23</t>
  </si>
  <si>
    <t>A24</t>
  </si>
  <si>
    <t>A25</t>
  </si>
  <si>
    <t>A26</t>
  </si>
  <si>
    <t>A27</t>
  </si>
  <si>
    <r>
      <rPr>
        <sz val="11"/>
        <color theme="1"/>
        <rFont val="宋体"/>
        <family val="3"/>
        <charset val="134"/>
      </rPr>
      <t>花篮螺栓：</t>
    </r>
    <r>
      <rPr>
        <sz val="11"/>
        <color theme="1"/>
        <rFont val="Arial"/>
        <family val="2"/>
      </rPr>
      <t>M14*200</t>
    </r>
  </si>
  <si>
    <r>
      <rPr>
        <sz val="11"/>
        <color theme="1"/>
        <rFont val="宋体"/>
        <family val="3"/>
        <charset val="134"/>
      </rPr>
      <t>花篮螺栓：</t>
    </r>
    <r>
      <rPr>
        <sz val="11"/>
        <color theme="1"/>
        <rFont val="Arial"/>
        <family val="2"/>
      </rPr>
      <t>M16*250</t>
    </r>
  </si>
  <si>
    <t>穿梭板项目部件报价</t>
  </si>
  <si>
    <t>单位</t>
  </si>
  <si>
    <r>
      <rPr>
        <sz val="11"/>
        <rFont val="华文中宋"/>
        <family val="3"/>
        <charset val="134"/>
      </rPr>
      <t>总价</t>
    </r>
    <r>
      <rPr>
        <sz val="11"/>
        <color indexed="8"/>
        <rFont val="Arial"/>
        <family val="2"/>
      </rPr>
      <t xml:space="preserve">   (</t>
    </r>
    <r>
      <rPr>
        <sz val="11"/>
        <color indexed="8"/>
        <rFont val="华文中宋"/>
        <family val="3"/>
        <charset val="134"/>
      </rPr>
      <t>元</t>
    </r>
    <r>
      <rPr>
        <sz val="11"/>
        <color indexed="8"/>
        <rFont val="Arial"/>
        <family val="2"/>
      </rPr>
      <t>)</t>
    </r>
  </si>
  <si>
    <t>件</t>
  </si>
  <si>
    <r>
      <rPr>
        <sz val="11"/>
        <color indexed="8"/>
        <rFont val="宋体"/>
        <family val="3"/>
        <charset val="134"/>
      </rPr>
      <t>配堡力思</t>
    </r>
    <r>
      <rPr>
        <sz val="11"/>
        <color indexed="8"/>
        <rFont val="Arial"/>
        <family val="2"/>
      </rPr>
      <t>9</t>
    </r>
    <r>
      <rPr>
        <sz val="11"/>
        <color indexed="8"/>
        <rFont val="Arial"/>
        <family val="2"/>
      </rPr>
      <t>0*70</t>
    </r>
    <r>
      <rPr>
        <sz val="11"/>
        <color indexed="8"/>
        <rFont val="宋体"/>
        <family val="3"/>
        <charset val="134"/>
      </rPr>
      <t>（</t>
    </r>
    <r>
      <rPr>
        <sz val="11"/>
        <color indexed="8"/>
        <rFont val="Arial"/>
        <family val="2"/>
      </rPr>
      <t>75</t>
    </r>
    <r>
      <rPr>
        <sz val="11"/>
        <color indexed="8"/>
        <rFont val="宋体"/>
        <family val="3"/>
        <charset val="134"/>
      </rPr>
      <t>步距）立柱</t>
    </r>
  </si>
  <si>
    <t>含打弯后折弯整形</t>
  </si>
  <si>
    <t>块</t>
  </si>
  <si>
    <t>酸洗板</t>
  </si>
  <si>
    <t>只</t>
  </si>
  <si>
    <t>W245*287.5</t>
  </si>
  <si>
    <t>W245*311.5</t>
  </si>
  <si>
    <t>吨</t>
  </si>
  <si>
    <r>
      <rPr>
        <b/>
        <sz val="14"/>
        <rFont val="宋体"/>
        <family val="3"/>
        <charset val="134"/>
      </rPr>
      <t>美式</t>
    </r>
    <r>
      <rPr>
        <b/>
        <sz val="14"/>
        <rFont val="Arial"/>
        <family val="2"/>
      </rPr>
      <t>P</t>
    </r>
    <r>
      <rPr>
        <b/>
        <sz val="14"/>
        <rFont val="宋体"/>
        <family val="3"/>
        <charset val="134"/>
      </rPr>
      <t>梁报价表</t>
    </r>
  </si>
  <si>
    <r>
      <rPr>
        <sz val="11"/>
        <color indexed="8"/>
        <rFont val="华文中宋"/>
        <family val="3"/>
        <charset val="134"/>
      </rPr>
      <t>序号</t>
    </r>
  </si>
  <si>
    <r>
      <rPr>
        <sz val="11"/>
        <rFont val="华文中宋"/>
        <family val="3"/>
        <charset val="134"/>
      </rPr>
      <t>单价（吨</t>
    </r>
    <r>
      <rPr>
        <sz val="11"/>
        <rFont val="Arial"/>
        <family val="2"/>
      </rPr>
      <t>/</t>
    </r>
    <r>
      <rPr>
        <sz val="11"/>
        <rFont val="华文中宋"/>
        <family val="3"/>
        <charset val="134"/>
      </rPr>
      <t>元）</t>
    </r>
    <r>
      <rPr>
        <sz val="11"/>
        <color indexed="8"/>
        <rFont val="Arial"/>
        <family val="2"/>
      </rPr>
      <t xml:space="preserve">  </t>
    </r>
  </si>
  <si>
    <r>
      <rPr>
        <sz val="11"/>
        <rFont val="华文中宋"/>
        <family val="3"/>
        <charset val="134"/>
      </rPr>
      <t>备注</t>
    </r>
  </si>
  <si>
    <t>3. 含税含运费</t>
  </si>
  <si>
    <t>P127*63.5*1.5</t>
  </si>
  <si>
    <t>P139.7*63.5*1.5</t>
  </si>
  <si>
    <t>P152.4*63.5*1.5</t>
  </si>
  <si>
    <r>
      <rPr>
        <b/>
        <sz val="11"/>
        <color theme="1"/>
        <rFont val="等线"/>
        <family val="3"/>
        <charset val="134"/>
      </rPr>
      <t>名称</t>
    </r>
    <r>
      <rPr>
        <b/>
        <sz val="11"/>
        <color theme="1"/>
        <rFont val="Arial"/>
        <family val="2"/>
      </rPr>
      <t>/</t>
    </r>
    <r>
      <rPr>
        <b/>
        <sz val="11"/>
        <color theme="1"/>
        <rFont val="等线"/>
        <family val="3"/>
        <charset val="134"/>
      </rPr>
      <t>规格</t>
    </r>
  </si>
  <si>
    <r>
      <rPr>
        <b/>
        <sz val="11"/>
        <rFont val="等线"/>
        <family val="3"/>
        <charset val="134"/>
      </rPr>
      <t>常规镀锌（套</t>
    </r>
    <r>
      <rPr>
        <b/>
        <sz val="11"/>
        <rFont val="Arial"/>
        <family val="2"/>
      </rPr>
      <t>/</t>
    </r>
    <r>
      <rPr>
        <b/>
        <sz val="11"/>
        <rFont val="等线"/>
        <family val="3"/>
        <charset val="134"/>
      </rPr>
      <t>元）</t>
    </r>
  </si>
  <si>
    <t>240套/箱</t>
  </si>
  <si>
    <r>
      <rPr>
        <sz val="11"/>
        <color theme="1"/>
        <rFont val="宋体"/>
        <family val="3"/>
        <charset val="134"/>
      </rPr>
      <t>酷比安全销</t>
    </r>
    <r>
      <rPr>
        <sz val="11"/>
        <color theme="1"/>
        <rFont val="Arial"/>
        <family val="2"/>
      </rPr>
      <t xml:space="preserve">         </t>
    </r>
    <r>
      <rPr>
        <sz val="11"/>
        <color theme="1"/>
        <rFont val="宋体"/>
        <family val="3"/>
        <charset val="134"/>
      </rPr>
      <t>起订量</t>
    </r>
    <r>
      <rPr>
        <sz val="11"/>
        <color theme="1"/>
        <rFont val="Arial"/>
        <family val="2"/>
      </rPr>
      <t>10000-12000</t>
    </r>
  </si>
  <si>
    <r>
      <rPr>
        <sz val="11"/>
        <color theme="1"/>
        <rFont val="Arial"/>
        <family val="2"/>
      </rPr>
      <t>76.2</t>
    </r>
    <r>
      <rPr>
        <sz val="11"/>
        <color theme="1"/>
        <rFont val="宋体"/>
        <family val="3"/>
        <charset val="134"/>
      </rPr>
      <t>步距弹簧销</t>
    </r>
    <r>
      <rPr>
        <sz val="11"/>
        <color theme="1"/>
        <rFont val="Arial"/>
        <family val="2"/>
      </rPr>
      <t xml:space="preserve">  </t>
    </r>
    <r>
      <rPr>
        <sz val="11"/>
        <color theme="1"/>
        <rFont val="宋体"/>
        <family val="3"/>
        <charset val="134"/>
      </rPr>
      <t>起订量</t>
    </r>
    <r>
      <rPr>
        <sz val="11"/>
        <color theme="1"/>
        <rFont val="Arial"/>
        <family val="2"/>
      </rPr>
      <t>3000-5000</t>
    </r>
  </si>
  <si>
    <r>
      <rPr>
        <sz val="11"/>
        <color theme="1"/>
        <rFont val="Arial"/>
        <family val="2"/>
      </rPr>
      <t>8.8</t>
    </r>
    <r>
      <rPr>
        <sz val="11"/>
        <color theme="1"/>
        <rFont val="等线"/>
        <family val="3"/>
        <charset val="134"/>
      </rPr>
      <t>级外六角螺栓</t>
    </r>
    <r>
      <rPr>
        <sz val="11"/>
        <color theme="1"/>
        <rFont val="宋体"/>
        <family val="3"/>
        <charset val="134"/>
      </rPr>
      <t>：</t>
    </r>
    <r>
      <rPr>
        <sz val="11"/>
        <color theme="1"/>
        <rFont val="Arial"/>
        <family val="2"/>
      </rPr>
      <t>M8*16</t>
    </r>
    <r>
      <rPr>
        <sz val="11"/>
        <color theme="1"/>
        <rFont val="宋体"/>
        <family val="3"/>
        <charset val="134"/>
      </rPr>
      <t>（配</t>
    </r>
    <r>
      <rPr>
        <sz val="11"/>
        <color theme="1"/>
        <rFont val="Arial"/>
        <family val="2"/>
      </rPr>
      <t>1</t>
    </r>
    <r>
      <rPr>
        <sz val="11"/>
        <color theme="1"/>
        <rFont val="宋体"/>
        <family val="3"/>
        <charset val="134"/>
      </rPr>
      <t>法兰螺母）</t>
    </r>
  </si>
  <si>
    <r>
      <rPr>
        <sz val="11"/>
        <color theme="1"/>
        <rFont val="宋体"/>
        <family val="3"/>
        <charset val="134"/>
      </rPr>
      <t>之前报价</t>
    </r>
    <r>
      <rPr>
        <sz val="11"/>
        <color theme="1"/>
        <rFont val="Arial"/>
        <family val="2"/>
      </rPr>
      <t>0.159/</t>
    </r>
    <r>
      <rPr>
        <sz val="11"/>
        <color theme="1"/>
        <rFont val="宋体"/>
        <family val="3"/>
        <charset val="134"/>
      </rPr>
      <t>个报价是项目报价，有其他品种，数量多，单独采购是</t>
    </r>
    <r>
      <rPr>
        <sz val="11"/>
        <color theme="1"/>
        <rFont val="Arial"/>
        <family val="2"/>
      </rPr>
      <t>0.18</t>
    </r>
    <r>
      <rPr>
        <sz val="11"/>
        <color theme="1"/>
        <rFont val="宋体"/>
        <family val="3"/>
        <charset val="134"/>
      </rPr>
      <t>元</t>
    </r>
    <r>
      <rPr>
        <sz val="11"/>
        <color theme="1"/>
        <rFont val="Arial"/>
        <family val="2"/>
      </rPr>
      <t>/</t>
    </r>
    <r>
      <rPr>
        <sz val="11"/>
        <color theme="1"/>
        <rFont val="宋体"/>
        <family val="3"/>
        <charset val="134"/>
      </rPr>
      <t>个.</t>
    </r>
  </si>
  <si>
    <r>
      <rPr>
        <sz val="11"/>
        <color theme="1"/>
        <rFont val="宋体"/>
        <family val="3"/>
        <charset val="134"/>
      </rPr>
      <t>花篮螺栓：</t>
    </r>
    <r>
      <rPr>
        <sz val="11"/>
        <color theme="1"/>
        <rFont val="Arial"/>
        <family val="2"/>
      </rPr>
      <t>M12*200</t>
    </r>
  </si>
  <si>
    <t>P&amp;D beam</t>
    <phoneticPr fontId="120" type="noConversion"/>
  </si>
  <si>
    <t>MHJ L护脚</t>
  </si>
  <si>
    <t>MHJ L护脚</t>
    <phoneticPr fontId="120" type="noConversion"/>
  </si>
  <si>
    <t>L110*110*6.0,without bolt</t>
    <phoneticPr fontId="120" type="noConversion"/>
  </si>
  <si>
    <t>Steel flooring with holes</t>
    <phoneticPr fontId="120" type="noConversion"/>
  </si>
  <si>
    <t>阁楼平台</t>
    <phoneticPr fontId="120" type="noConversion"/>
  </si>
  <si>
    <t>Plastic column guard</t>
    <phoneticPr fontId="120" type="noConversion"/>
  </si>
  <si>
    <t>H500, for post 90</t>
    <phoneticPr fontId="120" type="noConversion"/>
  </si>
  <si>
    <t>MHJ 塑料护脚90</t>
    <phoneticPr fontId="120" type="noConversion"/>
  </si>
  <si>
    <t>MHJ 楼板带圆孔</t>
    <phoneticPr fontId="120" type="noConversion"/>
  </si>
  <si>
    <t>0.6镀锌板4.280</t>
  </si>
  <si>
    <t xml:space="preserve"> 0.8/1.0   4.200/4.150</t>
  </si>
  <si>
    <t xml:space="preserve"> 角钢L4040.3.0t   3.730</t>
  </si>
  <si>
    <t>每次10吨以上价格4,050</t>
  </si>
  <si>
    <t>每次10吨以上价格4.030</t>
  </si>
  <si>
    <t>iGTB企业网银登录</t>
  </si>
  <si>
    <t>每次10吨以上价格4,100</t>
  </si>
  <si>
    <t>热开平板 10.0t   3.640</t>
  </si>
  <si>
    <t>Total</t>
    <phoneticPr fontId="120" type="noConversion"/>
  </si>
  <si>
    <t>巴西雷亚尔</t>
  </si>
  <si>
    <t>以下Q355B卷板材料价格含一次检测费用价格</t>
  </si>
  <si>
    <t>热轧材料价格</t>
  </si>
  <si>
    <t>J100*50*1.5  4.280/J50*30*1.5  4280</t>
  </si>
  <si>
    <t>所有矩管价格为热轧带钢价格，2.0t及以下卷板材料价格增加200/吨</t>
  </si>
  <si>
    <t>半光亮带价格</t>
  </si>
  <si>
    <t>CHAUD PRO-HAMIDI TAMIM / Construction Métallique</t>
  </si>
  <si>
    <t>CHA</t>
    <phoneticPr fontId="120" type="noConversion"/>
  </si>
  <si>
    <t>Mr.Mohamed</t>
    <phoneticPr fontId="120" type="noConversion"/>
  </si>
  <si>
    <t>含FP140H4,垫板和螺栓</t>
    <phoneticPr fontId="120" type="noConversion"/>
  </si>
  <si>
    <t>with 140H4 foot plate, shim plate and bolts,</t>
    <phoneticPr fontId="120" type="noConversion"/>
  </si>
  <si>
    <t>2026.2.9</t>
  </si>
  <si>
    <t>材料成本</t>
    <phoneticPr fontId="120" type="noConversion"/>
  </si>
  <si>
    <t>工费成本</t>
    <phoneticPr fontId="120" type="noConversion"/>
  </si>
  <si>
    <t>采购成本</t>
    <phoneticPr fontId="120" type="noConversion"/>
  </si>
  <si>
    <t>Capital Racking Ltd</t>
  </si>
  <si>
    <t>BMW</t>
    <phoneticPr fontId="120" type="noConversion"/>
  </si>
  <si>
    <t>2026.2.26</t>
  </si>
  <si>
    <t>无锡联创/2026.2.26</t>
  </si>
  <si>
    <t>相宜本/2.2       4.050</t>
  </si>
  <si>
    <t>相宜本/2.2       4.040</t>
  </si>
  <si>
    <t>相宜本/2.2       4.030</t>
  </si>
  <si>
    <t>相宜本/2.2       4.020</t>
  </si>
  <si>
    <t>无锡广润/2023.8.7</t>
  </si>
  <si>
    <t>杭州热联/2026.2.26</t>
  </si>
  <si>
    <t>Q355B   1.8t  3.740（石横）</t>
  </si>
  <si>
    <t>Q355B   2.0t  3.730（石横）</t>
  </si>
  <si>
    <t>Q355B   2.3t  3.710（石横）</t>
  </si>
  <si>
    <t>南京阿黑/2026.2.26</t>
  </si>
  <si>
    <t>Q355B   1.5t  3.780（石横）</t>
  </si>
  <si>
    <t>2.26  J70*50*4.75t  3.980</t>
  </si>
  <si>
    <t>2.26  F200*5.75t 3.980</t>
  </si>
  <si>
    <t>2.26  F200*7.75t  3.980</t>
  </si>
  <si>
    <t>无锡冉升/2026.2.26</t>
  </si>
  <si>
    <t>2.26 阿黑冷带1.2   4.230/卷板1.5/2.0  4.280</t>
  </si>
  <si>
    <t>2.26 冉升卷板价格4.310</t>
  </si>
  <si>
    <t>南京龙兴腾/2026.2.26</t>
  </si>
  <si>
    <t>5.660是批量价格，量少至少要5.720</t>
  </si>
  <si>
    <r>
      <t xml:space="preserve"> </t>
    </r>
    <r>
      <rPr>
        <sz val="11"/>
        <color indexed="8"/>
        <rFont val="宋体"/>
        <family val="3"/>
        <charset val="134"/>
      </rPr>
      <t>品名及规格</t>
    </r>
  </si>
  <si>
    <r>
      <t>单价（元）</t>
    </r>
    <r>
      <rPr>
        <sz val="11"/>
        <color indexed="8"/>
        <rFont val="Arial"/>
        <family val="2"/>
      </rPr>
      <t xml:space="preserve">  </t>
    </r>
  </si>
  <si>
    <r>
      <t>轨道连接件：</t>
    </r>
    <r>
      <rPr>
        <sz val="11"/>
        <color indexed="8"/>
        <rFont val="Arial"/>
        <family val="2"/>
      </rPr>
      <t>200*125*3.0t</t>
    </r>
    <r>
      <rPr>
        <sz val="11"/>
        <color indexed="8"/>
        <rFont val="宋体"/>
        <family val="3"/>
        <charset val="134"/>
      </rPr>
      <t>（酸洗板）</t>
    </r>
  </si>
  <si>
    <r>
      <t>前后挡板：</t>
    </r>
    <r>
      <rPr>
        <sz val="11"/>
        <color indexed="8"/>
        <rFont val="Arial"/>
        <family val="2"/>
      </rPr>
      <t>216*125*3.5t</t>
    </r>
  </si>
  <si>
    <r>
      <t>前后挡板：</t>
    </r>
    <r>
      <rPr>
        <sz val="11"/>
        <color indexed="8"/>
        <rFont val="Arial"/>
        <family val="2"/>
      </rPr>
      <t>216*125*</t>
    </r>
    <r>
      <rPr>
        <sz val="11"/>
        <color indexed="8"/>
        <rFont val="Arial"/>
        <family val="2"/>
      </rPr>
      <t>5</t>
    </r>
    <r>
      <rPr>
        <sz val="11"/>
        <color indexed="8"/>
        <rFont val="Arial"/>
        <family val="2"/>
      </rPr>
      <t>t</t>
    </r>
  </si>
  <si>
    <r>
      <t>穿梭车前牛腿：</t>
    </r>
    <r>
      <rPr>
        <sz val="11"/>
        <color indexed="8"/>
        <rFont val="Arial"/>
        <family val="2"/>
      </rPr>
      <t>202*245*3.0t</t>
    </r>
    <r>
      <rPr>
        <sz val="11"/>
        <color indexed="8"/>
        <rFont val="宋体"/>
        <family val="3"/>
        <charset val="134"/>
      </rPr>
      <t>（酸洗板）</t>
    </r>
  </si>
  <si>
    <r>
      <t>穿梭车前牛腿：</t>
    </r>
    <r>
      <rPr>
        <sz val="11"/>
        <color indexed="8"/>
        <rFont val="Arial"/>
        <family val="2"/>
      </rPr>
      <t>202*268*3.0t</t>
    </r>
    <r>
      <rPr>
        <sz val="11"/>
        <color indexed="8"/>
        <rFont val="宋体"/>
        <family val="3"/>
        <charset val="134"/>
      </rPr>
      <t>（酸洗板）</t>
    </r>
  </si>
  <si>
    <r>
      <t>穿梭车后牛腿：</t>
    </r>
    <r>
      <rPr>
        <sz val="11"/>
        <color indexed="8"/>
        <rFont val="Arial"/>
        <family val="2"/>
      </rPr>
      <t>197*245*3.0t</t>
    </r>
    <r>
      <rPr>
        <sz val="11"/>
        <color indexed="8"/>
        <rFont val="宋体"/>
        <family val="3"/>
        <charset val="134"/>
      </rPr>
      <t>（酸洗板）</t>
    </r>
  </si>
  <si>
    <r>
      <t>穿梭车后牛腿：</t>
    </r>
    <r>
      <rPr>
        <sz val="11"/>
        <color indexed="8"/>
        <rFont val="Arial"/>
        <family val="2"/>
      </rPr>
      <t>197*268*3.0t</t>
    </r>
    <r>
      <rPr>
        <sz val="11"/>
        <color indexed="8"/>
        <rFont val="宋体"/>
        <family val="3"/>
        <charset val="134"/>
      </rPr>
      <t>（酸洗板）</t>
    </r>
  </si>
  <si>
    <r>
      <t>四向车牛腿：</t>
    </r>
    <r>
      <rPr>
        <sz val="11"/>
        <color indexed="8"/>
        <rFont val="Arial"/>
        <family val="2"/>
      </rPr>
      <t>197*268*3.0t</t>
    </r>
    <r>
      <rPr>
        <sz val="11"/>
        <color indexed="8"/>
        <rFont val="宋体"/>
        <family val="3"/>
        <charset val="134"/>
      </rPr>
      <t>（酸洗板）</t>
    </r>
  </si>
  <si>
    <r>
      <t>特殊柱卡：</t>
    </r>
    <r>
      <rPr>
        <sz val="11"/>
        <color indexed="8"/>
        <rFont val="Arial"/>
        <family val="2"/>
      </rPr>
      <t>220*102*3.0t</t>
    </r>
    <r>
      <rPr>
        <sz val="11"/>
        <color indexed="8"/>
        <rFont val="宋体"/>
        <family val="3"/>
        <charset val="134"/>
      </rPr>
      <t>（酸洗板</t>
    </r>
    <r>
      <rPr>
        <sz val="11"/>
        <color indexed="8"/>
        <rFont val="Arial"/>
        <family val="2"/>
      </rPr>
      <t>)</t>
    </r>
  </si>
  <si>
    <r>
      <t>特殊柱卡：</t>
    </r>
    <r>
      <rPr>
        <sz val="11"/>
        <color indexed="8"/>
        <rFont val="Arial"/>
        <family val="2"/>
      </rPr>
      <t>220*102*3.5t</t>
    </r>
  </si>
  <si>
    <r>
      <t>特殊柱卡：</t>
    </r>
    <r>
      <rPr>
        <sz val="11"/>
        <color indexed="8"/>
        <rFont val="Arial"/>
        <family val="2"/>
      </rPr>
      <t>220*112*3.5t</t>
    </r>
  </si>
  <si>
    <r>
      <t>配堡力思</t>
    </r>
    <r>
      <rPr>
        <sz val="11"/>
        <color indexed="8"/>
        <rFont val="Arial"/>
        <family val="2"/>
      </rPr>
      <t>100*70</t>
    </r>
    <r>
      <rPr>
        <sz val="11"/>
        <color indexed="8"/>
        <rFont val="宋体"/>
        <family val="3"/>
        <charset val="134"/>
      </rPr>
      <t>（</t>
    </r>
    <r>
      <rPr>
        <sz val="11"/>
        <color indexed="8"/>
        <rFont val="Arial"/>
        <family val="2"/>
      </rPr>
      <t>75</t>
    </r>
    <r>
      <rPr>
        <sz val="11"/>
        <color indexed="8"/>
        <rFont val="宋体"/>
        <family val="3"/>
        <charset val="134"/>
      </rPr>
      <t>步距）立柱</t>
    </r>
  </si>
  <si>
    <r>
      <t>镀锌导向板：</t>
    </r>
    <r>
      <rPr>
        <sz val="11"/>
        <color indexed="8"/>
        <rFont val="Arial"/>
        <family val="2"/>
      </rPr>
      <t>100*90*110*2.0t*1250</t>
    </r>
  </si>
  <si>
    <r>
      <t>镀锌导向板：</t>
    </r>
    <r>
      <rPr>
        <sz val="11"/>
        <color indexed="8"/>
        <rFont val="Arial"/>
        <family val="2"/>
      </rPr>
      <t>100*90*110*2.5t*1250</t>
    </r>
  </si>
  <si>
    <r>
      <t>镀锌导向板：</t>
    </r>
    <r>
      <rPr>
        <sz val="11"/>
        <color indexed="8"/>
        <rFont val="Arial"/>
        <family val="2"/>
      </rPr>
      <t>100*90*110*2.</t>
    </r>
    <r>
      <rPr>
        <sz val="11"/>
        <color indexed="8"/>
        <rFont val="Arial"/>
        <family val="2"/>
      </rPr>
      <t>0</t>
    </r>
    <r>
      <rPr>
        <sz val="11"/>
        <color indexed="8"/>
        <rFont val="Arial"/>
        <family val="2"/>
      </rPr>
      <t>t*1350</t>
    </r>
  </si>
  <si>
    <r>
      <t>镀锌导向板：</t>
    </r>
    <r>
      <rPr>
        <sz val="11"/>
        <color indexed="8"/>
        <rFont val="Arial"/>
        <family val="2"/>
      </rPr>
      <t>100*90*110*2.5t*1350</t>
    </r>
  </si>
  <si>
    <r>
      <t>镀锌穿梭车导轨（</t>
    </r>
    <r>
      <rPr>
        <sz val="11"/>
        <color indexed="8"/>
        <rFont val="Arial"/>
        <family val="2"/>
      </rPr>
      <t>H163</t>
    </r>
    <r>
      <rPr>
        <sz val="11"/>
        <color indexed="8"/>
        <rFont val="宋体"/>
        <family val="3"/>
        <charset val="134"/>
      </rPr>
      <t>）</t>
    </r>
    <r>
      <rPr>
        <sz val="11"/>
        <color indexed="8"/>
        <rFont val="Arial"/>
        <family val="2"/>
      </rPr>
      <t>208*70*2.75t</t>
    </r>
    <r>
      <rPr>
        <sz val="11"/>
        <color indexed="8"/>
        <rFont val="宋体"/>
        <family val="3"/>
        <charset val="134"/>
      </rPr>
      <t>（锌层</t>
    </r>
    <r>
      <rPr>
        <sz val="11"/>
        <color indexed="8"/>
        <rFont val="Arial"/>
        <family val="2"/>
      </rPr>
      <t>120</t>
    </r>
    <r>
      <rPr>
        <sz val="11"/>
        <color indexed="8"/>
        <rFont val="宋体"/>
        <family val="3"/>
        <charset val="134"/>
      </rPr>
      <t>克）</t>
    </r>
  </si>
  <si>
    <r>
      <t xml:space="preserve">1. </t>
    </r>
    <r>
      <rPr>
        <sz val="11"/>
        <color indexed="8"/>
        <rFont val="宋体"/>
        <family val="3"/>
        <charset val="134"/>
      </rPr>
      <t>含</t>
    </r>
    <r>
      <rPr>
        <sz val="11"/>
        <color indexed="8"/>
        <rFont val="Arial"/>
        <family val="2"/>
      </rPr>
      <t>200</t>
    </r>
    <r>
      <rPr>
        <sz val="11"/>
        <color indexed="8"/>
        <rFont val="宋体"/>
        <family val="3"/>
        <charset val="134"/>
      </rPr>
      <t>元</t>
    </r>
    <r>
      <rPr>
        <sz val="11"/>
        <color indexed="8"/>
        <rFont val="Arial"/>
        <family val="2"/>
      </rPr>
      <t>/</t>
    </r>
    <r>
      <rPr>
        <sz val="11"/>
        <color indexed="8"/>
        <rFont val="宋体"/>
        <family val="3"/>
        <charset val="134"/>
      </rPr>
      <t>吨的有废料特殊液压剪下切费用；</t>
    </r>
    <r>
      <rPr>
        <sz val="11"/>
        <color indexed="8"/>
        <rFont val="Arial"/>
        <family val="2"/>
      </rPr>
      <t xml:space="preserve">2. </t>
    </r>
    <r>
      <rPr>
        <sz val="11"/>
        <color indexed="8"/>
        <rFont val="宋体"/>
        <family val="3"/>
        <charset val="134"/>
      </rPr>
      <t>报价需要</t>
    </r>
    <r>
      <rPr>
        <b/>
        <sz val="11"/>
        <color indexed="10"/>
        <rFont val="宋体"/>
        <family val="3"/>
        <charset val="134"/>
      </rPr>
      <t>另增加</t>
    </r>
    <r>
      <rPr>
        <sz val="11"/>
        <color indexed="8"/>
        <rFont val="宋体"/>
        <family val="3"/>
        <charset val="134"/>
      </rPr>
      <t>每根导轨</t>
    </r>
    <r>
      <rPr>
        <sz val="11"/>
        <color indexed="8"/>
        <rFont val="Arial"/>
        <family val="2"/>
      </rPr>
      <t>50mm</t>
    </r>
    <r>
      <rPr>
        <sz val="11"/>
        <color indexed="8"/>
        <rFont val="宋体"/>
        <family val="3"/>
        <charset val="134"/>
      </rPr>
      <t>的废料款</t>
    </r>
    <r>
      <rPr>
        <sz val="11"/>
        <color indexed="8"/>
        <rFont val="Arial"/>
        <family val="2"/>
      </rPr>
      <t>3.00</t>
    </r>
    <r>
      <rPr>
        <sz val="11"/>
        <color indexed="8"/>
        <rFont val="宋体"/>
        <family val="3"/>
        <charset val="134"/>
      </rPr>
      <t>元</t>
    </r>
    <r>
      <rPr>
        <sz val="11"/>
        <color indexed="8"/>
        <rFont val="Arial"/>
        <family val="2"/>
      </rPr>
      <t>/KG</t>
    </r>
    <r>
      <rPr>
        <sz val="11"/>
        <color indexed="8"/>
        <rFont val="宋体"/>
        <family val="3"/>
        <charset val="134"/>
      </rPr>
      <t>（成品</t>
    </r>
    <r>
      <rPr>
        <sz val="11"/>
        <color indexed="8"/>
        <rFont val="Arial"/>
        <family val="2"/>
      </rPr>
      <t>5.00/KG-</t>
    </r>
    <r>
      <rPr>
        <sz val="11"/>
        <color indexed="8"/>
        <rFont val="宋体"/>
        <family val="3"/>
        <charset val="134"/>
      </rPr>
      <t>废料</t>
    </r>
    <r>
      <rPr>
        <sz val="11"/>
        <color indexed="8"/>
        <rFont val="Arial"/>
        <family val="2"/>
      </rPr>
      <t>2.00/KG</t>
    </r>
    <r>
      <rPr>
        <sz val="11"/>
        <color indexed="8"/>
        <rFont val="宋体"/>
        <family val="3"/>
        <charset val="134"/>
      </rPr>
      <t>）。（如导轨厚度</t>
    </r>
    <r>
      <rPr>
        <sz val="11"/>
        <color indexed="8"/>
        <rFont val="Arial"/>
        <family val="2"/>
      </rPr>
      <t>3.0</t>
    </r>
    <r>
      <rPr>
        <sz val="11"/>
        <color indexed="8"/>
        <rFont val="宋体"/>
        <family val="3"/>
        <charset val="134"/>
      </rPr>
      <t>，数量</t>
    </r>
    <r>
      <rPr>
        <sz val="11"/>
        <color indexed="8"/>
        <rFont val="Arial"/>
        <family val="2"/>
      </rPr>
      <t>1000</t>
    </r>
    <r>
      <rPr>
        <sz val="11"/>
        <color indexed="8"/>
        <rFont val="宋体"/>
        <family val="3"/>
        <charset val="134"/>
      </rPr>
      <t>根，增加的成本为：废料</t>
    </r>
    <r>
      <rPr>
        <sz val="11"/>
        <color indexed="8"/>
        <rFont val="Arial"/>
        <family val="2"/>
      </rPr>
      <t>0.38KG/</t>
    </r>
    <r>
      <rPr>
        <sz val="11"/>
        <color indexed="8"/>
        <rFont val="宋体"/>
        <family val="3"/>
        <charset val="134"/>
      </rPr>
      <t>根</t>
    </r>
    <r>
      <rPr>
        <sz val="11"/>
        <color indexed="8"/>
        <rFont val="Arial"/>
        <family val="2"/>
      </rPr>
      <t>*3.00</t>
    </r>
    <r>
      <rPr>
        <sz val="11"/>
        <color indexed="8"/>
        <rFont val="宋体"/>
        <family val="3"/>
        <charset val="134"/>
      </rPr>
      <t>元</t>
    </r>
    <r>
      <rPr>
        <sz val="11"/>
        <color indexed="8"/>
        <rFont val="Arial"/>
        <family val="2"/>
      </rPr>
      <t>/KG*1000</t>
    </r>
    <r>
      <rPr>
        <sz val="11"/>
        <color indexed="8"/>
        <rFont val="宋体"/>
        <family val="3"/>
        <charset val="134"/>
      </rPr>
      <t>根</t>
    </r>
    <r>
      <rPr>
        <sz val="11"/>
        <color indexed="8"/>
        <rFont val="Arial"/>
        <family val="2"/>
      </rPr>
      <t>=1140</t>
    </r>
    <r>
      <rPr>
        <sz val="11"/>
        <color indexed="8"/>
        <rFont val="宋体"/>
        <family val="3"/>
        <charset val="134"/>
      </rPr>
      <t>元。）</t>
    </r>
  </si>
  <si>
    <r>
      <t>镀锌穿梭车导轨（</t>
    </r>
    <r>
      <rPr>
        <sz val="11"/>
        <color indexed="8"/>
        <rFont val="Arial"/>
        <family val="2"/>
      </rPr>
      <t>H163</t>
    </r>
    <r>
      <rPr>
        <sz val="11"/>
        <color indexed="8"/>
        <rFont val="宋体"/>
        <family val="3"/>
        <charset val="134"/>
      </rPr>
      <t>）</t>
    </r>
    <r>
      <rPr>
        <sz val="11"/>
        <color indexed="8"/>
        <rFont val="Arial"/>
        <family val="2"/>
      </rPr>
      <t>208*70*2.75t</t>
    </r>
    <r>
      <rPr>
        <sz val="11"/>
        <color indexed="8"/>
        <rFont val="宋体"/>
        <family val="3"/>
        <charset val="134"/>
      </rPr>
      <t>（锌层</t>
    </r>
    <r>
      <rPr>
        <sz val="11"/>
        <color indexed="8"/>
        <rFont val="Arial"/>
        <family val="2"/>
      </rPr>
      <t>180</t>
    </r>
    <r>
      <rPr>
        <sz val="11"/>
        <color indexed="8"/>
        <rFont val="宋体"/>
        <family val="3"/>
        <charset val="134"/>
      </rPr>
      <t>克）</t>
    </r>
  </si>
  <si>
    <r>
      <t xml:space="preserve">1. </t>
    </r>
    <r>
      <rPr>
        <b/>
        <sz val="11"/>
        <color indexed="8"/>
        <rFont val="宋体"/>
        <family val="3"/>
        <charset val="134"/>
      </rPr>
      <t>起订量</t>
    </r>
    <r>
      <rPr>
        <b/>
        <sz val="11"/>
        <color indexed="10"/>
        <rFont val="Arial"/>
        <family val="2"/>
      </rPr>
      <t>15</t>
    </r>
    <r>
      <rPr>
        <b/>
        <sz val="11"/>
        <color indexed="8"/>
        <rFont val="宋体"/>
        <family val="3"/>
        <charset val="134"/>
      </rPr>
      <t>吨</t>
    </r>
  </si>
  <si>
    <r>
      <t xml:space="preserve">2. </t>
    </r>
    <r>
      <rPr>
        <b/>
        <sz val="11"/>
        <color indexed="8"/>
        <rFont val="宋体"/>
        <family val="3"/>
        <charset val="134"/>
      </rPr>
      <t>材质</t>
    </r>
    <r>
      <rPr>
        <b/>
        <sz val="11"/>
        <color indexed="8"/>
        <rFont val="Arial"/>
        <family val="2"/>
      </rPr>
      <t>Q235B</t>
    </r>
    <r>
      <rPr>
        <b/>
        <sz val="11"/>
        <color indexed="8"/>
        <rFont val="宋体"/>
        <family val="3"/>
        <charset val="134"/>
      </rPr>
      <t>卷板</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</si>
</sst>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7">
    <numFmt numFmtId="43" formatCode="_ * #,##0.00_ ;_ * \-#,##0.00_ ;_ * &quot;-&quot;??_ ;_ @_ "/>
    <numFmt numFmtId="26" formatCode="\$#,##0.00_);[Red]\(\$#,##0.00\)"/>
    <numFmt numFmtId="176" formatCode="_(* #,##0.00_);_(* \(#,##0.00\);_(* &quot;-&quot;??_);_(@_)"/>
    <numFmt numFmtId="177" formatCode="0.000_ "/>
    <numFmt numFmtId="178" formatCode="0.000"/>
    <numFmt numFmtId="179" formatCode="0&quot;mm&quot;"/>
    <numFmt numFmtId="180" formatCode="_ * #,##0_ ;_ * \-#,##0_ ;_ * &quot;-&quot;??_ ;_ @_ "/>
    <numFmt numFmtId="181" formatCode="[$-F400]h:mm:ss\ AM/PM"/>
    <numFmt numFmtId="182" formatCode="0.00_);[Red]\(0.00\)"/>
    <numFmt numFmtId="183" formatCode="0.00_ "/>
    <numFmt numFmtId="184" formatCode="yyyy/m/d;@"/>
    <numFmt numFmtId="185" formatCode="0.0"/>
    <numFmt numFmtId="186" formatCode="[$¥-804]#,##0.00"/>
    <numFmt numFmtId="187" formatCode="[$¥-804]#,##0.00;[$¥-804]\-#,##0.00"/>
    <numFmt numFmtId="188" formatCode="0.000_);[Red]\(0.000\)"/>
    <numFmt numFmtId="189" formatCode="\¥#,##0.00_);\(\¥#,##0.00\)"/>
    <numFmt numFmtId="190" formatCode="0&quot;mm pitch&quot;"/>
    <numFmt numFmtId="191" formatCode="0_);[Red]\(0\)"/>
    <numFmt numFmtId="192" formatCode="&quot;深度&quot;\ 0"/>
    <numFmt numFmtId="193" formatCode="&quot;高度&quot;\ 0"/>
    <numFmt numFmtId="194" formatCode="&quot;立柱指定单价&quot;\ 0"/>
    <numFmt numFmtId="195" formatCode="&quot;有巷道拉 高度&quot;\ 0"/>
    <numFmt numFmtId="196" formatCode="&quot;斜撑节距&quot;\ 0"/>
    <numFmt numFmtId="197" formatCode="0.0&quot;节&quot;"/>
    <numFmt numFmtId="198" formatCode="&quot;首层高 &quot;0&quot; mm&quot;"/>
    <numFmt numFmtId="199" formatCode="&quot;推荐高度 &quot;0.0"/>
    <numFmt numFmtId="200" formatCode="&quot;顶拉连接件数量&quot;\ 0"/>
    <numFmt numFmtId="201" formatCode="&quot;重量单价&quot;\ 0"/>
    <numFmt numFmtId="202" formatCode="&quot;双语开关&quot;\ 0"/>
    <numFmt numFmtId="203" formatCode="&quot;指定横撑数&quot;\ 0"/>
    <numFmt numFmtId="204" formatCode="&quot;指定斜撑数&quot;\ 0"/>
    <numFmt numFmtId="205" formatCode="&quot;额外加工费&quot;0.00"/>
    <numFmt numFmtId="206" formatCode="0&quot;kg/bay&quot;"/>
    <numFmt numFmtId="207" formatCode="&quot;first level at &quot;0&quot; mm&quot;"/>
    <numFmt numFmtId="208" formatCode="\W0"/>
    <numFmt numFmtId="209" formatCode="&quot;H&quot;0"/>
    <numFmt numFmtId="210" formatCode="&quot;高度&quot;0"/>
    <numFmt numFmtId="211" formatCode="\L0"/>
    <numFmt numFmtId="212" formatCode="&quot;隔撑板数&quot;0"/>
    <numFmt numFmtId="213" formatCode="&quot;指定重量&quot;\ 0.00"/>
    <numFmt numFmtId="214" formatCode="&quot;指定单价&quot;\ 0"/>
    <numFmt numFmtId="215" formatCode="&quot;立柱面宽&quot;0"/>
    <numFmt numFmtId="216" formatCode="&quot;隔撑板高&quot;0.00"/>
    <numFmt numFmtId="217" formatCode="&quot;指定重量&quot;\ 0"/>
    <numFmt numFmtId="218" formatCode="&quot;D&quot;0"/>
    <numFmt numFmtId="219" formatCode="&quot;横梁长度&quot;\ 0"/>
    <numFmt numFmtId="220" formatCode="&quot;横梁指定单价&quot;\ 0"/>
    <numFmt numFmtId="221" formatCode="&quot;横梁承载&quot;\ 0"/>
    <numFmt numFmtId="222" formatCode="&quot;角钢重量&quot;0.00"/>
    <numFmt numFmtId="223" formatCode="&quot;角钢数量&quot;\ 0"/>
    <numFmt numFmtId="224" formatCode="&quot;连接件材料价&quot;\ 0.00"/>
    <numFmt numFmtId="225" formatCode="&quot;工费&quot;\ 0.00"/>
    <numFmt numFmtId="226" formatCode="&quot;角钢米重&quot;0.00"/>
    <numFmt numFmtId="227" formatCode="&quot;喷塑&quot;\ 0.00"/>
    <numFmt numFmtId="228" formatCode="&quot;非标柱卡重&quot;\ 0"/>
    <numFmt numFmtId="229" formatCode="&quot;重量&quot;0.00"/>
    <numFmt numFmtId="230" formatCode="&quot;厚度&quot;0.00&quot;mm&quot;"/>
    <numFmt numFmtId="231" formatCode="&quot;长度&quot;0"/>
    <numFmt numFmtId="232" formatCode="&quot;面积&quot;0.00"/>
    <numFmt numFmtId="233" formatCode="&quot;L&quot;0"/>
    <numFmt numFmtId="234" formatCode="&quot;直径&quot;0.0"/>
    <numFmt numFmtId="235" formatCode="&quot;筋数 &quot;0"/>
    <numFmt numFmtId="236" formatCode="&quot;筋厚 &quot;0.0"/>
    <numFmt numFmtId="237" formatCode="&quot;分成&quot;0&quot;片&quot;"/>
    <numFmt numFmtId="238" formatCode="&quot;指定单价&quot;0.00"/>
    <numFmt numFmtId="239" formatCode="&quot;筋宽&quot;0"/>
    <numFmt numFmtId="240" formatCode="&quot;每片承载 &quot;0"/>
    <numFmt numFmtId="241" formatCode="&quot;面积&quot;\ 0.000\ &quot;㎡&quot;"/>
    <numFmt numFmtId="242" formatCode="&quot;每层承载&quot;0"/>
    <numFmt numFmtId="243" formatCode="&quot;设计每层承载 &quot;0.00&quot; kg&quot;"/>
    <numFmt numFmtId="244" formatCode="&quot;板厚&quot;0.0"/>
    <numFmt numFmtId="245" formatCode="&quot;P梁减值 &quot;0"/>
    <numFmt numFmtId="246" formatCode="&quot;W&quot;0"/>
    <numFmt numFmtId="247" formatCode="&quot;拆分片数 &quot;0"/>
    <numFmt numFmtId="248" formatCode="&quot;W加值&quot;\ 0"/>
    <numFmt numFmtId="249" formatCode="&quot;筋厚&quot;0.0"/>
    <numFmt numFmtId="250" formatCode="&quot;惯性矩 &quot;0.00"/>
    <numFmt numFmtId="251" formatCode="&quot;承载 &quot;0.00&quot; kg&quot;"/>
    <numFmt numFmtId="252" formatCode="&quot;重量&quot;0.00&quot;kg&quot;"/>
    <numFmt numFmtId="253" formatCode="&quot;D加值&quot;\ 0"/>
    <numFmt numFmtId="254" formatCode="&quot;特殊筋加值 &quot;0"/>
    <numFmt numFmtId="255" formatCode="&quot;板宽&quot;0.0"/>
    <numFmt numFmtId="256" formatCode="&quot;特殊筋数 &quot;0"/>
    <numFmt numFmtId="257" formatCode="&quot;重量 &quot;0.00"/>
    <numFmt numFmtId="258" formatCode="0&quot;根&quot;"/>
    <numFmt numFmtId="259" formatCode="&quot;平均连接件数&quot;0"/>
    <numFmt numFmtId="260" formatCode="&quot;连接件重&quot;0.00"/>
    <numFmt numFmtId="261" formatCode="&quot;根数&quot;0"/>
    <numFmt numFmtId="262" formatCode="0_ "/>
    <numFmt numFmtId="263" formatCode="&quot;厚度&quot;0.0"/>
    <numFmt numFmtId="264" formatCode="0\ &quot;角&quot;&quot;钢&quot;"/>
    <numFmt numFmtId="265" formatCode="0\ &quot;中柱&quot;"/>
    <numFmt numFmtId="266" formatCode="&quot;护脚&quot;0.0"/>
    <numFmt numFmtId="267" formatCode="&quot;中柱&quot;0.0"/>
    <numFmt numFmtId="268" formatCode="&quot;角钢重&quot;0.000"/>
    <numFmt numFmtId="269" formatCode="&quot;每组 &quot;0&quot; 片&quot;"/>
    <numFmt numFmtId="270" formatCode="&quot;H 连续&quot;\ 0\ &quot;片&quot;"/>
    <numFmt numFmtId="271" formatCode="&quot;L 连续&quot;\ 0\ &quot;片&quot;"/>
    <numFmt numFmtId="272" formatCode="&quot;Mesh L&quot;0"/>
    <numFmt numFmtId="273" formatCode="&quot;丝径&quot;0.0"/>
    <numFmt numFmtId="274" formatCode="&quot;矩管长 &quot;0"/>
    <numFmt numFmtId="275" formatCode="&quot;矩管宽 &quot;0"/>
    <numFmt numFmtId="276" formatCode="&quot;厚度 &quot;0.0"/>
    <numFmt numFmtId="277" formatCode="&quot;横撑数 &quot;0"/>
    <numFmt numFmtId="278" formatCode="&quot;竖撑数 &quot;0"/>
    <numFmt numFmtId="279" formatCode="0.0000_ "/>
    <numFmt numFmtId="280" formatCode="&quot;每套&quot;\ 0\ &quot;根&quot;"/>
    <numFmt numFmtId="281" formatCode="0&quot;根角钢&quot;"/>
    <numFmt numFmtId="282" formatCode="&quot;Pitch &quot;0"/>
    <numFmt numFmtId="283" formatCode="&quot;备选Pitch &quot;0"/>
    <numFmt numFmtId="284" formatCode="\$#,##0.00;\-\$#,##0.00"/>
    <numFmt numFmtId="285" formatCode="\¥#,##0.00;\¥\-#,##0.00"/>
    <numFmt numFmtId="286" formatCode="_ * #,##0.0_ ;_ * \-#,##0.0_ ;_ * &quot;-&quot;??_ ;_ @_ "/>
    <numFmt numFmtId="287" formatCode="0.00&quot;kg&quot;"/>
    <numFmt numFmtId="288" formatCode="\¥#,##0.00_);[Red]\(\¥#,##0.00\)"/>
    <numFmt numFmtId="289" formatCode="&quot;No. &quot;0"/>
    <numFmt numFmtId="290" formatCode="[$-F800]dddd\,\ mmmm\ dd\,\ yyyy"/>
  </numFmts>
  <fonts count="127">
    <font>
      <sz val="12"/>
      <name val="宋体"/>
      <charset val="134"/>
    </font>
    <font>
      <sz val="11"/>
      <color theme="1"/>
      <name val="Arial"/>
      <family val="2"/>
    </font>
    <font>
      <sz val="11"/>
      <color theme="1"/>
      <name val="宋体"/>
      <family val="3"/>
      <charset val="134"/>
      <scheme val="minor"/>
    </font>
    <font>
      <sz val="11"/>
      <name val="Arial"/>
      <family val="2"/>
    </font>
    <font>
      <b/>
      <sz val="11"/>
      <color theme="1"/>
      <name val="等线"/>
      <family val="3"/>
      <charset val="134"/>
    </font>
    <font>
      <b/>
      <sz val="11"/>
      <name val="等线"/>
      <family val="3"/>
      <charset val="134"/>
    </font>
    <font>
      <b/>
      <sz val="11"/>
      <color theme="1"/>
      <name val="Arial"/>
      <family val="2"/>
    </font>
    <font>
      <sz val="11"/>
      <color theme="1"/>
      <name val="宋体"/>
      <family val="3"/>
      <charset val="134"/>
    </font>
    <font>
      <sz val="12"/>
      <color theme="1"/>
      <name val="宋体"/>
      <family val="3"/>
      <charset val="134"/>
    </font>
    <font>
      <b/>
      <sz val="11"/>
      <color theme="1"/>
      <name val="宋体"/>
      <family val="3"/>
      <charset val="134"/>
      <scheme val="minor"/>
    </font>
    <font>
      <b/>
      <sz val="14"/>
      <name val="Arial"/>
      <family val="2"/>
    </font>
    <font>
      <b/>
      <sz val="12"/>
      <name val="Arial"/>
      <family val="2"/>
    </font>
    <font>
      <sz val="11"/>
      <color indexed="8"/>
      <name val="Arial"/>
      <family val="2"/>
    </font>
    <font>
      <sz val="11"/>
      <name val="宋体"/>
      <family val="3"/>
      <charset val="134"/>
    </font>
    <font>
      <b/>
      <sz val="11"/>
      <color rgb="FF000000"/>
      <name val="Arial"/>
      <family val="2"/>
    </font>
    <font>
      <sz val="11"/>
      <color rgb="FF000000"/>
      <name val="Arial"/>
      <family val="2"/>
    </font>
    <font>
      <b/>
      <sz val="14"/>
      <name val="宋体"/>
      <family val="3"/>
      <charset val="134"/>
    </font>
    <font>
      <sz val="11"/>
      <color indexed="8"/>
      <name val="华文中宋"/>
      <family val="3"/>
      <charset val="134"/>
    </font>
    <font>
      <sz val="11"/>
      <name val="华文中宋"/>
      <family val="3"/>
      <charset val="134"/>
    </font>
    <font>
      <sz val="11"/>
      <color indexed="8"/>
      <name val="宋体"/>
      <family val="3"/>
      <charset val="134"/>
    </font>
    <font>
      <sz val="11"/>
      <color rgb="FF000000"/>
      <name val="宋体"/>
      <family val="3"/>
      <charset val="134"/>
    </font>
    <font>
      <b/>
      <sz val="11"/>
      <color indexed="8"/>
      <name val="等线"/>
      <family val="3"/>
      <charset val="134"/>
    </font>
    <font>
      <b/>
      <sz val="11"/>
      <color theme="1"/>
      <name val="宋体"/>
      <family val="3"/>
      <charset val="134"/>
    </font>
    <font>
      <b/>
      <sz val="11"/>
      <color rgb="FFFF0000"/>
      <name val="Arial"/>
      <family val="2"/>
    </font>
    <font>
      <sz val="11"/>
      <color rgb="FFFF0000"/>
      <name val="Arial"/>
      <family val="2"/>
    </font>
    <font>
      <sz val="8"/>
      <color theme="1"/>
      <name val="宋体"/>
      <family val="3"/>
      <charset val="134"/>
    </font>
    <font>
      <sz val="9"/>
      <name val="Arial"/>
      <family val="2"/>
    </font>
    <font>
      <b/>
      <sz val="11"/>
      <name val="Arial"/>
      <family val="2"/>
    </font>
    <font>
      <b/>
      <sz val="9"/>
      <name val="Arial"/>
      <family val="2"/>
    </font>
    <font>
      <sz val="11"/>
      <color theme="1"/>
      <name val="Times New Roman"/>
      <family val="1"/>
    </font>
    <font>
      <b/>
      <sz val="11"/>
      <color theme="1"/>
      <name val="Times New Roman"/>
      <family val="1"/>
    </font>
    <font>
      <sz val="12"/>
      <color theme="1"/>
      <name val="Times New Roman"/>
      <family val="1"/>
    </font>
    <font>
      <sz val="14"/>
      <color rgb="FFFF0000"/>
      <name val="宋体"/>
      <family val="3"/>
      <charset val="134"/>
    </font>
    <font>
      <sz val="14"/>
      <color rgb="FFFF0000"/>
      <name val="Times New Roman"/>
      <family val="1"/>
    </font>
    <font>
      <sz val="12"/>
      <name val="Times New Roman"/>
      <family val="1"/>
    </font>
    <font>
      <sz val="26"/>
      <color theme="1"/>
      <name val="宋体"/>
      <family val="3"/>
      <charset val="134"/>
    </font>
    <font>
      <sz val="26"/>
      <color theme="1"/>
      <name val="Times New Roman"/>
      <family val="1"/>
    </font>
    <font>
      <sz val="12"/>
      <color theme="1"/>
      <name val="Yu Gothic"/>
      <family val="2"/>
      <charset val="128"/>
    </font>
    <font>
      <sz val="12"/>
      <color theme="0"/>
      <name val="Times New Roman"/>
      <family val="1"/>
    </font>
    <font>
      <sz val="16"/>
      <name val="宋体"/>
      <family val="3"/>
      <charset val="134"/>
    </font>
    <font>
      <sz val="16"/>
      <name val="Times New Roman"/>
      <family val="1"/>
    </font>
    <font>
      <b/>
      <sz val="11"/>
      <name val="宋体"/>
      <family val="3"/>
      <charset val="134"/>
      <scheme val="minor"/>
    </font>
    <font>
      <sz val="11"/>
      <name val="宋体"/>
      <family val="3"/>
      <charset val="134"/>
      <scheme val="minor"/>
    </font>
    <font>
      <sz val="11"/>
      <color rgb="FFFF0000"/>
      <name val="宋体"/>
      <family val="3"/>
      <charset val="134"/>
      <scheme val="minor"/>
    </font>
    <font>
      <sz val="10"/>
      <name val="宋体"/>
      <family val="3"/>
      <charset val="134"/>
      <scheme val="minor"/>
    </font>
    <font>
      <sz val="10"/>
      <color theme="1"/>
      <name val="宋体"/>
      <family val="3"/>
      <charset val="134"/>
      <scheme val="minor"/>
    </font>
    <font>
      <sz val="10"/>
      <color rgb="FFFF0000"/>
      <name val="宋体"/>
      <family val="3"/>
      <charset val="134"/>
      <scheme val="minor"/>
    </font>
    <font>
      <b/>
      <sz val="11"/>
      <color rgb="FFFF0000"/>
      <name val="宋体"/>
      <family val="3"/>
      <charset val="134"/>
      <scheme val="minor"/>
    </font>
    <font>
      <b/>
      <sz val="10"/>
      <color rgb="FFFF0000"/>
      <name val="宋体"/>
      <family val="3"/>
      <charset val="134"/>
      <scheme val="minor"/>
    </font>
    <font>
      <b/>
      <sz val="10"/>
      <name val="宋体"/>
      <family val="3"/>
      <charset val="134"/>
      <scheme val="minor"/>
    </font>
    <font>
      <b/>
      <sz val="10"/>
      <color theme="1"/>
      <name val="宋体"/>
      <family val="3"/>
      <charset val="134"/>
      <scheme val="minor"/>
    </font>
    <font>
      <b/>
      <sz val="12"/>
      <color rgb="FFFF0000"/>
      <name val="等线"/>
      <family val="3"/>
      <charset val="134"/>
    </font>
    <font>
      <b/>
      <sz val="12"/>
      <color rgb="FFFF0000"/>
      <name val="Arial"/>
      <family val="2"/>
    </font>
    <font>
      <b/>
      <sz val="10"/>
      <name val="等线"/>
      <family val="3"/>
      <charset val="134"/>
    </font>
    <font>
      <b/>
      <sz val="10"/>
      <name val="Arial"/>
      <family val="2"/>
    </font>
    <font>
      <sz val="10"/>
      <name val="等线"/>
      <family val="3"/>
      <charset val="134"/>
    </font>
    <font>
      <sz val="10"/>
      <name val="Arial"/>
      <family val="2"/>
    </font>
    <font>
      <sz val="10"/>
      <name val="宋体"/>
      <family val="3"/>
      <charset val="134"/>
    </font>
    <font>
      <b/>
      <sz val="12"/>
      <name val="宋体"/>
      <family val="3"/>
      <charset val="134"/>
      <scheme val="minor"/>
    </font>
    <font>
      <b/>
      <sz val="11"/>
      <name val="Calibri"/>
      <family val="2"/>
    </font>
    <font>
      <b/>
      <sz val="11"/>
      <name val="宋体"/>
      <family val="3"/>
      <charset val="134"/>
    </font>
    <font>
      <sz val="12"/>
      <color theme="0"/>
      <name val="宋体"/>
      <family val="3"/>
      <charset val="134"/>
    </font>
    <font>
      <sz val="12"/>
      <color rgb="FFFF0000"/>
      <name val="宋体"/>
      <family val="3"/>
      <charset val="134"/>
    </font>
    <font>
      <sz val="11"/>
      <color rgb="FFFF0000"/>
      <name val="Calibri"/>
      <family val="2"/>
    </font>
    <font>
      <sz val="11"/>
      <color theme="1"/>
      <name val="微软雅黑"/>
      <family val="2"/>
      <charset val="134"/>
    </font>
    <font>
      <sz val="11"/>
      <color rgb="FFFF0000"/>
      <name val="宋体"/>
      <family val="3"/>
      <charset val="134"/>
    </font>
    <font>
      <sz val="11"/>
      <color theme="1"/>
      <name val="仿宋"/>
      <family val="3"/>
      <charset val="134"/>
    </font>
    <font>
      <b/>
      <sz val="10"/>
      <name val="宋体"/>
      <family val="3"/>
      <charset val="134"/>
    </font>
    <font>
      <sz val="14"/>
      <name val="宋体"/>
      <family val="3"/>
      <charset val="134"/>
    </font>
    <font>
      <sz val="18"/>
      <name val="宋体"/>
      <family val="3"/>
      <charset val="134"/>
    </font>
    <font>
      <sz val="20"/>
      <name val="宋体"/>
      <family val="3"/>
      <charset val="134"/>
      <scheme val="major"/>
    </font>
    <font>
      <u/>
      <sz val="20"/>
      <color theme="10"/>
      <name val="宋体"/>
      <family val="3"/>
      <charset val="134"/>
    </font>
    <font>
      <u/>
      <sz val="12"/>
      <color theme="10"/>
      <name val="宋体"/>
      <family val="3"/>
      <charset val="134"/>
    </font>
    <font>
      <sz val="16"/>
      <color theme="1"/>
      <name val="Times New Roman"/>
      <family val="1"/>
    </font>
    <font>
      <sz val="11"/>
      <name val="微软雅黑"/>
      <family val="2"/>
      <charset val="134"/>
    </font>
    <font>
      <sz val="11"/>
      <color theme="0" tint="-0.14990691854609822"/>
      <name val="宋体"/>
      <family val="3"/>
      <charset val="134"/>
    </font>
    <font>
      <sz val="12"/>
      <color theme="5"/>
      <name val="宋体"/>
      <family val="3"/>
      <charset val="134"/>
    </font>
    <font>
      <sz val="11"/>
      <color rgb="FFFF0000"/>
      <name val="微软雅黑"/>
      <family val="2"/>
      <charset val="134"/>
    </font>
    <font>
      <sz val="12"/>
      <name val="Calibri"/>
      <family val="2"/>
    </font>
    <font>
      <sz val="12"/>
      <color indexed="10"/>
      <name val="宋体"/>
      <family val="3"/>
      <charset val="134"/>
    </font>
    <font>
      <sz val="16"/>
      <color indexed="10"/>
      <name val="宋体"/>
      <family val="3"/>
      <charset val="134"/>
    </font>
    <font>
      <sz val="11"/>
      <color rgb="FFFF0000"/>
      <name val="Times New Roman"/>
      <family val="1"/>
    </font>
    <font>
      <sz val="12"/>
      <color theme="3" tint="0.79992065187536243"/>
      <name val="宋体"/>
      <family val="3"/>
      <charset val="134"/>
    </font>
    <font>
      <sz val="11"/>
      <color theme="0"/>
      <name val="Times New Roman"/>
      <family val="1"/>
    </font>
    <font>
      <sz val="12"/>
      <name val="STFangsong"/>
    </font>
    <font>
      <sz val="12"/>
      <color rgb="FFFF0000"/>
      <name val="Times New Roman"/>
      <family val="1"/>
    </font>
    <font>
      <sz val="11"/>
      <name val="Times New Roman"/>
      <family val="1"/>
    </font>
    <font>
      <b/>
      <sz val="12"/>
      <color theme="1"/>
      <name val="Times New Roman"/>
      <family val="1"/>
    </font>
    <font>
      <b/>
      <sz val="12"/>
      <color rgb="FFFF0000"/>
      <name val="Times New Roman"/>
      <family val="1"/>
    </font>
    <font>
      <sz val="22"/>
      <color theme="1"/>
      <name val="Times New Roman"/>
      <family val="1"/>
    </font>
    <font>
      <b/>
      <sz val="11"/>
      <color theme="0"/>
      <name val="Times New Roman"/>
      <family val="1"/>
    </font>
    <font>
      <sz val="10"/>
      <color theme="1"/>
      <name val="Times New Roman"/>
      <family val="1"/>
    </font>
    <font>
      <sz val="26"/>
      <color theme="0"/>
      <name val="Times New Roman"/>
      <family val="1"/>
    </font>
    <font>
      <sz val="10"/>
      <name val="Times New Roman"/>
      <family val="1"/>
    </font>
    <font>
      <sz val="12"/>
      <color theme="1"/>
      <name val="STFangsong"/>
    </font>
    <font>
      <sz val="16"/>
      <color rgb="FFFF0000"/>
      <name val="Times New Roman"/>
      <family val="1"/>
    </font>
    <font>
      <b/>
      <sz val="20"/>
      <color rgb="FFFF0000"/>
      <name val="Times New Roman"/>
      <family val="1"/>
    </font>
    <font>
      <sz val="10"/>
      <color theme="1"/>
      <name val="宋体"/>
      <family val="3"/>
      <charset val="134"/>
    </font>
    <font>
      <b/>
      <sz val="8"/>
      <name val="Times New Roman"/>
      <family val="1"/>
    </font>
    <font>
      <sz val="8"/>
      <name val="宋体"/>
      <family val="3"/>
      <charset val="134"/>
    </font>
    <font>
      <sz val="8"/>
      <color indexed="10"/>
      <name val="宋体"/>
      <family val="3"/>
      <charset val="134"/>
    </font>
    <font>
      <sz val="11"/>
      <color indexed="17"/>
      <name val="宋体"/>
      <family val="3"/>
      <charset val="134"/>
    </font>
    <font>
      <sz val="11"/>
      <name val="等线"/>
      <family val="3"/>
      <charset val="134"/>
    </font>
    <font>
      <sz val="11"/>
      <color theme="1"/>
      <name val="等线"/>
      <family val="3"/>
      <charset val="134"/>
    </font>
    <font>
      <sz val="16"/>
      <color theme="1"/>
      <name val="宋体"/>
      <family val="3"/>
      <charset val="134"/>
    </font>
    <font>
      <sz val="11"/>
      <color theme="1"/>
      <name val="SimSun"/>
      <charset val="134"/>
    </font>
    <font>
      <sz val="12"/>
      <name val="Segoe UI Emoji"/>
      <family val="2"/>
    </font>
    <font>
      <b/>
      <sz val="11"/>
      <color rgb="FFFF0000"/>
      <name val="宋体"/>
      <family val="3"/>
      <charset val="134"/>
    </font>
    <font>
      <sz val="11"/>
      <color indexed="8"/>
      <name val="等线"/>
      <family val="3"/>
      <charset val="134"/>
    </font>
    <font>
      <b/>
      <sz val="11"/>
      <color indexed="8"/>
      <name val="Arial"/>
      <family val="2"/>
    </font>
    <font>
      <b/>
      <sz val="11"/>
      <color rgb="FFFF0000"/>
      <name val="等线"/>
      <family val="3"/>
      <charset val="134"/>
    </font>
    <font>
      <b/>
      <sz val="11"/>
      <color indexed="8"/>
      <name val="宋体"/>
      <family val="3"/>
      <charset val="134"/>
    </font>
    <font>
      <b/>
      <sz val="11"/>
      <color indexed="10"/>
      <name val="Arial"/>
      <family val="2"/>
    </font>
    <font>
      <b/>
      <vertAlign val="superscript"/>
      <sz val="11"/>
      <name val="宋体"/>
      <family val="3"/>
      <charset val="134"/>
    </font>
    <font>
      <b/>
      <sz val="11"/>
      <color theme="1"/>
      <name val="Microsoft YaHei"/>
      <charset val="134"/>
    </font>
    <font>
      <b/>
      <sz val="9"/>
      <name val="宋体"/>
      <family val="3"/>
      <charset val="134"/>
    </font>
    <font>
      <b/>
      <sz val="11"/>
      <name val="微软雅黑"/>
      <family val="2"/>
      <charset val="134"/>
    </font>
    <font>
      <sz val="11"/>
      <color theme="1"/>
      <name val="Calibri"/>
      <family val="2"/>
    </font>
    <font>
      <sz val="10"/>
      <color rgb="FFFF0000"/>
      <name val="Arial"/>
      <family val="2"/>
    </font>
    <font>
      <sz val="9"/>
      <name val="Tahoma"/>
      <family val="2"/>
    </font>
    <font>
      <sz val="9"/>
      <name val="宋体"/>
      <family val="3"/>
      <charset val="134"/>
    </font>
    <font>
      <b/>
      <sz val="9"/>
      <name val="Tahoma"/>
      <family val="2"/>
    </font>
    <font>
      <sz val="12"/>
      <name val="宋体"/>
      <family val="3"/>
      <charset val="134"/>
    </font>
    <font>
      <sz val="12"/>
      <color rgb="FF000000"/>
      <name val="宋体"/>
      <family val="3"/>
      <charset val="134"/>
    </font>
    <font>
      <b/>
      <sz val="9"/>
      <color indexed="81"/>
      <name val="宋体"/>
      <family val="3"/>
      <charset val="134"/>
    </font>
    <font>
      <sz val="9"/>
      <color indexed="81"/>
      <name val="宋体"/>
      <family val="3"/>
      <charset val="134"/>
    </font>
    <font>
      <b/>
      <sz val="11"/>
      <color indexed="10"/>
      <name val="宋体"/>
      <family val="3"/>
      <charset val="134"/>
    </font>
  </fonts>
  <fills count="33">
    <fill>
      <patternFill patternType="none"/>
    </fill>
    <fill>
      <patternFill patternType="gray125"/>
    </fill>
    <fill>
      <patternFill patternType="solid">
        <fgColor rgb="FFFFFF00"/>
        <bgColor indexed="64"/>
      </patternFill>
    </fill>
    <fill>
      <patternFill patternType="solid">
        <fgColor theme="9" tint="0.79985961485641044"/>
        <bgColor indexed="64"/>
      </patternFill>
    </fill>
    <fill>
      <patternFill patternType="solid">
        <fgColor theme="6" tint="0.79985961485641044"/>
        <bgColor indexed="64"/>
      </patternFill>
    </fill>
    <fill>
      <patternFill patternType="solid">
        <fgColor theme="0"/>
        <bgColor indexed="64"/>
      </patternFill>
    </fill>
    <fill>
      <patternFill patternType="solid">
        <fgColor rgb="FFFFC000"/>
        <bgColor indexed="64"/>
      </patternFill>
    </fill>
    <fill>
      <patternFill patternType="solid">
        <fgColor theme="0" tint="-0.14990691854609822"/>
        <bgColor indexed="64"/>
      </patternFill>
    </fill>
    <fill>
      <patternFill patternType="solid">
        <fgColor theme="7" tint="0.79985961485641044"/>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0000"/>
        <bgColor indexed="64"/>
      </patternFill>
    </fill>
    <fill>
      <patternFill patternType="solid">
        <fgColor theme="8" tint="0.79992065187536243"/>
        <bgColor indexed="64"/>
      </patternFill>
    </fill>
    <fill>
      <patternFill patternType="solid">
        <fgColor rgb="FFDDEBF7"/>
        <bgColor indexed="64"/>
      </patternFill>
    </fill>
    <fill>
      <patternFill patternType="solid">
        <fgColor theme="6"/>
        <bgColor indexed="64"/>
      </patternFill>
    </fill>
    <fill>
      <patternFill patternType="solid">
        <fgColor theme="8" tint="0.79989013336588644"/>
        <bgColor indexed="64"/>
      </patternFill>
    </fill>
    <fill>
      <patternFill patternType="solid">
        <fgColor theme="4" tint="0.59999389629810485"/>
        <bgColor indexed="64"/>
      </patternFill>
    </fill>
    <fill>
      <patternFill patternType="solid">
        <fgColor rgb="FF92D050"/>
        <bgColor indexed="64"/>
      </patternFill>
    </fill>
    <fill>
      <patternFill patternType="solid">
        <fgColor rgb="FF00B0F0"/>
        <bgColor indexed="64"/>
      </patternFill>
    </fill>
    <fill>
      <patternFill patternType="solid">
        <fgColor theme="0" tint="-0.14993743705557422"/>
        <bgColor indexed="64"/>
      </patternFill>
    </fill>
    <fill>
      <patternFill patternType="solid">
        <fgColor rgb="FFE0E07C"/>
        <bgColor indexed="64"/>
      </patternFill>
    </fill>
    <fill>
      <patternFill patternType="solid">
        <fgColor theme="4" tint="0.39988402966399123"/>
        <bgColor indexed="64"/>
      </patternFill>
    </fill>
    <fill>
      <patternFill patternType="solid">
        <fgColor theme="0" tint="-0.1498458815271462"/>
        <bgColor indexed="64"/>
      </patternFill>
    </fill>
    <fill>
      <patternFill patternType="solid">
        <fgColor theme="0" tint="-0.1498764000366222"/>
        <bgColor indexed="64"/>
      </patternFill>
    </fill>
    <fill>
      <patternFill patternType="solid">
        <fgColor theme="4" tint="0.39985351115451523"/>
        <bgColor indexed="64"/>
      </patternFill>
    </fill>
    <fill>
      <patternFill patternType="solid">
        <fgColor theme="0" tint="-0.14981536301767021"/>
        <bgColor indexed="64"/>
      </patternFill>
    </fill>
    <fill>
      <patternFill patternType="solid">
        <fgColor theme="3" tint="0.79992065187536243"/>
        <bgColor indexed="64"/>
      </patternFill>
    </fill>
    <fill>
      <patternFill patternType="solid">
        <fgColor theme="3" tint="0.79989013336588644"/>
        <bgColor indexed="64"/>
      </patternFill>
    </fill>
    <fill>
      <patternFill patternType="solid">
        <fgColor theme="3" tint="0.59999389629810485"/>
        <bgColor indexed="64"/>
      </patternFill>
    </fill>
    <fill>
      <patternFill patternType="solid">
        <fgColor theme="4" tint="0.59999389629810485"/>
        <bgColor theme="4" tint="0.59999389629810485"/>
      </patternFill>
    </fill>
    <fill>
      <patternFill patternType="solid">
        <fgColor indexed="42"/>
        <bgColor indexed="64"/>
      </patternFill>
    </fill>
    <fill>
      <patternFill patternType="solid">
        <fgColor theme="7" tint="0.79992065187536243"/>
        <bgColor indexed="64"/>
      </patternFill>
    </fill>
    <fill>
      <patternFill patternType="solid">
        <fgColor theme="0" tint="-0.14999847407452621"/>
        <bgColor indexed="64"/>
      </patternFill>
    </fill>
  </fills>
  <borders count="4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style="thin">
        <color auto="1"/>
      </left>
      <right style="thin">
        <color auto="1"/>
      </right>
      <top/>
      <bottom/>
      <diagonal/>
    </border>
    <border>
      <left style="thin">
        <color indexed="8"/>
      </left>
      <right style="thin">
        <color indexed="8"/>
      </right>
      <top style="thin">
        <color auto="1"/>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2" tint="-0.749961851863155"/>
      </left>
      <right style="thin">
        <color theme="2" tint="-0.749961851863155"/>
      </right>
      <top style="thin">
        <color theme="2" tint="-0.749961851863155"/>
      </top>
      <bottom style="thin">
        <color theme="2" tint="-0.749961851863155"/>
      </bottom>
      <diagonal/>
    </border>
    <border>
      <left style="thin">
        <color theme="2" tint="-0.749961851863155"/>
      </left>
      <right style="thin">
        <color theme="2" tint="-0.749961851863155"/>
      </right>
      <top style="thin">
        <color theme="2" tint="-0.749961851863155"/>
      </top>
      <bottom/>
      <diagonal/>
    </border>
    <border>
      <left/>
      <right/>
      <top/>
      <bottom style="thin">
        <color auto="1"/>
      </bottom>
      <diagonal/>
    </border>
    <border>
      <left style="thin">
        <color auto="1"/>
      </left>
      <right style="thin">
        <color theme="8"/>
      </right>
      <top style="thin">
        <color theme="8"/>
      </top>
      <bottom style="thin">
        <color theme="8"/>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theme="4"/>
      </top>
      <bottom style="thin">
        <color auto="1"/>
      </bottom>
      <diagonal/>
    </border>
    <border>
      <left style="thin">
        <color auto="1"/>
      </left>
      <right/>
      <top style="thin">
        <color theme="8"/>
      </top>
      <bottom/>
      <diagonal/>
    </border>
    <border>
      <left style="thin">
        <color auto="1"/>
      </left>
      <right/>
      <top style="thin">
        <color theme="8"/>
      </top>
      <bottom style="thin">
        <color theme="8"/>
      </bottom>
      <diagonal/>
    </border>
    <border>
      <left style="thin">
        <color theme="4" tint="0.39988402966399123"/>
      </left>
      <right/>
      <top style="thin">
        <color theme="4" tint="0.39988402966399123"/>
      </top>
      <bottom style="thin">
        <color theme="4" tint="0.39988402966399123"/>
      </bottom>
      <diagonal/>
    </border>
    <border>
      <left style="thin">
        <color theme="4" tint="0.39985351115451523"/>
      </left>
      <right/>
      <top style="thin">
        <color theme="4" tint="0.39985351115451523"/>
      </top>
      <bottom style="thin">
        <color theme="4" tint="0.39985351115451523"/>
      </bottom>
      <diagonal/>
    </border>
    <border>
      <left style="thin">
        <color theme="8"/>
      </left>
      <right style="thin">
        <color theme="8"/>
      </right>
      <top style="thin">
        <color theme="8"/>
      </top>
      <bottom style="thin">
        <color theme="8"/>
      </bottom>
      <diagonal/>
    </border>
    <border>
      <left style="thin">
        <color theme="8"/>
      </left>
      <right style="thin">
        <color theme="8"/>
      </right>
      <top style="thin">
        <color theme="4" tint="0.39985351115451523"/>
      </top>
      <bottom style="thin">
        <color theme="8"/>
      </bottom>
      <diagonal/>
    </border>
    <border>
      <left style="thin">
        <color auto="1"/>
      </left>
      <right style="thin">
        <color theme="4" tint="0.39985351115451523"/>
      </right>
      <top style="thin">
        <color theme="4" tint="0.39985351115451523"/>
      </top>
      <bottom style="thin">
        <color theme="4" tint="0.39985351115451523"/>
      </bottom>
      <diagonal/>
    </border>
    <border>
      <left/>
      <right/>
      <top style="thin">
        <color theme="4" tint="0.39985351115451523"/>
      </top>
      <bottom/>
      <diagonal/>
    </border>
    <border>
      <left style="thin">
        <color auto="1"/>
      </left>
      <right style="thin">
        <color theme="8"/>
      </right>
      <top style="thin">
        <color theme="8"/>
      </top>
      <bottom/>
      <diagonal/>
    </border>
    <border>
      <left/>
      <right style="thin">
        <color theme="2" tint="-0.749961851863155"/>
      </right>
      <top style="thin">
        <color theme="2" tint="-0.749961851863155"/>
      </top>
      <bottom style="thin">
        <color theme="2" tint="-0.749961851863155"/>
      </bottom>
      <diagonal/>
    </border>
    <border>
      <left style="thin">
        <color theme="2" tint="-0.749961851863155"/>
      </left>
      <right style="thin">
        <color theme="2" tint="-0.749961851863155"/>
      </right>
      <top/>
      <bottom style="thin">
        <color theme="2" tint="-0.749961851863155"/>
      </bottom>
      <diagonal/>
    </border>
    <border diagonalDown="1">
      <left style="thin">
        <color auto="1"/>
      </left>
      <right style="thin">
        <color auto="1"/>
      </right>
      <top style="thin">
        <color auto="1"/>
      </top>
      <bottom/>
      <diagonal style="thin">
        <color auto="1"/>
      </diagonal>
    </border>
    <border>
      <left/>
      <right/>
      <top style="thin">
        <color auto="1"/>
      </top>
      <bottom/>
      <diagonal/>
    </border>
    <border>
      <left/>
      <right style="thin">
        <color theme="0"/>
      </right>
      <top style="thin">
        <color theme="0"/>
      </top>
      <bottom/>
      <diagonal/>
    </border>
    <border>
      <left style="thin">
        <color indexed="8"/>
      </left>
      <right style="thin">
        <color indexed="8"/>
      </right>
      <top style="thin">
        <color indexed="8"/>
      </top>
      <bottom style="thin">
        <color indexed="8"/>
      </bottom>
      <diagonal/>
    </border>
    <border>
      <left style="thin">
        <color auto="1"/>
      </left>
      <right/>
      <top style="thin">
        <color auto="1"/>
      </top>
      <bottom style="thin">
        <color theme="4" tint="0.39991454817346722"/>
      </bottom>
      <diagonal/>
    </border>
    <border>
      <left style="thin">
        <color auto="1"/>
      </left>
      <right/>
      <top style="thin">
        <color auto="1"/>
      </top>
      <bottom style="thin">
        <color theme="4" tint="0.39994506668294322"/>
      </bottom>
      <diagonal/>
    </border>
    <border>
      <left style="thin">
        <color auto="1"/>
      </left>
      <right/>
      <top/>
      <bottom style="thin">
        <color theme="4" tint="0.39991454817346722"/>
      </bottom>
      <diagonal/>
    </border>
    <border>
      <left style="thin">
        <color auto="1"/>
      </left>
      <right/>
      <top style="thin">
        <color theme="8"/>
      </top>
      <bottom style="thin">
        <color theme="4" tint="0.39991454817346722"/>
      </bottom>
      <diagonal/>
    </border>
    <border>
      <left style="thin">
        <color theme="4" tint="0.39994506668294322"/>
      </left>
      <right/>
      <top style="thin">
        <color theme="4" tint="0.39994506668294322"/>
      </top>
      <bottom style="thin">
        <color theme="4" tint="0.39994506668294322"/>
      </bottom>
      <diagonal/>
    </border>
    <border>
      <left style="thin">
        <color theme="4" tint="0.39991454817346722"/>
      </left>
      <right/>
      <top style="thin">
        <color theme="4" tint="0.39991454817346722"/>
      </top>
      <bottom style="thin">
        <color theme="4" tint="0.39991454817346722"/>
      </bottom>
      <diagonal/>
    </border>
    <border>
      <left style="thin">
        <color theme="8"/>
      </left>
      <right style="thin">
        <color theme="8"/>
      </right>
      <top style="thin">
        <color theme="4" tint="0.39991454817346722"/>
      </top>
      <bottom style="thin">
        <color theme="8"/>
      </bottom>
      <diagonal/>
    </border>
    <border>
      <left style="thin">
        <color auto="1"/>
      </left>
      <right style="thin">
        <color theme="4" tint="0.39991454817346722"/>
      </right>
      <top style="thin">
        <color theme="4" tint="0.39991454817346722"/>
      </top>
      <bottom style="thin">
        <color theme="4" tint="0.39991454817346722"/>
      </bottom>
      <diagonal/>
    </border>
    <border>
      <left/>
      <right/>
      <top style="thin">
        <color theme="4" tint="0.39991454817346722"/>
      </top>
      <bottom/>
      <diagonal/>
    </border>
    <border>
      <left style="thin">
        <color indexed="64"/>
      </left>
      <right style="thin">
        <color indexed="64"/>
      </right>
      <top style="thin">
        <color indexed="64"/>
      </top>
      <bottom/>
      <diagonal/>
    </border>
  </borders>
  <cellStyleXfs count="19">
    <xf numFmtId="0" fontId="0" fillId="0" borderId="0">
      <alignment vertical="center"/>
    </xf>
    <xf numFmtId="9" fontId="122" fillId="0" borderId="0" applyFont="0" applyFill="0" applyBorder="0" applyAlignment="0" applyProtection="0">
      <alignment vertical="center"/>
    </xf>
    <xf numFmtId="0" fontId="72" fillId="0" borderId="0" applyNumberFormat="0" applyFill="0" applyBorder="0" applyAlignment="0" applyProtection="0">
      <alignment vertical="center"/>
    </xf>
    <xf numFmtId="0" fontId="2" fillId="0" borderId="0"/>
    <xf numFmtId="0" fontId="2" fillId="0" borderId="0"/>
    <xf numFmtId="0" fontId="2" fillId="0" borderId="0"/>
    <xf numFmtId="0" fontId="2" fillId="0" borderId="0"/>
    <xf numFmtId="0" fontId="122" fillId="0" borderId="0">
      <alignment vertical="center"/>
    </xf>
    <xf numFmtId="0" fontId="2" fillId="0" borderId="0">
      <alignment vertical="center"/>
    </xf>
    <xf numFmtId="0" fontId="2" fillId="0" borderId="0">
      <alignment vertical="center"/>
    </xf>
    <xf numFmtId="0" fontId="122" fillId="0" borderId="0"/>
    <xf numFmtId="0" fontId="122" fillId="0" borderId="0"/>
    <xf numFmtId="0" fontId="2" fillId="0" borderId="0">
      <alignment vertical="center"/>
    </xf>
    <xf numFmtId="0" fontId="122" fillId="0" borderId="0"/>
    <xf numFmtId="0" fontId="56" fillId="0" borderId="0"/>
    <xf numFmtId="0" fontId="122" fillId="0" borderId="0"/>
    <xf numFmtId="0" fontId="101" fillId="30" borderId="0" applyNumberFormat="0" applyBorder="0" applyAlignment="0" applyProtection="0">
      <alignment vertical="center"/>
    </xf>
    <xf numFmtId="176" fontId="2" fillId="0" borderId="0" applyFont="0" applyFill="0" applyBorder="0" applyAlignment="0" applyProtection="0"/>
    <xf numFmtId="176" fontId="2" fillId="0" borderId="0" applyFont="0" applyFill="0" applyBorder="0" applyAlignment="0" applyProtection="0"/>
  </cellStyleXfs>
  <cellXfs count="1000">
    <xf numFmtId="0" fontId="0" fillId="0" borderId="0" xfId="0">
      <alignment vertical="center"/>
    </xf>
    <xf numFmtId="0" fontId="1" fillId="0" borderId="0" xfId="12" applyFont="1">
      <alignment vertical="center"/>
    </xf>
    <xf numFmtId="0" fontId="2" fillId="0" borderId="0" xfId="12">
      <alignment vertical="center"/>
    </xf>
    <xf numFmtId="0" fontId="3" fillId="0" borderId="0" xfId="12" applyFont="1" applyAlignment="1">
      <alignment horizontal="center" vertical="center"/>
    </xf>
    <xf numFmtId="0" fontId="1" fillId="0" borderId="0" xfId="12" applyFont="1" applyAlignment="1">
      <alignment horizontal="center" vertical="center"/>
    </xf>
    <xf numFmtId="0" fontId="5" fillId="0" borderId="1" xfId="12" applyFont="1" applyBorder="1">
      <alignment vertical="center"/>
    </xf>
    <xf numFmtId="0" fontId="1" fillId="0" borderId="1" xfId="12" applyFont="1" applyBorder="1" applyAlignment="1">
      <alignment horizontal="center" vertical="center"/>
    </xf>
    <xf numFmtId="0" fontId="1" fillId="0" borderId="1" xfId="12" applyFont="1" applyBorder="1" applyAlignment="1">
      <alignment horizontal="left" vertical="center"/>
    </xf>
    <xf numFmtId="0" fontId="3" fillId="0" borderId="1" xfId="12" applyFont="1" applyBorder="1" applyAlignment="1">
      <alignment horizontal="center" vertical="center"/>
    </xf>
    <xf numFmtId="0" fontId="7" fillId="0" borderId="1" xfId="12" applyFont="1" applyBorder="1" applyAlignment="1">
      <alignment horizontal="left" vertical="center"/>
    </xf>
    <xf numFmtId="0" fontId="8" fillId="0" borderId="1" xfId="12" applyFont="1" applyBorder="1" applyAlignment="1">
      <alignment horizontal="left" vertical="center"/>
    </xf>
    <xf numFmtId="0" fontId="9" fillId="0" borderId="0" xfId="12" applyFont="1" applyAlignment="1">
      <alignment horizontal="left" vertical="center"/>
    </xf>
    <xf numFmtId="0" fontId="6" fillId="0" borderId="0" xfId="12" applyFont="1" applyAlignment="1">
      <alignment horizontal="center" vertical="center"/>
    </xf>
    <xf numFmtId="0" fontId="1" fillId="2" borderId="1" xfId="12" applyFont="1" applyFill="1" applyBorder="1" applyAlignment="1">
      <alignment horizontal="left" vertical="center"/>
    </xf>
    <xf numFmtId="0" fontId="3" fillId="2" borderId="1" xfId="12" applyFont="1" applyFill="1" applyBorder="1" applyAlignment="1">
      <alignment horizontal="center" vertical="center"/>
    </xf>
    <xf numFmtId="0" fontId="7" fillId="2" borderId="1" xfId="12" applyFont="1" applyFill="1" applyBorder="1" applyAlignment="1">
      <alignment horizontal="left" vertical="center"/>
    </xf>
    <xf numFmtId="0" fontId="1" fillId="0" borderId="1" xfId="12" applyFont="1" applyBorder="1">
      <alignment vertical="center"/>
    </xf>
    <xf numFmtId="0" fontId="1" fillId="2" borderId="1" xfId="12" applyFont="1" applyFill="1" applyBorder="1">
      <alignment vertical="center"/>
    </xf>
    <xf numFmtId="0" fontId="7" fillId="0" borderId="1" xfId="12" applyFont="1" applyBorder="1">
      <alignment vertical="center"/>
    </xf>
    <xf numFmtId="0" fontId="7" fillId="2" borderId="1" xfId="12" applyFont="1" applyFill="1" applyBorder="1">
      <alignment vertical="center"/>
    </xf>
    <xf numFmtId="0" fontId="2" fillId="0" borderId="0" xfId="12" applyAlignment="1">
      <alignment horizontal="left" vertical="center"/>
    </xf>
    <xf numFmtId="0" fontId="4" fillId="0" borderId="0" xfId="12" applyFont="1" applyAlignment="1">
      <alignment horizontal="center" vertical="center"/>
    </xf>
    <xf numFmtId="0" fontId="3" fillId="0" borderId="0" xfId="0" applyFont="1" applyAlignment="1">
      <alignment horizontal="center" vertical="center"/>
    </xf>
    <xf numFmtId="0" fontId="3" fillId="0" borderId="0" xfId="0" applyFont="1" applyAlignment="1"/>
    <xf numFmtId="0" fontId="3" fillId="0" borderId="1" xfId="0" applyFont="1" applyBorder="1" applyAlignment="1"/>
    <xf numFmtId="0" fontId="12" fillId="0" borderId="1" xfId="0" applyFont="1" applyBorder="1" applyAlignment="1">
      <alignment horizontal="center" vertical="center"/>
    </xf>
    <xf numFmtId="0" fontId="3" fillId="0" borderId="7" xfId="0" applyFont="1" applyBorder="1" applyAlignment="1">
      <alignment horizontal="center" vertical="center"/>
    </xf>
    <xf numFmtId="0" fontId="3" fillId="0" borderId="5" xfId="0" applyFont="1" applyBorder="1" applyAlignment="1">
      <alignment horizontal="center" vertical="center"/>
    </xf>
    <xf numFmtId="0" fontId="13" fillId="0" borderId="0" xfId="0" applyFont="1" applyAlignment="1"/>
    <xf numFmtId="0" fontId="14" fillId="0" borderId="8" xfId="0" applyFont="1" applyBorder="1" applyAlignment="1">
      <alignment horizontal="left" vertical="center"/>
    </xf>
    <xf numFmtId="0" fontId="14" fillId="0" borderId="9" xfId="0" applyFont="1" applyBorder="1" applyAlignment="1">
      <alignment horizontal="left" vertical="center"/>
    </xf>
    <xf numFmtId="0" fontId="15" fillId="0" borderId="9" xfId="0" applyFont="1" applyBorder="1" applyAlignment="1">
      <alignment horizontal="left" vertical="center"/>
    </xf>
    <xf numFmtId="0" fontId="15" fillId="0" borderId="10" xfId="0" applyFont="1" applyBorder="1" applyAlignment="1">
      <alignment horizontal="left" vertical="center"/>
    </xf>
    <xf numFmtId="0" fontId="17" fillId="0" borderId="1" xfId="0" applyFont="1" applyBorder="1" applyAlignment="1">
      <alignment horizontal="center" vertical="center"/>
    </xf>
    <xf numFmtId="0" fontId="18" fillId="0" borderId="7" xfId="0" applyFont="1" applyBorder="1" applyAlignment="1">
      <alignment horizontal="center" vertical="center"/>
    </xf>
    <xf numFmtId="0" fontId="18" fillId="0" borderId="11" xfId="0" applyFont="1" applyBorder="1" applyAlignment="1">
      <alignment horizontal="center" vertical="center"/>
    </xf>
    <xf numFmtId="0" fontId="13" fillId="0" borderId="0" xfId="0" applyFont="1" applyAlignment="1">
      <alignment horizontal="left" vertical="center"/>
    </xf>
    <xf numFmtId="0" fontId="13" fillId="0" borderId="1" xfId="0" applyFont="1" applyBorder="1" applyAlignment="1">
      <alignment horizontal="center" vertical="center"/>
    </xf>
    <xf numFmtId="0" fontId="12" fillId="0" borderId="1" xfId="0" applyFont="1" applyBorder="1" applyAlignment="1">
      <alignment horizontal="center" vertical="center" wrapText="1"/>
    </xf>
    <xf numFmtId="43" fontId="12" fillId="0" borderId="1" xfId="0" applyNumberFormat="1" applyFont="1" applyBorder="1" applyAlignment="1">
      <alignment horizontal="right" vertical="center" wrapText="1"/>
    </xf>
    <xf numFmtId="43" fontId="12" fillId="0" borderId="1" xfId="0" applyNumberFormat="1" applyFont="1" applyBorder="1" applyAlignment="1">
      <alignment horizontal="center" vertical="center" wrapText="1"/>
    </xf>
    <xf numFmtId="43" fontId="12" fillId="0" borderId="2" xfId="0" applyNumberFormat="1" applyFont="1" applyBorder="1" applyAlignment="1">
      <alignment horizontal="left" vertical="center"/>
    </xf>
    <xf numFmtId="0" fontId="15" fillId="0" borderId="1" xfId="0" applyFont="1" applyBorder="1" applyAlignment="1">
      <alignment horizontal="center" vertical="center"/>
    </xf>
    <xf numFmtId="0" fontId="13" fillId="0" borderId="0" xfId="0" applyFont="1">
      <alignment vertical="center"/>
    </xf>
    <xf numFmtId="0" fontId="3" fillId="0" borderId="1" xfId="0" applyFont="1" applyBorder="1" applyAlignment="1">
      <alignment horizontal="center" vertical="center" wrapText="1"/>
    </xf>
    <xf numFmtId="0" fontId="20" fillId="0" borderId="1" xfId="0" applyFont="1" applyBorder="1" applyAlignment="1">
      <alignment horizontal="center" vertical="center"/>
    </xf>
    <xf numFmtId="0" fontId="13" fillId="0" borderId="1" xfId="0" applyFont="1" applyBorder="1" applyAlignment="1">
      <alignment horizontal="center" vertical="center" wrapText="1"/>
    </xf>
    <xf numFmtId="0" fontId="1" fillId="0" borderId="0" xfId="0" applyFont="1">
      <alignment vertical="center"/>
    </xf>
    <xf numFmtId="177" fontId="1" fillId="0" borderId="0" xfId="0" applyNumberFormat="1" applyFont="1" applyAlignment="1">
      <alignment horizontal="left" vertical="center"/>
    </xf>
    <xf numFmtId="177" fontId="0" fillId="0" borderId="0" xfId="0" applyNumberFormat="1" applyAlignment="1">
      <alignment horizontal="center" vertical="center"/>
    </xf>
    <xf numFmtId="177" fontId="22" fillId="0" borderId="1" xfId="0" applyNumberFormat="1" applyFont="1" applyBorder="1" applyAlignment="1">
      <alignment horizontal="left" vertical="center"/>
    </xf>
    <xf numFmtId="177" fontId="0" fillId="0" borderId="1" xfId="0" applyNumberFormat="1" applyBorder="1" applyAlignment="1">
      <alignment horizontal="center" vertical="center"/>
    </xf>
    <xf numFmtId="177" fontId="6" fillId="0" borderId="1" xfId="0" applyNumberFormat="1" applyFont="1" applyBorder="1" applyAlignment="1">
      <alignment horizontal="left" vertical="center"/>
    </xf>
    <xf numFmtId="177" fontId="9" fillId="0" borderId="1" xfId="0" applyNumberFormat="1" applyFont="1" applyBorder="1" applyAlignment="1">
      <alignment horizontal="center" vertical="center"/>
    </xf>
    <xf numFmtId="0" fontId="0" fillId="0" borderId="1" xfId="0" applyBorder="1">
      <alignment vertical="center"/>
    </xf>
    <xf numFmtId="0" fontId="1" fillId="0" borderId="2" xfId="0" applyFont="1" applyBorder="1" applyAlignment="1">
      <alignment horizontal="left" vertical="center"/>
    </xf>
    <xf numFmtId="177" fontId="1" fillId="0" borderId="1" xfId="0" applyNumberFormat="1" applyFont="1" applyBorder="1" applyAlignment="1">
      <alignment horizontal="left" vertical="center"/>
    </xf>
    <xf numFmtId="177" fontId="9" fillId="2" borderId="4" xfId="0" applyNumberFormat="1" applyFont="1" applyFill="1" applyBorder="1" applyAlignment="1">
      <alignment horizontal="center" vertical="center"/>
    </xf>
    <xf numFmtId="0" fontId="7" fillId="0" borderId="2" xfId="0" applyFont="1" applyBorder="1" applyAlignment="1">
      <alignment horizontal="left" vertical="center"/>
    </xf>
    <xf numFmtId="0" fontId="0" fillId="0" borderId="1" xfId="0" applyBorder="1" applyAlignment="1">
      <alignment horizontal="left" vertical="center"/>
    </xf>
    <xf numFmtId="0" fontId="8" fillId="0" borderId="2" xfId="0" applyFont="1" applyBorder="1" applyAlignment="1">
      <alignment horizontal="left" vertical="center"/>
    </xf>
    <xf numFmtId="177" fontId="23" fillId="0" borderId="1" xfId="0" applyNumberFormat="1" applyFont="1" applyBorder="1" applyAlignment="1">
      <alignment horizontal="left" vertical="center"/>
    </xf>
    <xf numFmtId="0" fontId="1" fillId="0" borderId="1" xfId="0" applyFont="1" applyBorder="1" applyAlignment="1">
      <alignment horizontal="center" vertical="center"/>
    </xf>
    <xf numFmtId="0" fontId="1" fillId="0" borderId="0" xfId="0" applyFont="1" applyAlignment="1">
      <alignment horizontal="left" vertical="center"/>
    </xf>
    <xf numFmtId="0" fontId="1" fillId="0" borderId="2" xfId="0" applyFont="1" applyBorder="1">
      <alignment vertical="center"/>
    </xf>
    <xf numFmtId="0" fontId="1" fillId="2" borderId="2" xfId="0" applyFont="1" applyFill="1" applyBorder="1">
      <alignment vertical="center"/>
    </xf>
    <xf numFmtId="177" fontId="24" fillId="0" borderId="1" xfId="0" applyNumberFormat="1" applyFont="1" applyBorder="1" applyAlignment="1">
      <alignment horizontal="left" vertical="center"/>
    </xf>
    <xf numFmtId="0" fontId="7" fillId="0" borderId="2" xfId="0" applyFont="1" applyBorder="1">
      <alignment vertical="center"/>
    </xf>
    <xf numFmtId="0" fontId="1" fillId="0" borderId="0" xfId="0" applyFont="1" applyAlignment="1">
      <alignment horizontal="center" vertical="center"/>
    </xf>
    <xf numFmtId="0" fontId="12" fillId="0" borderId="2" xfId="0" applyFont="1" applyBorder="1" applyAlignment="1">
      <alignment horizontal="left" vertical="center"/>
    </xf>
    <xf numFmtId="0" fontId="0" fillId="0" borderId="13" xfId="0" applyBorder="1" applyAlignment="1"/>
    <xf numFmtId="178" fontId="0" fillId="0" borderId="13" xfId="0" applyNumberFormat="1" applyBorder="1" applyAlignment="1">
      <alignment horizontal="center"/>
    </xf>
    <xf numFmtId="0" fontId="0" fillId="0" borderId="1" xfId="0" applyBorder="1" applyAlignment="1"/>
    <xf numFmtId="178" fontId="0" fillId="0" borderId="0" xfId="0" applyNumberFormat="1">
      <alignment vertical="center"/>
    </xf>
    <xf numFmtId="0" fontId="7" fillId="2" borderId="2" xfId="0" applyFont="1" applyFill="1" applyBorder="1" applyAlignment="1">
      <alignment horizontal="left" vertical="center"/>
    </xf>
    <xf numFmtId="177" fontId="0" fillId="0" borderId="4" xfId="0" applyNumberFormat="1" applyBorder="1" applyAlignment="1">
      <alignment horizontal="center" vertical="center"/>
    </xf>
    <xf numFmtId="178" fontId="0" fillId="0" borderId="14" xfId="0" applyNumberFormat="1" applyBorder="1" applyAlignment="1">
      <alignment horizontal="center"/>
    </xf>
    <xf numFmtId="0" fontId="0" fillId="0" borderId="14" xfId="0" applyBorder="1" applyAlignment="1"/>
    <xf numFmtId="177" fontId="7" fillId="0" borderId="1" xfId="0" applyNumberFormat="1" applyFont="1" applyBorder="1" applyAlignment="1">
      <alignment horizontal="left" vertical="center"/>
    </xf>
    <xf numFmtId="0" fontId="7" fillId="0" borderId="1" xfId="0" applyFont="1" applyBorder="1" applyAlignment="1">
      <alignment horizontal="center" vertical="center"/>
    </xf>
    <xf numFmtId="0" fontId="1" fillId="0" borderId="1" xfId="0" applyFont="1" applyBorder="1">
      <alignment vertical="center"/>
    </xf>
    <xf numFmtId="0" fontId="1" fillId="0" borderId="1" xfId="0" applyFont="1" applyBorder="1" applyAlignment="1">
      <alignment horizontal="left" vertical="center"/>
    </xf>
    <xf numFmtId="0" fontId="24" fillId="0" borderId="1" xfId="0" applyFont="1" applyBorder="1" applyAlignment="1">
      <alignment horizontal="center" vertical="center"/>
    </xf>
    <xf numFmtId="0" fontId="25" fillId="0" borderId="0" xfId="0" applyFont="1">
      <alignment vertical="center"/>
    </xf>
    <xf numFmtId="0" fontId="7" fillId="0" borderId="0" xfId="0" applyFont="1">
      <alignment vertical="center"/>
    </xf>
    <xf numFmtId="1" fontId="1" fillId="0" borderId="1" xfId="0" applyNumberFormat="1" applyFont="1" applyBorder="1" applyAlignment="1">
      <alignment horizontal="center" vertical="center"/>
    </xf>
    <xf numFmtId="1" fontId="1" fillId="0" borderId="0" xfId="0" applyNumberFormat="1" applyFont="1">
      <alignment vertical="center"/>
    </xf>
    <xf numFmtId="9" fontId="26" fillId="0" borderId="0" xfId="0" applyNumberFormat="1" applyFont="1">
      <alignment vertical="center"/>
    </xf>
    <xf numFmtId="0" fontId="26" fillId="0" borderId="0" xfId="0" applyFont="1">
      <alignment vertical="center"/>
    </xf>
    <xf numFmtId="0" fontId="26" fillId="0" borderId="0" xfId="0" applyFont="1" applyAlignment="1">
      <alignment horizontal="center" vertical="center"/>
    </xf>
    <xf numFmtId="0" fontId="27" fillId="0" borderId="0" xfId="0" applyFont="1">
      <alignment vertical="center"/>
    </xf>
    <xf numFmtId="0" fontId="28" fillId="0" borderId="0" xfId="0" applyFont="1">
      <alignment vertical="center"/>
    </xf>
    <xf numFmtId="0" fontId="28" fillId="0" borderId="0" xfId="0" applyFont="1" applyAlignment="1">
      <alignment horizontal="center" vertical="center"/>
    </xf>
    <xf numFmtId="0" fontId="28" fillId="0" borderId="0" xfId="0" applyFont="1" applyAlignment="1">
      <alignment horizontal="left" vertical="center"/>
    </xf>
    <xf numFmtId="0" fontId="28" fillId="0" borderId="1" xfId="0" applyFont="1" applyBorder="1" applyAlignment="1">
      <alignment horizontal="center" vertical="center" wrapText="1"/>
    </xf>
    <xf numFmtId="0" fontId="28" fillId="3" borderId="1" xfId="0" applyFont="1" applyFill="1" applyBorder="1" applyAlignment="1">
      <alignment horizontal="center" vertical="center" wrapText="1"/>
    </xf>
    <xf numFmtId="0" fontId="28" fillId="0" borderId="1" xfId="0" applyFont="1" applyBorder="1" applyAlignment="1">
      <alignment vertical="center" wrapText="1"/>
    </xf>
    <xf numFmtId="179" fontId="26" fillId="4" borderId="1" xfId="0" applyNumberFormat="1" applyFont="1" applyFill="1" applyBorder="1" applyAlignment="1">
      <alignment horizontal="center" vertical="center" wrapText="1"/>
    </xf>
    <xf numFmtId="0" fontId="28" fillId="4" borderId="1" xfId="0" applyFont="1" applyFill="1" applyBorder="1" applyAlignment="1">
      <alignment vertical="center" wrapText="1"/>
    </xf>
    <xf numFmtId="0" fontId="26" fillId="4" borderId="1" xfId="0" applyFont="1" applyFill="1" applyBorder="1" applyAlignment="1">
      <alignment horizontal="center" vertical="center" wrapText="1"/>
    </xf>
    <xf numFmtId="180" fontId="26" fillId="4" borderId="1" xfId="0" applyNumberFormat="1" applyFont="1" applyFill="1" applyBorder="1" applyAlignment="1">
      <alignment vertical="center" wrapText="1"/>
    </xf>
    <xf numFmtId="9" fontId="26" fillId="4" borderId="1" xfId="1" applyFont="1" applyFill="1" applyBorder="1" applyAlignment="1">
      <alignment horizontal="center" vertical="center" wrapText="1"/>
    </xf>
    <xf numFmtId="180" fontId="26" fillId="0" borderId="1" xfId="0" applyNumberFormat="1" applyFont="1" applyBorder="1" applyAlignment="1">
      <alignment vertical="center" wrapText="1"/>
    </xf>
    <xf numFmtId="179" fontId="26" fillId="0" borderId="1" xfId="0" applyNumberFormat="1" applyFont="1" applyBorder="1" applyAlignment="1">
      <alignment horizontal="center" vertical="center"/>
    </xf>
    <xf numFmtId="0" fontId="26" fillId="0" borderId="1" xfId="0" applyFont="1" applyBorder="1">
      <alignment vertical="center"/>
    </xf>
    <xf numFmtId="0" fontId="26" fillId="0" borderId="1" xfId="0" applyFont="1" applyBorder="1" applyAlignment="1">
      <alignment horizontal="center" vertical="center" wrapText="1"/>
    </xf>
    <xf numFmtId="180" fontId="26" fillId="3" borderId="1" xfId="0" applyNumberFormat="1" applyFont="1" applyFill="1" applyBorder="1" applyAlignment="1">
      <alignment vertical="center" wrapText="1"/>
    </xf>
    <xf numFmtId="9" fontId="26" fillId="0" borderId="1" xfId="1" applyFont="1" applyFill="1" applyBorder="1" applyAlignment="1">
      <alignment horizontal="center" vertical="center" wrapText="1"/>
    </xf>
    <xf numFmtId="179" fontId="26" fillId="4" borderId="1" xfId="0" applyNumberFormat="1" applyFont="1" applyFill="1" applyBorder="1" applyAlignment="1">
      <alignment horizontal="center" vertical="center"/>
    </xf>
    <xf numFmtId="0" fontId="26" fillId="4" borderId="1" xfId="0" applyFont="1" applyFill="1" applyBorder="1">
      <alignment vertical="center"/>
    </xf>
    <xf numFmtId="0" fontId="0" fillId="0" borderId="0" xfId="0"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26" fontId="29" fillId="0" borderId="0" xfId="3" applyNumberFormat="1" applyFont="1" applyAlignment="1">
      <alignment horizontal="right" vertical="center"/>
    </xf>
    <xf numFmtId="0" fontId="7" fillId="0" borderId="0" xfId="3" applyFont="1" applyAlignment="1">
      <alignment horizontal="center" vertical="center"/>
    </xf>
    <xf numFmtId="0" fontId="29" fillId="0" borderId="0" xfId="3" applyFont="1" applyAlignment="1">
      <alignment horizontal="center" vertical="center"/>
    </xf>
    <xf numFmtId="14" fontId="29" fillId="0" borderId="0" xfId="3" applyNumberFormat="1" applyFont="1" applyAlignment="1">
      <alignment horizontal="center" vertical="center"/>
    </xf>
    <xf numFmtId="181" fontId="29" fillId="0" borderId="0" xfId="3" applyNumberFormat="1" applyFont="1" applyAlignment="1">
      <alignment horizontal="center" vertical="center"/>
    </xf>
    <xf numFmtId="26" fontId="30" fillId="0" borderId="0" xfId="3" applyNumberFormat="1" applyFont="1" applyAlignment="1">
      <alignment horizontal="center" vertical="center"/>
    </xf>
    <xf numFmtId="0" fontId="30" fillId="0" borderId="0" xfId="0" applyFont="1" applyAlignment="1">
      <alignment horizontal="center" vertical="center"/>
    </xf>
    <xf numFmtId="26" fontId="30" fillId="0" borderId="0" xfId="0" applyNumberFormat="1" applyFont="1" applyAlignment="1">
      <alignment horizontal="center" vertical="center"/>
    </xf>
    <xf numFmtId="0" fontId="30" fillId="0" borderId="0" xfId="3" applyFont="1" applyAlignment="1">
      <alignment horizontal="center" vertical="center"/>
    </xf>
    <xf numFmtId="0" fontId="0" fillId="0" borderId="0" xfId="0" applyAlignment="1">
      <alignment horizontal="left" vertical="center"/>
    </xf>
    <xf numFmtId="0" fontId="29" fillId="0" borderId="0" xfId="3" applyFont="1" applyAlignment="1">
      <alignment horizontal="center" vertical="center" wrapText="1"/>
    </xf>
    <xf numFmtId="0" fontId="31" fillId="0" borderId="1" xfId="3" applyFont="1" applyBorder="1" applyAlignment="1">
      <alignment horizontal="center" vertical="center"/>
    </xf>
    <xf numFmtId="0" fontId="31" fillId="0" borderId="1" xfId="3" applyFont="1" applyBorder="1" applyAlignment="1">
      <alignment horizontal="center" vertical="center" wrapText="1"/>
    </xf>
    <xf numFmtId="26" fontId="31" fillId="0" borderId="1" xfId="3" applyNumberFormat="1" applyFont="1" applyBorder="1" applyAlignment="1">
      <alignment horizontal="center" vertical="center"/>
    </xf>
    <xf numFmtId="0" fontId="34" fillId="0" borderId="1" xfId="3" applyFont="1" applyBorder="1" applyAlignment="1">
      <alignment horizontal="center" vertical="center" wrapText="1"/>
    </xf>
    <xf numFmtId="1" fontId="34" fillId="0" borderId="1" xfId="3" applyNumberFormat="1" applyFont="1" applyBorder="1" applyAlignment="1">
      <alignment horizontal="center" vertical="center" wrapText="1"/>
    </xf>
    <xf numFmtId="0" fontId="34" fillId="0" borderId="1" xfId="3" applyFont="1" applyBorder="1" applyAlignment="1">
      <alignment horizontal="left" vertical="center" wrapText="1"/>
    </xf>
    <xf numFmtId="0" fontId="34" fillId="0" borderId="1" xfId="3" applyFont="1" applyBorder="1" applyAlignment="1">
      <alignment horizontal="center" vertical="center"/>
    </xf>
    <xf numFmtId="0" fontId="29" fillId="0" borderId="0" xfId="3" applyFont="1" applyAlignment="1">
      <alignment horizontal="left" vertical="center"/>
    </xf>
    <xf numFmtId="0" fontId="29" fillId="0" borderId="0" xfId="3" applyFont="1" applyAlignment="1">
      <alignment horizontal="left" vertical="center" wrapText="1"/>
    </xf>
    <xf numFmtId="182" fontId="29" fillId="0" borderId="0" xfId="3" applyNumberFormat="1" applyFont="1" applyAlignment="1">
      <alignment horizontal="center" vertical="center"/>
    </xf>
    <xf numFmtId="0" fontId="36" fillId="0" borderId="15" xfId="3" applyFont="1" applyBorder="1" applyAlignment="1">
      <alignment vertical="center"/>
    </xf>
    <xf numFmtId="0" fontId="7" fillId="0" borderId="1" xfId="3" applyFont="1" applyBorder="1" applyAlignment="1">
      <alignment horizontal="center" vertical="center"/>
    </xf>
    <xf numFmtId="0" fontId="8" fillId="0" borderId="1" xfId="3" applyFont="1" applyBorder="1" applyAlignment="1">
      <alignment horizontal="center" vertical="center" wrapText="1"/>
    </xf>
    <xf numFmtId="0" fontId="37" fillId="0" borderId="1" xfId="3" applyFont="1" applyBorder="1" applyAlignment="1">
      <alignment horizontal="center" vertical="center" wrapText="1"/>
    </xf>
    <xf numFmtId="0" fontId="31" fillId="0" borderId="2" xfId="3" applyFont="1" applyBorder="1" applyAlignment="1">
      <alignment horizontal="center" vertical="center" wrapText="1"/>
    </xf>
    <xf numFmtId="182" fontId="31" fillId="0" borderId="1" xfId="3" applyNumberFormat="1" applyFont="1" applyBorder="1" applyAlignment="1">
      <alignment horizontal="center" vertical="center" wrapText="1"/>
    </xf>
    <xf numFmtId="182" fontId="7" fillId="0" borderId="1" xfId="3" applyNumberFormat="1" applyFont="1" applyBorder="1" applyAlignment="1">
      <alignment horizontal="center" vertical="center" wrapText="1"/>
    </xf>
    <xf numFmtId="0" fontId="29" fillId="0" borderId="1" xfId="3" applyFont="1" applyBorder="1" applyAlignment="1">
      <alignment horizontal="center" vertical="center"/>
    </xf>
    <xf numFmtId="0" fontId="38" fillId="0" borderId="1" xfId="3" applyFont="1" applyBorder="1" applyAlignment="1">
      <alignment horizontal="center" vertical="center"/>
    </xf>
    <xf numFmtId="0" fontId="22" fillId="0" borderId="1" xfId="3" applyFont="1" applyBorder="1" applyAlignment="1">
      <alignment horizontal="center" vertical="center"/>
    </xf>
    <xf numFmtId="0" fontId="30" fillId="0" borderId="1" xfId="3" applyFont="1" applyBorder="1" applyAlignment="1">
      <alignment horizontal="center" vertical="center"/>
    </xf>
    <xf numFmtId="0" fontId="31" fillId="0" borderId="1" xfId="3" applyFont="1" applyBorder="1" applyAlignment="1">
      <alignment vertical="center" wrapText="1"/>
    </xf>
    <xf numFmtId="0" fontId="31" fillId="0" borderId="1" xfId="3" applyFont="1" applyBorder="1" applyAlignment="1">
      <alignment horizontal="left" vertical="center"/>
    </xf>
    <xf numFmtId="26" fontId="31" fillId="0" borderId="1" xfId="3" applyNumberFormat="1" applyFont="1" applyBorder="1" applyAlignment="1">
      <alignment horizontal="left" vertical="center"/>
    </xf>
    <xf numFmtId="182" fontId="29" fillId="0" borderId="1" xfId="3" applyNumberFormat="1" applyFont="1" applyBorder="1" applyAlignment="1">
      <alignment horizontal="center" vertical="center"/>
    </xf>
    <xf numFmtId="2" fontId="34" fillId="0" borderId="1" xfId="3" applyNumberFormat="1" applyFont="1" applyBorder="1" applyAlignment="1">
      <alignment horizontal="center" vertical="center"/>
    </xf>
    <xf numFmtId="0" fontId="34" fillId="0" borderId="1" xfId="3" applyFont="1" applyBorder="1" applyAlignment="1">
      <alignment horizontal="left" vertical="center"/>
    </xf>
    <xf numFmtId="0" fontId="7" fillId="6" borderId="11" xfId="3" applyFont="1" applyFill="1" applyBorder="1" applyAlignment="1">
      <alignment horizontal="center" vertical="center"/>
    </xf>
    <xf numFmtId="0" fontId="7" fillId="0" borderId="11" xfId="3" applyFont="1" applyBorder="1" applyAlignment="1">
      <alignment horizontal="center" vertical="center"/>
    </xf>
    <xf numFmtId="0" fontId="29" fillId="0" borderId="11" xfId="3" applyFont="1" applyBorder="1" applyAlignment="1">
      <alignment horizontal="center" vertical="center" wrapText="1"/>
    </xf>
    <xf numFmtId="0" fontId="29" fillId="0" borderId="11" xfId="3" applyFont="1" applyBorder="1" applyAlignment="1">
      <alignment horizontal="center" vertical="center"/>
    </xf>
    <xf numFmtId="183" fontId="29" fillId="0" borderId="11" xfId="3" applyNumberFormat="1" applyFont="1" applyBorder="1" applyAlignment="1">
      <alignment horizontal="center" vertical="center"/>
    </xf>
    <xf numFmtId="0" fontId="7" fillId="6" borderId="1" xfId="3" applyFont="1" applyFill="1" applyBorder="1" applyAlignment="1">
      <alignment horizontal="center" vertical="center"/>
    </xf>
    <xf numFmtId="0" fontId="29" fillId="0" borderId="1" xfId="3" applyFont="1" applyBorder="1" applyAlignment="1">
      <alignment horizontal="center" vertical="center" wrapText="1"/>
    </xf>
    <xf numFmtId="183" fontId="29" fillId="0" borderId="1" xfId="3" applyNumberFormat="1" applyFont="1" applyBorder="1" applyAlignment="1">
      <alignment horizontal="center" vertical="center"/>
    </xf>
    <xf numFmtId="182" fontId="29" fillId="0" borderId="1" xfId="3" applyNumberFormat="1" applyFont="1" applyBorder="1" applyAlignment="1">
      <alignment horizontal="center" vertical="center" wrapText="1"/>
    </xf>
    <xf numFmtId="0" fontId="31" fillId="7" borderId="1" xfId="3" applyFont="1" applyFill="1" applyBorder="1" applyAlignment="1">
      <alignment horizontal="center" vertical="center"/>
    </xf>
    <xf numFmtId="0" fontId="0" fillId="7" borderId="1" xfId="3" applyFont="1" applyFill="1" applyBorder="1" applyAlignment="1">
      <alignment horizontal="center" vertical="center"/>
    </xf>
    <xf numFmtId="0" fontId="34" fillId="7" borderId="1" xfId="3" applyFont="1" applyFill="1" applyBorder="1" applyAlignment="1">
      <alignment horizontal="center" vertical="center"/>
    </xf>
    <xf numFmtId="0" fontId="34" fillId="7" borderId="1" xfId="3" applyFont="1" applyFill="1" applyBorder="1" applyAlignment="1">
      <alignment horizontal="left" vertical="center"/>
    </xf>
    <xf numFmtId="2" fontId="34" fillId="7" borderId="1" xfId="3" applyNumberFormat="1" applyFont="1" applyFill="1" applyBorder="1" applyAlignment="1">
      <alignment horizontal="center" vertical="center"/>
    </xf>
    <xf numFmtId="0" fontId="29" fillId="7" borderId="1" xfId="3" applyFont="1" applyFill="1" applyBorder="1" applyAlignment="1">
      <alignment horizontal="center" vertical="center"/>
    </xf>
    <xf numFmtId="0" fontId="7" fillId="7" borderId="1" xfId="3" applyFont="1" applyFill="1" applyBorder="1" applyAlignment="1">
      <alignment horizontal="center" vertical="center"/>
    </xf>
    <xf numFmtId="0" fontId="7" fillId="7" borderId="1" xfId="3" applyFont="1" applyFill="1" applyBorder="1" applyAlignment="1">
      <alignment horizontal="center" vertical="center" wrapText="1"/>
    </xf>
    <xf numFmtId="0" fontId="29" fillId="7" borderId="1" xfId="3" applyFont="1" applyFill="1" applyBorder="1" applyAlignment="1">
      <alignment horizontal="center" vertical="center" wrapText="1"/>
    </xf>
    <xf numFmtId="182" fontId="29" fillId="7" borderId="1" xfId="3" applyNumberFormat="1" applyFont="1" applyFill="1" applyBorder="1" applyAlignment="1">
      <alignment horizontal="left" vertical="center"/>
    </xf>
    <xf numFmtId="0" fontId="7" fillId="2" borderId="0" xfId="3" applyFont="1" applyFill="1" applyAlignment="1">
      <alignment horizontal="center" vertical="center"/>
    </xf>
    <xf numFmtId="0" fontId="7" fillId="0" borderId="0" xfId="3" applyFont="1" applyAlignment="1">
      <alignment horizontal="left" vertical="center"/>
    </xf>
    <xf numFmtId="184" fontId="41" fillId="0" borderId="0" xfId="0" applyNumberFormat="1" applyFont="1" applyAlignment="1">
      <alignment horizontal="center"/>
    </xf>
    <xf numFmtId="0" fontId="3" fillId="0" borderId="0" xfId="0" applyFont="1">
      <alignment vertical="center"/>
    </xf>
    <xf numFmtId="0" fontId="42" fillId="0" borderId="0" xfId="0" applyFont="1" applyAlignment="1">
      <alignment horizontal="center"/>
    </xf>
    <xf numFmtId="0" fontId="42" fillId="0" borderId="0" xfId="0" applyFont="1" applyAlignment="1"/>
    <xf numFmtId="178" fontId="42" fillId="0" borderId="0" xfId="0" applyNumberFormat="1" applyFont="1" applyAlignment="1">
      <alignment horizontal="center"/>
    </xf>
    <xf numFmtId="0" fontId="43" fillId="0" borderId="0" xfId="0" applyFont="1" applyAlignment="1"/>
    <xf numFmtId="0" fontId="44" fillId="0" borderId="0" xfId="0" applyFont="1" applyAlignment="1">
      <alignment horizontal="center"/>
    </xf>
    <xf numFmtId="0" fontId="41" fillId="0" borderId="0" xfId="0" applyFont="1" applyAlignment="1">
      <alignment horizontal="left"/>
    </xf>
    <xf numFmtId="0" fontId="42" fillId="0" borderId="0" xfId="0" applyFont="1" applyAlignment="1">
      <alignment horizontal="left"/>
    </xf>
    <xf numFmtId="0" fontId="41" fillId="0" borderId="1" xfId="0" applyFont="1" applyBorder="1" applyAlignment="1">
      <alignment horizontal="right"/>
    </xf>
    <xf numFmtId="178" fontId="41" fillId="0" borderId="1" xfId="0" applyNumberFormat="1" applyFont="1" applyBorder="1" applyAlignment="1">
      <alignment horizontal="center"/>
    </xf>
    <xf numFmtId="0" fontId="42" fillId="0" borderId="1" xfId="0" applyFont="1" applyBorder="1" applyAlignment="1"/>
    <xf numFmtId="0" fontId="43" fillId="0" borderId="1" xfId="0" applyFont="1" applyBorder="1" applyAlignment="1"/>
    <xf numFmtId="184" fontId="41" fillId="0" borderId="1" xfId="0" applyNumberFormat="1" applyFont="1" applyBorder="1" applyAlignment="1">
      <alignment horizontal="center"/>
    </xf>
    <xf numFmtId="184" fontId="44" fillId="0" borderId="1" xfId="0" applyNumberFormat="1" applyFont="1" applyBorder="1" applyAlignment="1">
      <alignment horizontal="center"/>
    </xf>
    <xf numFmtId="0" fontId="42" fillId="0" borderId="1" xfId="0" applyFont="1" applyBorder="1" applyAlignment="1">
      <alignment horizontal="center"/>
    </xf>
    <xf numFmtId="0" fontId="2" fillId="0" borderId="16" xfId="0" applyFont="1" applyBorder="1" applyAlignment="1">
      <alignment horizontal="left"/>
    </xf>
    <xf numFmtId="178" fontId="2" fillId="0" borderId="1" xfId="0" applyNumberFormat="1" applyFont="1" applyBorder="1" applyAlignment="1">
      <alignment horizontal="center"/>
    </xf>
    <xf numFmtId="0" fontId="44" fillId="0" borderId="4" xfId="0" applyFont="1" applyBorder="1" applyAlignment="1">
      <alignment horizontal="left"/>
    </xf>
    <xf numFmtId="0" fontId="44" fillId="0" borderId="4" xfId="0" applyFont="1" applyBorder="1" applyAlignment="1">
      <alignment horizontal="center"/>
    </xf>
    <xf numFmtId="184" fontId="2" fillId="0" borderId="2" xfId="0" applyNumberFormat="1" applyFont="1" applyBorder="1" applyAlignment="1">
      <alignment horizontal="left"/>
    </xf>
    <xf numFmtId="178" fontId="42" fillId="0" borderId="1" xfId="0" applyNumberFormat="1" applyFont="1" applyBorder="1" applyAlignment="1">
      <alignment horizontal="center"/>
    </xf>
    <xf numFmtId="0" fontId="2" fillId="5" borderId="16" xfId="0" applyFont="1" applyFill="1" applyBorder="1" applyAlignment="1">
      <alignment horizontal="left"/>
    </xf>
    <xf numFmtId="0" fontId="2" fillId="8" borderId="16" xfId="0" applyFont="1" applyFill="1" applyBorder="1" applyAlignment="1">
      <alignment horizontal="left"/>
    </xf>
    <xf numFmtId="178" fontId="2" fillId="0" borderId="17" xfId="0" applyNumberFormat="1" applyFont="1" applyBorder="1" applyAlignment="1">
      <alignment horizontal="center"/>
    </xf>
    <xf numFmtId="0" fontId="46" fillId="0" borderId="17" xfId="0" applyFont="1" applyBorder="1" applyAlignment="1"/>
    <xf numFmtId="0" fontId="46" fillId="0" borderId="21" xfId="0" applyFont="1" applyBorder="1" applyAlignment="1"/>
    <xf numFmtId="178" fontId="43" fillId="0" borderId="1" xfId="0" applyNumberFormat="1" applyFont="1" applyBorder="1" applyAlignment="1">
      <alignment horizontal="center"/>
    </xf>
    <xf numFmtId="178" fontId="42" fillId="5" borderId="1" xfId="0" applyNumberFormat="1" applyFont="1" applyFill="1" applyBorder="1" applyAlignment="1">
      <alignment horizontal="center"/>
    </xf>
    <xf numFmtId="178" fontId="2" fillId="0" borderId="22" xfId="0" applyNumberFormat="1" applyFont="1" applyBorder="1" applyAlignment="1">
      <alignment horizontal="center"/>
    </xf>
    <xf numFmtId="178" fontId="42" fillId="0" borderId="22" xfId="0" applyNumberFormat="1" applyFont="1" applyBorder="1" applyAlignment="1">
      <alignment horizontal="center"/>
    </xf>
    <xf numFmtId="0" fontId="9" fillId="0" borderId="23" xfId="0" applyFont="1" applyBorder="1" applyAlignment="1">
      <alignment horizontal="left"/>
    </xf>
    <xf numFmtId="0" fontId="2" fillId="2" borderId="24" xfId="0" applyFont="1" applyFill="1" applyBorder="1" applyAlignment="1">
      <alignment horizontal="left"/>
    </xf>
    <xf numFmtId="178" fontId="43" fillId="0" borderId="17" xfId="0" applyNumberFormat="1" applyFont="1" applyBorder="1" applyAlignment="1">
      <alignment horizontal="center"/>
    </xf>
    <xf numFmtId="0" fontId="2" fillId="0" borderId="25" xfId="0" applyFont="1" applyBorder="1" applyAlignment="1">
      <alignment horizontal="left"/>
    </xf>
    <xf numFmtId="178" fontId="2" fillId="0" borderId="21" xfId="0" applyNumberFormat="1" applyFont="1" applyBorder="1" applyAlignment="1">
      <alignment horizontal="center"/>
    </xf>
    <xf numFmtId="0" fontId="43" fillId="0" borderId="26" xfId="0" applyFont="1" applyBorder="1" applyAlignment="1">
      <alignment horizontal="left"/>
    </xf>
    <xf numFmtId="0" fontId="2" fillId="0" borderId="23" xfId="0" applyFont="1" applyBorder="1" applyAlignment="1">
      <alignment horizontal="left"/>
    </xf>
    <xf numFmtId="178" fontId="2" fillId="0" borderId="5" xfId="0" applyNumberFormat="1" applyFont="1" applyBorder="1" applyAlignment="1">
      <alignment horizontal="center"/>
    </xf>
    <xf numFmtId="0" fontId="43" fillId="0" borderId="27" xfId="0" applyFont="1" applyBorder="1" applyAlignment="1">
      <alignment horizontal="left"/>
    </xf>
    <xf numFmtId="0" fontId="2" fillId="0" borderId="28" xfId="0" applyFont="1" applyBorder="1" applyAlignment="1">
      <alignment horizontal="left"/>
    </xf>
    <xf numFmtId="0" fontId="2" fillId="0" borderId="29" xfId="0" applyFont="1" applyBorder="1" applyAlignment="1">
      <alignment horizontal="left"/>
    </xf>
    <xf numFmtId="0" fontId="2" fillId="0" borderId="30" xfId="0" applyFont="1" applyBorder="1" applyAlignment="1">
      <alignment horizontal="left"/>
    </xf>
    <xf numFmtId="0" fontId="2" fillId="0" borderId="1" xfId="0" applyFont="1" applyBorder="1" applyAlignment="1">
      <alignment horizontal="left"/>
    </xf>
    <xf numFmtId="0" fontId="2" fillId="0" borderId="2" xfId="0" applyFont="1" applyBorder="1" applyAlignment="1">
      <alignment horizontal="left"/>
    </xf>
    <xf numFmtId="178" fontId="42" fillId="0" borderId="5" xfId="0" applyNumberFormat="1" applyFont="1" applyBorder="1" applyAlignment="1">
      <alignment horizontal="center"/>
    </xf>
    <xf numFmtId="0" fontId="45" fillId="0" borderId="1" xfId="0" applyFont="1" applyBorder="1" applyAlignment="1"/>
    <xf numFmtId="0" fontId="49" fillId="0" borderId="17" xfId="0" applyFont="1" applyBorder="1" applyAlignment="1"/>
    <xf numFmtId="0" fontId="46" fillId="0" borderId="1" xfId="0" applyFont="1" applyBorder="1" applyAlignment="1"/>
    <xf numFmtId="0" fontId="46" fillId="0" borderId="2" xfId="0" applyFont="1" applyBorder="1" applyAlignment="1"/>
    <xf numFmtId="0" fontId="2" fillId="2" borderId="1" xfId="0" applyFont="1" applyFill="1" applyBorder="1" applyAlignment="1">
      <alignment horizontal="left"/>
    </xf>
    <xf numFmtId="0" fontId="49" fillId="0" borderId="2" xfId="0" applyFont="1" applyBorder="1" applyAlignment="1"/>
    <xf numFmtId="178" fontId="2" fillId="5" borderId="1" xfId="0" applyNumberFormat="1" applyFont="1" applyFill="1" applyBorder="1" applyAlignment="1">
      <alignment horizontal="center"/>
    </xf>
    <xf numFmtId="0" fontId="46" fillId="2" borderId="2" xfId="0" applyFont="1" applyFill="1" applyBorder="1" applyAlignment="1"/>
    <xf numFmtId="0" fontId="46" fillId="5" borderId="2" xfId="0" applyFont="1" applyFill="1" applyBorder="1" applyAlignment="1"/>
    <xf numFmtId="0" fontId="42" fillId="0" borderId="1" xfId="0" applyFont="1" applyBorder="1" applyAlignment="1">
      <alignment horizontal="left"/>
    </xf>
    <xf numFmtId="0" fontId="43" fillId="0" borderId="1" xfId="0" applyFont="1" applyBorder="1">
      <alignment vertical="center"/>
    </xf>
    <xf numFmtId="0" fontId="43" fillId="0" borderId="2" xfId="0" applyFont="1" applyBorder="1">
      <alignment vertical="center"/>
    </xf>
    <xf numFmtId="0" fontId="43" fillId="0" borderId="2" xfId="0" applyFont="1" applyBorder="1" applyAlignment="1"/>
    <xf numFmtId="0" fontId="56" fillId="0" borderId="0" xfId="0" applyFont="1" applyAlignment="1">
      <alignment horizontal="left"/>
    </xf>
    <xf numFmtId="0" fontId="42" fillId="2" borderId="0" xfId="0" applyFont="1" applyFill="1" applyAlignment="1"/>
    <xf numFmtId="0" fontId="41" fillId="0" borderId="0" xfId="0" applyFont="1" applyAlignment="1">
      <alignment horizontal="right"/>
    </xf>
    <xf numFmtId="178" fontId="41" fillId="0" borderId="0" xfId="0" applyNumberFormat="1" applyFont="1" applyAlignment="1">
      <alignment horizontal="center"/>
    </xf>
    <xf numFmtId="0" fontId="56" fillId="0" borderId="0" xfId="0" applyFont="1">
      <alignment vertical="center"/>
    </xf>
    <xf numFmtId="0" fontId="3" fillId="0" borderId="0" xfId="0" applyFont="1" applyAlignment="1">
      <alignment horizontal="center"/>
    </xf>
    <xf numFmtId="0" fontId="56" fillId="0" borderId="0" xfId="0" applyFont="1" applyAlignment="1">
      <alignment horizontal="center"/>
    </xf>
    <xf numFmtId="178" fontId="3" fillId="0" borderId="0" xfId="0" applyNumberFormat="1" applyFont="1" applyAlignment="1">
      <alignment horizontal="center"/>
    </xf>
    <xf numFmtId="0" fontId="24" fillId="0" borderId="0" xfId="0" applyFont="1" applyAlignment="1"/>
    <xf numFmtId="0" fontId="43" fillId="0" borderId="0" xfId="0" applyFont="1" applyAlignment="1">
      <alignment horizontal="left"/>
    </xf>
    <xf numFmtId="0" fontId="43" fillId="0" borderId="0" xfId="0" applyFont="1" applyAlignment="1">
      <alignment horizontal="center"/>
    </xf>
    <xf numFmtId="0" fontId="0" fillId="0" borderId="0" xfId="0" applyAlignment="1"/>
    <xf numFmtId="0" fontId="42" fillId="0" borderId="1" xfId="0" applyFont="1" applyBorder="1" applyAlignment="1">
      <alignment horizontal="left" vertical="center" wrapText="1"/>
    </xf>
    <xf numFmtId="0" fontId="42" fillId="0" borderId="1" xfId="0" applyFont="1" applyBorder="1" applyAlignment="1">
      <alignment vertical="center" wrapText="1"/>
    </xf>
    <xf numFmtId="0" fontId="0" fillId="0" borderId="0" xfId="0" applyAlignment="1">
      <alignment horizontal="center" vertical="center" wrapText="1"/>
    </xf>
    <xf numFmtId="185"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center"/>
    </xf>
    <xf numFmtId="0" fontId="29" fillId="0" borderId="0" xfId="0" applyFont="1">
      <alignment vertical="center"/>
    </xf>
    <xf numFmtId="0" fontId="0" fillId="6" borderId="0" xfId="0" applyFill="1">
      <alignment vertical="center"/>
    </xf>
    <xf numFmtId="22" fontId="0" fillId="0" borderId="0" xfId="0" applyNumberFormat="1">
      <alignment vertical="center"/>
    </xf>
    <xf numFmtId="21" fontId="0" fillId="0" borderId="0" xfId="0" applyNumberFormat="1">
      <alignment vertical="center"/>
    </xf>
    <xf numFmtId="0" fontId="29" fillId="0" borderId="0" xfId="0" applyFont="1" applyAlignment="1">
      <alignment vertical="center" wrapText="1"/>
    </xf>
    <xf numFmtId="0" fontId="0" fillId="5" borderId="0" xfId="0" applyFill="1">
      <alignment vertical="center"/>
    </xf>
    <xf numFmtId="0" fontId="0" fillId="0" borderId="0" xfId="0" applyProtection="1">
      <alignment vertical="center"/>
      <protection locked="0"/>
    </xf>
    <xf numFmtId="182" fontId="0" fillId="0" borderId="0" xfId="0" applyNumberFormat="1">
      <alignment vertical="center"/>
    </xf>
    <xf numFmtId="0" fontId="0" fillId="0" borderId="0" xfId="0" applyAlignment="1" applyProtection="1">
      <alignment horizontal="left" vertical="center"/>
      <protection locked="0"/>
    </xf>
    <xf numFmtId="0" fontId="59" fillId="0" borderId="0" xfId="0" applyFont="1" applyAlignment="1">
      <alignment horizontal="center" vertical="center" wrapText="1"/>
    </xf>
    <xf numFmtId="0" fontId="0" fillId="0" borderId="0" xfId="0" applyAlignment="1" applyProtection="1">
      <protection locked="0"/>
    </xf>
    <xf numFmtId="178"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1" fontId="0" fillId="0" borderId="0" xfId="0" applyNumberFormat="1" applyAlignment="1" applyProtection="1">
      <alignment horizontal="center"/>
      <protection locked="0"/>
    </xf>
    <xf numFmtId="186" fontId="0" fillId="0" borderId="0" xfId="0" applyNumberFormat="1" applyAlignment="1" applyProtection="1">
      <alignment horizontal="center"/>
      <protection locked="0"/>
    </xf>
    <xf numFmtId="2" fontId="0" fillId="0" borderId="0" xfId="0" applyNumberFormat="1" applyAlignment="1" applyProtection="1">
      <alignment horizontal="left"/>
      <protection locked="0"/>
    </xf>
    <xf numFmtId="0" fontId="0" fillId="0" borderId="0" xfId="0" applyAlignment="1">
      <alignment horizontal="center"/>
    </xf>
    <xf numFmtId="0" fontId="0" fillId="0" borderId="0" xfId="0" applyAlignment="1">
      <alignment horizontal="left"/>
    </xf>
    <xf numFmtId="0" fontId="47" fillId="0" borderId="13" xfId="0" applyFont="1" applyBorder="1" applyAlignment="1">
      <alignment horizontal="center" vertical="center" wrapText="1"/>
    </xf>
    <xf numFmtId="0" fontId="41" fillId="0" borderId="13" xfId="0" applyFont="1" applyBorder="1" applyAlignment="1">
      <alignment horizontal="center" vertical="center" wrapText="1"/>
    </xf>
    <xf numFmtId="178" fontId="41" fillId="0" borderId="13" xfId="0" applyNumberFormat="1" applyFont="1" applyBorder="1" applyAlignment="1">
      <alignment horizontal="center" vertical="center" wrapText="1"/>
    </xf>
    <xf numFmtId="2" fontId="41" fillId="0" borderId="13" xfId="0" applyNumberFormat="1" applyFont="1" applyBorder="1" applyAlignment="1">
      <alignment horizontal="center" vertical="center" wrapText="1"/>
    </xf>
    <xf numFmtId="1" fontId="41" fillId="0" borderId="13" xfId="0" applyNumberFormat="1" applyFont="1" applyBorder="1" applyAlignment="1">
      <alignment horizontal="center" vertical="center" wrapText="1"/>
    </xf>
    <xf numFmtId="186" fontId="41" fillId="0" borderId="13" xfId="0" applyNumberFormat="1" applyFont="1" applyBorder="1" applyAlignment="1">
      <alignment horizontal="center" vertical="center" wrapText="1"/>
    </xf>
    <xf numFmtId="186" fontId="60" fillId="0" borderId="13" xfId="0" applyNumberFormat="1" applyFont="1" applyBorder="1" applyAlignment="1">
      <alignment horizontal="center" vertical="center" wrapText="1"/>
    </xf>
    <xf numFmtId="2" fontId="59" fillId="0" borderId="13" xfId="0" applyNumberFormat="1" applyFont="1" applyBorder="1" applyAlignment="1">
      <alignment horizontal="center" vertical="center" wrapText="1"/>
    </xf>
    <xf numFmtId="2" fontId="60" fillId="0" borderId="13" xfId="0" applyNumberFormat="1" applyFont="1" applyBorder="1" applyAlignment="1">
      <alignment horizontal="center" vertical="center" wrapText="1"/>
    </xf>
    <xf numFmtId="0" fontId="60" fillId="0" borderId="0" xfId="0" applyFont="1" applyAlignment="1">
      <alignment horizontal="center" vertical="center" wrapText="1"/>
    </xf>
    <xf numFmtId="0" fontId="43" fillId="0" borderId="13" xfId="0" applyFont="1" applyBorder="1" applyAlignment="1">
      <alignment horizontal="left"/>
    </xf>
    <xf numFmtId="178" fontId="43" fillId="0" borderId="13" xfId="0" applyNumberFormat="1" applyFont="1" applyBorder="1" applyAlignment="1">
      <alignment horizontal="center"/>
    </xf>
    <xf numFmtId="2" fontId="43" fillId="0" borderId="13" xfId="0" applyNumberFormat="1" applyFont="1" applyBorder="1" applyAlignment="1">
      <alignment horizontal="center"/>
    </xf>
    <xf numFmtId="1" fontId="43" fillId="0" borderId="13" xfId="0" applyNumberFormat="1" applyFont="1" applyBorder="1" applyAlignment="1">
      <alignment horizontal="center"/>
    </xf>
    <xf numFmtId="186" fontId="0" fillId="0" borderId="13" xfId="0" applyNumberFormat="1" applyBorder="1" applyAlignment="1">
      <alignment horizontal="center"/>
    </xf>
    <xf numFmtId="186" fontId="0" fillId="0" borderId="13" xfId="0" applyNumberFormat="1" applyBorder="1" applyAlignment="1" applyProtection="1">
      <alignment horizontal="center"/>
      <protection hidden="1"/>
    </xf>
    <xf numFmtId="14" fontId="61" fillId="0" borderId="13" xfId="0" applyNumberFormat="1" applyFont="1" applyBorder="1" applyAlignment="1">
      <alignment horizontal="center"/>
    </xf>
    <xf numFmtId="2" fontId="0" fillId="0" borderId="13" xfId="0" applyNumberFormat="1" applyBorder="1" applyAlignment="1">
      <alignment horizontal="left"/>
    </xf>
    <xf numFmtId="0" fontId="62" fillId="2" borderId="0" xfId="0" applyFont="1" applyFill="1" applyAlignment="1"/>
    <xf numFmtId="0" fontId="2" fillId="0" borderId="13" xfId="0" applyFont="1" applyBorder="1" applyAlignment="1">
      <alignment horizontal="left"/>
    </xf>
    <xf numFmtId="178" fontId="2" fillId="0" borderId="13" xfId="0" applyNumberFormat="1" applyFont="1" applyBorder="1" applyAlignment="1">
      <alignment horizontal="center"/>
    </xf>
    <xf numFmtId="2" fontId="2" fillId="0" borderId="13" xfId="0" applyNumberFormat="1" applyFont="1" applyBorder="1" applyAlignment="1">
      <alignment horizontal="center"/>
    </xf>
    <xf numFmtId="1" fontId="2" fillId="0" borderId="13" xfId="0" applyNumberFormat="1" applyFont="1" applyBorder="1" applyAlignment="1">
      <alignment horizontal="center"/>
    </xf>
    <xf numFmtId="187" fontId="0" fillId="0" borderId="0" xfId="0" applyNumberFormat="1" applyAlignment="1"/>
    <xf numFmtId="183" fontId="0" fillId="0" borderId="0" xfId="0" applyNumberFormat="1" applyAlignment="1"/>
    <xf numFmtId="0" fontId="42" fillId="0" borderId="13" xfId="0" applyFont="1" applyBorder="1" applyAlignment="1">
      <alignment horizontal="left"/>
    </xf>
    <xf numFmtId="186" fontId="0" fillId="9" borderId="13" xfId="0" applyNumberFormat="1" applyFill="1" applyBorder="1" applyAlignment="1">
      <alignment horizontal="center"/>
    </xf>
    <xf numFmtId="0" fontId="2" fillId="10" borderId="13" xfId="0" applyFont="1" applyFill="1" applyBorder="1" applyAlignment="1">
      <alignment horizontal="left"/>
    </xf>
    <xf numFmtId="185" fontId="2" fillId="0" borderId="13" xfId="0" applyNumberFormat="1" applyFont="1" applyBorder="1" applyAlignment="1">
      <alignment horizontal="left"/>
    </xf>
    <xf numFmtId="0" fontId="0" fillId="0" borderId="13" xfId="0" applyBorder="1" applyAlignment="1">
      <alignment horizontal="center"/>
    </xf>
    <xf numFmtId="177" fontId="2" fillId="0" borderId="13" xfId="0" applyNumberFormat="1" applyFont="1" applyBorder="1" applyAlignment="1">
      <alignment horizontal="left"/>
    </xf>
    <xf numFmtId="186" fontId="0" fillId="0" borderId="13" xfId="0" applyNumberFormat="1" applyBorder="1" applyAlignment="1">
      <alignment horizontal="center" wrapText="1"/>
    </xf>
    <xf numFmtId="2" fontId="0" fillId="0" borderId="13" xfId="0" applyNumberFormat="1" applyBorder="1" applyAlignment="1">
      <alignment horizontal="center"/>
    </xf>
    <xf numFmtId="1" fontId="0" fillId="0" borderId="13" xfId="0" applyNumberFormat="1" applyBorder="1" applyAlignment="1">
      <alignment horizontal="center"/>
    </xf>
    <xf numFmtId="186" fontId="0" fillId="11" borderId="13" xfId="0" applyNumberFormat="1" applyFill="1" applyBorder="1" applyAlignment="1">
      <alignment horizontal="center"/>
    </xf>
    <xf numFmtId="0" fontId="0" fillId="0" borderId="13" xfId="0" applyBorder="1" applyAlignment="1">
      <alignment horizontal="left"/>
    </xf>
    <xf numFmtId="0" fontId="2" fillId="11" borderId="13" xfId="0" applyFont="1" applyFill="1" applyBorder="1" applyAlignment="1">
      <alignment horizontal="left"/>
    </xf>
    <xf numFmtId="1" fontId="2" fillId="11" borderId="13" xfId="0" applyNumberFormat="1" applyFont="1" applyFill="1" applyBorder="1" applyAlignment="1">
      <alignment horizontal="center"/>
    </xf>
    <xf numFmtId="0" fontId="62" fillId="0" borderId="13" xfId="0" applyFont="1" applyBorder="1" applyAlignment="1"/>
    <xf numFmtId="0" fontId="20" fillId="0" borderId="1" xfId="0" applyFont="1" applyBorder="1">
      <alignment vertical="center"/>
    </xf>
    <xf numFmtId="0" fontId="12" fillId="0" borderId="1" xfId="0" applyFont="1" applyBorder="1">
      <alignment vertical="center"/>
    </xf>
    <xf numFmtId="0" fontId="0" fillId="0" borderId="31" xfId="0" applyBorder="1" applyAlignment="1"/>
    <xf numFmtId="0" fontId="0" fillId="0" borderId="32" xfId="0" applyBorder="1" applyAlignment="1"/>
    <xf numFmtId="186" fontId="0" fillId="11" borderId="13" xfId="0" applyNumberFormat="1" applyFill="1" applyBorder="1" applyAlignment="1" applyProtection="1">
      <alignment horizontal="center"/>
      <protection hidden="1"/>
    </xf>
    <xf numFmtId="186" fontId="0" fillId="2" borderId="13" xfId="0" applyNumberFormat="1" applyFill="1" applyBorder="1" applyAlignment="1">
      <alignment horizontal="center"/>
    </xf>
    <xf numFmtId="0" fontId="63" fillId="0" borderId="13" xfId="0" applyFont="1" applyBorder="1" applyAlignment="1"/>
    <xf numFmtId="188" fontId="64" fillId="0" borderId="1" xfId="5" applyNumberFormat="1" applyFont="1" applyBorder="1" applyAlignment="1">
      <alignment horizontal="center" vertical="center" wrapText="1"/>
    </xf>
    <xf numFmtId="188" fontId="64" fillId="0" borderId="0" xfId="5" applyNumberFormat="1" applyFont="1" applyAlignment="1">
      <alignment horizontal="center" vertical="center" wrapText="1"/>
    </xf>
    <xf numFmtId="0" fontId="65" fillId="0" borderId="13" xfId="0" applyFont="1" applyBorder="1" applyAlignment="1"/>
    <xf numFmtId="0" fontId="0" fillId="0" borderId="14" xfId="0" applyBorder="1" applyAlignment="1">
      <alignment horizontal="center"/>
    </xf>
    <xf numFmtId="2" fontId="0" fillId="0" borderId="14" xfId="0" applyNumberFormat="1" applyBorder="1" applyAlignment="1">
      <alignment horizontal="center"/>
    </xf>
    <xf numFmtId="1" fontId="0" fillId="0" borderId="14" xfId="0" applyNumberFormat="1" applyBorder="1" applyAlignment="1">
      <alignment horizontal="center"/>
    </xf>
    <xf numFmtId="186" fontId="0" fillId="0" borderId="14" xfId="0" applyNumberFormat="1" applyBorder="1" applyAlignment="1">
      <alignment horizontal="center"/>
    </xf>
    <xf numFmtId="186" fontId="0" fillId="0" borderId="14" xfId="0" applyNumberFormat="1" applyBorder="1" applyAlignment="1" applyProtection="1">
      <alignment horizontal="center"/>
      <protection hidden="1"/>
    </xf>
    <xf numFmtId="2" fontId="0" fillId="0" borderId="14" xfId="0" applyNumberFormat="1" applyBorder="1" applyAlignment="1">
      <alignment horizontal="left"/>
    </xf>
    <xf numFmtId="178" fontId="0" fillId="0" borderId="0" xfId="0" applyNumberFormat="1" applyAlignment="1">
      <alignment horizontal="center"/>
    </xf>
    <xf numFmtId="2" fontId="0" fillId="0" borderId="0" xfId="0" applyNumberFormat="1" applyAlignment="1">
      <alignment horizontal="center"/>
    </xf>
    <xf numFmtId="1" fontId="0" fillId="0" borderId="0" xfId="0" applyNumberFormat="1" applyAlignment="1">
      <alignment horizontal="center"/>
    </xf>
    <xf numFmtId="186" fontId="0" fillId="0" borderId="0" xfId="0" applyNumberFormat="1" applyAlignment="1">
      <alignment horizontal="center"/>
    </xf>
    <xf numFmtId="186" fontId="0" fillId="0" borderId="0" xfId="0" applyNumberFormat="1" applyAlignment="1" applyProtection="1">
      <alignment horizontal="center"/>
      <protection hidden="1"/>
    </xf>
    <xf numFmtId="2" fontId="0" fillId="0" borderId="0" xfId="0" applyNumberFormat="1" applyAlignment="1">
      <alignment horizontal="left"/>
    </xf>
    <xf numFmtId="178" fontId="0" fillId="0" borderId="1" xfId="0" applyNumberFormat="1" applyBorder="1" applyAlignment="1">
      <alignment horizontal="center"/>
    </xf>
    <xf numFmtId="2" fontId="0" fillId="0" borderId="1" xfId="0" applyNumberFormat="1" applyBorder="1" applyAlignment="1">
      <alignment horizontal="center"/>
    </xf>
    <xf numFmtId="1" fontId="0" fillId="0" borderId="1" xfId="0" applyNumberFormat="1" applyBorder="1" applyAlignment="1">
      <alignment horizontal="center"/>
    </xf>
    <xf numFmtId="186" fontId="0" fillId="0" borderId="1" xfId="0" applyNumberFormat="1" applyBorder="1" applyAlignment="1">
      <alignment horizontal="center"/>
    </xf>
    <xf numFmtId="186" fontId="0" fillId="0" borderId="1" xfId="0" applyNumberFormat="1" applyBorder="1" applyAlignment="1" applyProtection="1">
      <alignment horizontal="center"/>
      <protection hidden="1"/>
    </xf>
    <xf numFmtId="2" fontId="0" fillId="0" borderId="1" xfId="0" applyNumberFormat="1" applyBorder="1" applyAlignment="1">
      <alignment horizontal="left"/>
    </xf>
    <xf numFmtId="0" fontId="0" fillId="0" borderId="7" xfId="0" applyBorder="1" applyAlignment="1"/>
    <xf numFmtId="185" fontId="0" fillId="0" borderId="0" xfId="0" applyNumberFormat="1" applyAlignment="1" applyProtection="1">
      <alignment horizontal="center"/>
      <protection hidden="1"/>
    </xf>
    <xf numFmtId="185" fontId="0" fillId="0" borderId="0" xfId="0" applyNumberFormat="1" applyAlignment="1">
      <alignment horizontal="center"/>
    </xf>
    <xf numFmtId="189" fontId="0" fillId="0" borderId="0" xfId="0" applyNumberFormat="1" applyAlignment="1">
      <alignment horizontal="center"/>
    </xf>
    <xf numFmtId="1" fontId="0" fillId="0" borderId="0" xfId="0" applyNumberFormat="1" applyAlignment="1" applyProtection="1">
      <alignment horizontal="center"/>
      <protection hidden="1"/>
    </xf>
    <xf numFmtId="1" fontId="0" fillId="0" borderId="1" xfId="0" applyNumberFormat="1" applyBorder="1" applyAlignment="1" applyProtection="1">
      <alignment horizontal="center"/>
      <protection hidden="1"/>
    </xf>
    <xf numFmtId="186" fontId="0" fillId="0" borderId="32" xfId="0" applyNumberFormat="1" applyBorder="1" applyAlignment="1">
      <alignment horizontal="center"/>
    </xf>
    <xf numFmtId="178" fontId="57" fillId="0" borderId="1" xfId="0" applyNumberFormat="1" applyFont="1" applyBorder="1" applyAlignment="1">
      <alignment horizontal="center"/>
    </xf>
    <xf numFmtId="183" fontId="42" fillId="0" borderId="1" xfId="0" applyNumberFormat="1" applyFont="1" applyBorder="1" applyAlignment="1">
      <alignment horizontal="center" vertical="center" wrapText="1"/>
    </xf>
    <xf numFmtId="0" fontId="42" fillId="0" borderId="1" xfId="0" applyFont="1" applyBorder="1" applyAlignment="1">
      <alignment horizontal="center" vertical="center" wrapText="1"/>
    </xf>
    <xf numFmtId="178" fontId="0" fillId="2" borderId="0" xfId="0" applyNumberFormat="1" applyFill="1" applyAlignment="1">
      <alignment horizontal="center"/>
    </xf>
    <xf numFmtId="186" fontId="0" fillId="2" borderId="0" xfId="0" applyNumberFormat="1" applyFill="1" applyAlignment="1" applyProtection="1">
      <alignment horizontal="center"/>
      <protection hidden="1"/>
    </xf>
    <xf numFmtId="177" fontId="42" fillId="0" borderId="1" xfId="0" applyNumberFormat="1" applyFont="1" applyBorder="1" applyAlignment="1">
      <alignment horizontal="center" vertical="center" wrapText="1"/>
    </xf>
    <xf numFmtId="178" fontId="42" fillId="0" borderId="1" xfId="0" applyNumberFormat="1" applyFont="1" applyBorder="1" applyAlignment="1">
      <alignment horizontal="center" vertical="center" wrapText="1"/>
    </xf>
    <xf numFmtId="177" fontId="42" fillId="0" borderId="1" xfId="0" applyNumberFormat="1" applyFont="1" applyBorder="1" applyAlignment="1">
      <alignment horizontal="center" vertical="center"/>
    </xf>
    <xf numFmtId="186" fontId="0" fillId="0" borderId="0" xfId="0" applyNumberFormat="1" applyAlignment="1">
      <alignment horizontal="left"/>
    </xf>
    <xf numFmtId="0" fontId="0" fillId="0" borderId="0" xfId="0" applyAlignment="1" applyProtection="1">
      <alignment horizontal="center"/>
      <protection hidden="1"/>
    </xf>
    <xf numFmtId="177" fontId="42" fillId="0" borderId="0" xfId="0" applyNumberFormat="1" applyFont="1" applyAlignment="1">
      <alignment horizontal="center" vertical="center"/>
    </xf>
    <xf numFmtId="0" fontId="0" fillId="0" borderId="0" xfId="0" applyAlignment="1">
      <alignment wrapText="1"/>
    </xf>
    <xf numFmtId="0" fontId="41" fillId="0" borderId="1" xfId="0" applyFont="1" applyBorder="1" applyAlignment="1">
      <alignment horizontal="left" vertical="center"/>
    </xf>
    <xf numFmtId="0" fontId="42" fillId="0" borderId="1" xfId="0" applyFont="1" applyBorder="1" applyAlignment="1">
      <alignment horizontal="left" vertical="center"/>
    </xf>
    <xf numFmtId="0" fontId="0" fillId="0" borderId="0" xfId="0" applyAlignment="1" applyProtection="1">
      <protection hidden="1"/>
    </xf>
    <xf numFmtId="0" fontId="0" fillId="2" borderId="0" xfId="0" applyFill="1" applyAlignment="1"/>
    <xf numFmtId="1" fontId="0" fillId="0" borderId="0" xfId="0" applyNumberFormat="1" applyAlignment="1">
      <alignment horizontal="left"/>
    </xf>
    <xf numFmtId="0" fontId="2" fillId="0" borderId="16" xfId="10" applyFont="1" applyBorder="1" applyAlignment="1">
      <alignment horizontal="left"/>
    </xf>
    <xf numFmtId="1" fontId="0" fillId="0" borderId="0" xfId="0" applyNumberFormat="1" applyAlignment="1">
      <alignment horizontal="center" wrapText="1"/>
    </xf>
    <xf numFmtId="0" fontId="43" fillId="0" borderId="26" xfId="10" applyFont="1" applyBorder="1" applyAlignment="1">
      <alignment horizontal="left"/>
    </xf>
    <xf numFmtId="178" fontId="66" fillId="0" borderId="1" xfId="0" applyNumberFormat="1" applyFont="1" applyBorder="1">
      <alignment vertical="center"/>
    </xf>
    <xf numFmtId="0" fontId="122" fillId="0" borderId="0" xfId="7">
      <alignment vertical="center"/>
    </xf>
    <xf numFmtId="0" fontId="122" fillId="0" borderId="0" xfId="7" applyAlignment="1">
      <alignment horizontal="center" vertical="center"/>
    </xf>
    <xf numFmtId="0" fontId="122" fillId="0" borderId="0" xfId="7" applyProtection="1">
      <alignment vertical="center"/>
      <protection hidden="1"/>
    </xf>
    <xf numFmtId="0" fontId="122" fillId="0" borderId="33" xfId="7" applyBorder="1" applyAlignment="1">
      <alignment horizontal="right" vertical="center"/>
    </xf>
    <xf numFmtId="0" fontId="122" fillId="0" borderId="1" xfId="7" applyBorder="1" applyAlignment="1">
      <alignment horizontal="center" vertical="center"/>
    </xf>
    <xf numFmtId="0" fontId="0" fillId="0" borderId="1" xfId="0" applyBorder="1" applyAlignment="1">
      <alignment horizontal="center"/>
    </xf>
    <xf numFmtId="0" fontId="122" fillId="0" borderId="11" xfId="7" applyBorder="1">
      <alignment vertical="center"/>
    </xf>
    <xf numFmtId="0" fontId="122" fillId="0" borderId="1" xfId="7" applyBorder="1">
      <alignment vertical="center"/>
    </xf>
    <xf numFmtId="0" fontId="67" fillId="0" borderId="1" xfId="9" applyFont="1" applyBorder="1" applyAlignment="1">
      <alignment horizontal="left"/>
    </xf>
    <xf numFmtId="0" fontId="57" fillId="0" borderId="1" xfId="9" applyFont="1" applyBorder="1" applyAlignment="1">
      <alignment horizontal="center"/>
    </xf>
    <xf numFmtId="0" fontId="57" fillId="0" borderId="1" xfId="9" applyFont="1" applyBorder="1" applyAlignment="1">
      <alignment horizontal="left"/>
    </xf>
    <xf numFmtId="2" fontId="57" fillId="0" borderId="1" xfId="9" applyNumberFormat="1" applyFont="1" applyBorder="1" applyAlignment="1">
      <alignment horizontal="center"/>
    </xf>
    <xf numFmtId="185" fontId="57" fillId="0" borderId="1" xfId="9" applyNumberFormat="1" applyFont="1" applyBorder="1" applyAlignment="1">
      <alignment horizontal="center"/>
    </xf>
    <xf numFmtId="0" fontId="39" fillId="0" borderId="0" xfId="0" applyFont="1">
      <alignment vertical="center"/>
    </xf>
    <xf numFmtId="0" fontId="0" fillId="12" borderId="0" xfId="0" applyFill="1">
      <alignment vertical="center"/>
    </xf>
    <xf numFmtId="0" fontId="0" fillId="13" borderId="0" xfId="0" applyFill="1">
      <alignment vertical="center"/>
    </xf>
    <xf numFmtId="0" fontId="0" fillId="14" borderId="0" xfId="0" applyFill="1">
      <alignment vertical="center"/>
    </xf>
    <xf numFmtId="0" fontId="0" fillId="15" borderId="0" xfId="0" applyFill="1">
      <alignment vertical="center"/>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0" fillId="16" borderId="0" xfId="0" applyFill="1" applyAlignment="1" applyProtection="1">
      <alignment horizontal="center" vertical="center"/>
      <protection locked="0"/>
    </xf>
    <xf numFmtId="0" fontId="0" fillId="16" borderId="0" xfId="0" applyFill="1" applyProtection="1">
      <alignment vertical="center"/>
      <protection locked="0"/>
    </xf>
    <xf numFmtId="0" fontId="0" fillId="0" borderId="0" xfId="0" applyAlignment="1" applyProtection="1">
      <alignment vertical="center" wrapText="1"/>
      <protection locked="0"/>
    </xf>
    <xf numFmtId="0" fontId="0" fillId="17" borderId="0" xfId="0" applyFill="1" applyProtection="1">
      <alignment vertical="center"/>
      <protection locked="0"/>
    </xf>
    <xf numFmtId="0" fontId="0" fillId="16" borderId="0" xfId="0" applyFill="1" applyAlignment="1">
      <alignment horizontal="center" vertical="center"/>
    </xf>
    <xf numFmtId="0" fontId="0" fillId="16" borderId="0" xfId="0" applyFill="1">
      <alignment vertical="center"/>
    </xf>
    <xf numFmtId="0" fontId="0" fillId="17" borderId="0" xfId="0" applyFill="1">
      <alignment vertical="center"/>
    </xf>
    <xf numFmtId="58" fontId="0" fillId="0" borderId="0" xfId="0" applyNumberFormat="1" applyAlignment="1">
      <alignment horizontal="center" vertical="center"/>
    </xf>
    <xf numFmtId="0" fontId="0" fillId="16" borderId="0" xfId="0" applyFill="1" applyAlignment="1">
      <alignment horizontal="left" vertical="center"/>
    </xf>
    <xf numFmtId="0" fontId="62" fillId="0" borderId="0" xfId="0" applyFont="1">
      <alignment vertical="center"/>
    </xf>
    <xf numFmtId="0" fontId="68" fillId="0" borderId="0" xfId="0" applyFont="1" applyAlignment="1">
      <alignment vertical="top" wrapText="1"/>
    </xf>
    <xf numFmtId="0" fontId="69" fillId="0" borderId="0" xfId="0" applyFont="1" applyAlignment="1">
      <alignment horizontal="center" vertical="center" wrapText="1"/>
    </xf>
    <xf numFmtId="0" fontId="69" fillId="0" borderId="0" xfId="0" applyFont="1" applyAlignment="1">
      <alignment horizontal="center" vertical="center"/>
    </xf>
    <xf numFmtId="0" fontId="0" fillId="2" borderId="0" xfId="0" applyFill="1" applyAlignment="1">
      <alignment horizontal="left" vertical="center"/>
    </xf>
    <xf numFmtId="0" fontId="70" fillId="0" borderId="1" xfId="0" applyFont="1" applyBorder="1" applyAlignment="1">
      <alignment horizontal="center" vertical="center"/>
    </xf>
    <xf numFmtId="0" fontId="71" fillId="0" borderId="1" xfId="2" applyFont="1" applyBorder="1" applyAlignment="1" applyProtection="1">
      <alignment horizontal="center" vertical="center"/>
    </xf>
    <xf numFmtId="0" fontId="71" fillId="0" borderId="2" xfId="2" applyFont="1" applyBorder="1" applyAlignment="1" applyProtection="1">
      <alignment horizontal="center" vertical="center"/>
    </xf>
    <xf numFmtId="0" fontId="0" fillId="18" borderId="0" xfId="0" applyFill="1">
      <alignment vertical="center"/>
    </xf>
    <xf numFmtId="0" fontId="70" fillId="2" borderId="1" xfId="0" applyFont="1" applyFill="1" applyBorder="1" applyAlignment="1">
      <alignment horizontal="center" vertical="center"/>
    </xf>
    <xf numFmtId="0" fontId="71" fillId="16" borderId="1" xfId="2" applyFont="1" applyFill="1" applyBorder="1" applyAlignment="1" applyProtection="1">
      <alignment horizontal="center" vertical="center"/>
    </xf>
    <xf numFmtId="0" fontId="72" fillId="16" borderId="2" xfId="2" applyFill="1" applyBorder="1" applyAlignment="1" applyProtection="1">
      <alignment horizontal="center" vertical="center"/>
    </xf>
    <xf numFmtId="0" fontId="70" fillId="16" borderId="0" xfId="0" applyFont="1" applyFill="1" applyAlignment="1">
      <alignment horizontal="center" vertical="center"/>
    </xf>
    <xf numFmtId="0" fontId="0" fillId="7" borderId="0" xfId="0" applyFill="1" applyAlignment="1">
      <alignment horizontal="center" vertical="center"/>
    </xf>
    <xf numFmtId="0" fontId="0" fillId="2" borderId="0" xfId="0" applyFill="1" applyAlignment="1">
      <alignment horizontal="center" vertical="center" wrapText="1"/>
    </xf>
    <xf numFmtId="0" fontId="73" fillId="0" borderId="1" xfId="0" applyFont="1" applyBorder="1" applyAlignment="1">
      <alignment horizontal="center" vertical="center" wrapText="1"/>
    </xf>
    <xf numFmtId="26" fontId="73" fillId="0" borderId="1" xfId="0" applyNumberFormat="1" applyFont="1" applyBorder="1" applyAlignment="1">
      <alignment horizontal="center" vertical="center" wrapText="1"/>
    </xf>
    <xf numFmtId="26" fontId="73" fillId="16" borderId="1" xfId="0" applyNumberFormat="1" applyFont="1" applyFill="1" applyBorder="1" applyAlignment="1">
      <alignment horizontal="center" vertical="center"/>
    </xf>
    <xf numFmtId="182" fontId="73" fillId="16" borderId="1" xfId="0" applyNumberFormat="1" applyFont="1" applyFill="1" applyBorder="1" applyAlignment="1">
      <alignment horizontal="center" vertical="center" wrapText="1"/>
    </xf>
    <xf numFmtId="0" fontId="39" fillId="0" borderId="0" xfId="0" applyFont="1" applyAlignment="1">
      <alignment horizontal="center" vertical="center"/>
    </xf>
    <xf numFmtId="0" fontId="39" fillId="16" borderId="0" xfId="0" applyFont="1" applyFill="1" applyAlignment="1">
      <alignment horizontal="center" vertical="center"/>
    </xf>
    <xf numFmtId="0" fontId="39" fillId="0" borderId="0" xfId="0" applyFont="1" applyAlignment="1">
      <alignment horizontal="left" vertical="center"/>
    </xf>
    <xf numFmtId="0" fontId="39" fillId="17" borderId="0" xfId="0" applyFont="1" applyFill="1" applyAlignment="1">
      <alignment horizontal="center" vertical="center"/>
    </xf>
    <xf numFmtId="0" fontId="0" fillId="6" borderId="1" xfId="0" applyFill="1" applyBorder="1" applyAlignment="1">
      <alignment horizontal="center" vertical="center"/>
    </xf>
    <xf numFmtId="0" fontId="0" fillId="0" borderId="1" xfId="0" applyBorder="1" applyAlignment="1">
      <alignment horizontal="center" vertical="center" wrapText="1"/>
    </xf>
    <xf numFmtId="0" fontId="64" fillId="0" borderId="1" xfId="5" applyFont="1" applyBorder="1" applyAlignment="1">
      <alignment horizontal="center" vertical="center" wrapText="1"/>
    </xf>
    <xf numFmtId="0" fontId="0" fillId="0" borderId="1" xfId="0" applyBorder="1" applyAlignment="1">
      <alignment horizontal="left" vertical="center" wrapText="1"/>
    </xf>
    <xf numFmtId="0" fontId="0" fillId="0" borderId="1" xfId="0" applyBorder="1" applyAlignment="1">
      <alignment horizontal="center" vertical="center"/>
    </xf>
    <xf numFmtId="182" fontId="0" fillId="19" borderId="1" xfId="0" applyNumberFormat="1" applyFill="1" applyBorder="1" applyAlignment="1">
      <alignment horizontal="center" vertical="center"/>
    </xf>
    <xf numFmtId="182" fontId="0" fillId="16" borderId="1" xfId="0" applyNumberFormat="1" applyFill="1" applyBorder="1" applyAlignment="1">
      <alignment horizontal="center" vertical="center"/>
    </xf>
    <xf numFmtId="0" fontId="0" fillId="16" borderId="1" xfId="0" applyFill="1" applyBorder="1" applyAlignment="1">
      <alignment horizontal="center" vertical="center"/>
    </xf>
    <xf numFmtId="0" fontId="0" fillId="16" borderId="1" xfId="0" applyFill="1" applyBorder="1">
      <alignment vertical="center"/>
    </xf>
    <xf numFmtId="0" fontId="0" fillId="6" borderId="1" xfId="0" applyFill="1" applyBorder="1">
      <alignment vertical="center"/>
    </xf>
    <xf numFmtId="190" fontId="0" fillId="0" borderId="1" xfId="0" applyNumberFormat="1" applyBorder="1">
      <alignment vertical="center"/>
    </xf>
    <xf numFmtId="182" fontId="0" fillId="18" borderId="0" xfId="0" applyNumberFormat="1" applyFill="1">
      <alignment vertical="center"/>
    </xf>
    <xf numFmtId="182" fontId="0" fillId="16" borderId="1" xfId="0" applyNumberFormat="1" applyFill="1" applyBorder="1">
      <alignment vertical="center"/>
    </xf>
    <xf numFmtId="182" fontId="0" fillId="6" borderId="1" xfId="0" applyNumberFormat="1" applyFill="1" applyBorder="1">
      <alignment vertical="center"/>
    </xf>
    <xf numFmtId="182" fontId="0" fillId="0" borderId="1" xfId="0" applyNumberFormat="1" applyBorder="1" applyAlignment="1">
      <alignment horizontal="center" vertical="center"/>
    </xf>
    <xf numFmtId="182" fontId="0" fillId="7" borderId="1" xfId="0" applyNumberFormat="1" applyFill="1" applyBorder="1" applyAlignment="1">
      <alignment horizontal="center" vertical="center"/>
    </xf>
    <xf numFmtId="191" fontId="0" fillId="0" borderId="0" xfId="0" applyNumberFormat="1">
      <alignment vertical="center"/>
    </xf>
    <xf numFmtId="0" fontId="0" fillId="5" borderId="1" xfId="0" applyFill="1" applyBorder="1" applyAlignment="1">
      <alignment horizontal="center" vertical="center"/>
    </xf>
    <xf numFmtId="182" fontId="2" fillId="0" borderId="1" xfId="0" applyNumberFormat="1" applyFont="1" applyBorder="1" applyAlignment="1">
      <alignment horizontal="left" vertical="center"/>
    </xf>
    <xf numFmtId="192" fontId="0" fillId="0" borderId="1" xfId="0" applyNumberFormat="1" applyBorder="1" applyAlignment="1">
      <alignment horizontal="center" vertical="center"/>
    </xf>
    <xf numFmtId="193" fontId="0" fillId="0" borderId="1" xfId="0" applyNumberFormat="1" applyBorder="1" applyAlignment="1">
      <alignment horizontal="center" vertical="center" wrapText="1"/>
    </xf>
    <xf numFmtId="182" fontId="2" fillId="0" borderId="1" xfId="0" applyNumberFormat="1" applyFont="1" applyBorder="1" applyAlignment="1">
      <alignment horizontal="center" vertical="center"/>
    </xf>
    <xf numFmtId="194" fontId="0" fillId="16" borderId="1" xfId="0" applyNumberFormat="1" applyFill="1" applyBorder="1">
      <alignment vertical="center"/>
    </xf>
    <xf numFmtId="182" fontId="2" fillId="2" borderId="1" xfId="0" applyNumberFormat="1" applyFont="1" applyFill="1" applyBorder="1" applyAlignment="1">
      <alignment horizontal="left"/>
    </xf>
    <xf numFmtId="182" fontId="0" fillId="2" borderId="1" xfId="0" applyNumberFormat="1" applyFill="1" applyBorder="1" applyAlignment="1">
      <alignment horizontal="center" vertical="center"/>
    </xf>
    <xf numFmtId="182" fontId="2" fillId="2" borderId="1" xfId="0" applyNumberFormat="1" applyFont="1" applyFill="1" applyBorder="1" applyAlignment="1">
      <alignment horizontal="center"/>
    </xf>
    <xf numFmtId="182" fontId="2" fillId="7" borderId="1" xfId="0" applyNumberFormat="1" applyFont="1" applyFill="1" applyBorder="1" applyAlignment="1">
      <alignment horizontal="center"/>
    </xf>
    <xf numFmtId="182" fontId="0" fillId="7" borderId="1" xfId="0" applyNumberFormat="1" applyFill="1" applyBorder="1">
      <alignment vertical="center"/>
    </xf>
    <xf numFmtId="191" fontId="0" fillId="7" borderId="1" xfId="0" applyNumberFormat="1" applyFill="1" applyBorder="1">
      <alignment vertical="center"/>
    </xf>
    <xf numFmtId="182" fontId="42" fillId="0" borderId="1" xfId="0" applyNumberFormat="1" applyFont="1" applyBorder="1" applyAlignment="1">
      <alignment horizontal="center" vertical="center"/>
    </xf>
    <xf numFmtId="195" fontId="0" fillId="0" borderId="0" xfId="0" applyNumberFormat="1" applyAlignment="1">
      <alignment horizontal="center" vertical="center"/>
    </xf>
    <xf numFmtId="182" fontId="0" fillId="17" borderId="1" xfId="0" applyNumberFormat="1" applyFill="1" applyBorder="1">
      <alignment vertical="center"/>
    </xf>
    <xf numFmtId="182" fontId="0" fillId="0" borderId="7" xfId="0" applyNumberFormat="1" applyBorder="1" applyAlignment="1">
      <alignment horizontal="center" vertical="center"/>
    </xf>
    <xf numFmtId="0" fontId="0" fillId="0" borderId="1" xfId="0" applyBorder="1" applyAlignment="1" applyProtection="1">
      <alignment horizontal="center" vertical="center"/>
      <protection locked="0"/>
    </xf>
    <xf numFmtId="182" fontId="0" fillId="0" borderId="1" xfId="0" applyNumberFormat="1" applyBorder="1">
      <alignment vertical="center"/>
    </xf>
    <xf numFmtId="196" fontId="0" fillId="0" borderId="1" xfId="0" applyNumberFormat="1" applyBorder="1" applyAlignment="1">
      <alignment horizontal="center" vertical="center"/>
    </xf>
    <xf numFmtId="0" fontId="62" fillId="16" borderId="1" xfId="0" applyFont="1" applyFill="1" applyBorder="1" applyAlignment="1">
      <alignment vertical="center" wrapText="1"/>
    </xf>
    <xf numFmtId="182" fontId="1" fillId="7" borderId="1" xfId="0" applyNumberFormat="1" applyFont="1" applyFill="1" applyBorder="1" applyAlignment="1">
      <alignment horizontal="center" vertical="center"/>
    </xf>
    <xf numFmtId="191" fontId="0" fillId="7" borderId="1" xfId="0" applyNumberFormat="1" applyFill="1" applyBorder="1" applyAlignment="1">
      <alignment horizontal="center" vertical="center"/>
    </xf>
    <xf numFmtId="190" fontId="0" fillId="0" borderId="1" xfId="0" applyNumberFormat="1" applyBorder="1" applyAlignment="1">
      <alignment horizontal="center" vertical="center"/>
    </xf>
    <xf numFmtId="197" fontId="0" fillId="0" borderId="1" xfId="0" applyNumberFormat="1" applyBorder="1" applyAlignment="1">
      <alignment horizontal="center" vertical="center"/>
    </xf>
    <xf numFmtId="198" fontId="0" fillId="0" borderId="1" xfId="0" applyNumberFormat="1" applyBorder="1" applyAlignment="1">
      <alignment horizontal="center" vertical="center" wrapText="1"/>
    </xf>
    <xf numFmtId="182" fontId="0" fillId="16" borderId="12" xfId="0" applyNumberFormat="1" applyFill="1" applyBorder="1" applyAlignment="1">
      <alignment horizontal="center" vertical="center"/>
    </xf>
    <xf numFmtId="182" fontId="0" fillId="7" borderId="12" xfId="0" applyNumberFormat="1" applyFill="1" applyBorder="1" applyAlignment="1">
      <alignment horizontal="center" vertical="center"/>
    </xf>
    <xf numFmtId="182" fontId="0" fillId="20" borderId="1" xfId="0" applyNumberFormat="1" applyFill="1" applyBorder="1" applyAlignment="1">
      <alignment horizontal="center" vertical="center"/>
    </xf>
    <xf numFmtId="0" fontId="0" fillId="0" borderId="1" xfId="0" applyBorder="1" applyAlignment="1">
      <alignment horizontal="right" vertical="center"/>
    </xf>
    <xf numFmtId="0" fontId="0" fillId="2" borderId="1" xfId="0" applyFill="1" applyBorder="1" applyAlignment="1">
      <alignment horizontal="center" vertical="center"/>
    </xf>
    <xf numFmtId="199" fontId="62" fillId="5" borderId="1" xfId="0" applyNumberFormat="1" applyFont="1" applyFill="1" applyBorder="1" applyAlignment="1">
      <alignment horizontal="center" vertical="center" wrapText="1"/>
    </xf>
    <xf numFmtId="200" fontId="0" fillId="0" borderId="1" xfId="0" applyNumberFormat="1" applyBorder="1" applyAlignment="1">
      <alignment horizontal="center" vertical="center" wrapText="1"/>
    </xf>
    <xf numFmtId="0" fontId="62" fillId="0" borderId="1" xfId="0" applyFont="1" applyBorder="1" applyAlignment="1">
      <alignment horizontal="center" vertical="center"/>
    </xf>
    <xf numFmtId="201" fontId="0" fillId="16" borderId="1" xfId="0" applyNumberFormat="1" applyFill="1" applyBorder="1" applyAlignment="1">
      <alignment horizontal="center" vertical="center" wrapText="1"/>
    </xf>
    <xf numFmtId="202" fontId="0" fillId="0" borderId="1" xfId="0" applyNumberFormat="1" applyBorder="1" applyAlignment="1">
      <alignment horizontal="center" vertical="center"/>
    </xf>
    <xf numFmtId="203" fontId="0" fillId="0" borderId="1" xfId="0" applyNumberFormat="1" applyBorder="1" applyAlignment="1">
      <alignment horizontal="center" vertical="center"/>
    </xf>
    <xf numFmtId="204" fontId="0" fillId="0" borderId="1" xfId="0" applyNumberFormat="1" applyBorder="1" applyAlignment="1">
      <alignment horizontal="center" vertical="center"/>
    </xf>
    <xf numFmtId="205" fontId="0" fillId="2" borderId="1" xfId="0" applyNumberFormat="1" applyFill="1" applyBorder="1" applyAlignment="1">
      <alignment horizontal="center" vertical="center"/>
    </xf>
    <xf numFmtId="182" fontId="0" fillId="6" borderId="1" xfId="0" applyNumberFormat="1" applyFill="1" applyBorder="1" applyAlignment="1">
      <alignment horizontal="center" vertical="center"/>
    </xf>
    <xf numFmtId="182" fontId="0" fillId="2" borderId="1" xfId="0" applyNumberFormat="1" applyFill="1" applyBorder="1">
      <alignment vertical="center"/>
    </xf>
    <xf numFmtId="182" fontId="0" fillId="11" borderId="1" xfId="0" applyNumberFormat="1" applyFill="1" applyBorder="1">
      <alignment vertical="center"/>
    </xf>
    <xf numFmtId="0" fontId="0" fillId="12" borderId="0" xfId="0" applyFill="1" applyAlignment="1">
      <alignment horizontal="center" vertical="center"/>
    </xf>
    <xf numFmtId="0" fontId="0" fillId="12" borderId="1" xfId="0" applyFill="1" applyBorder="1" applyAlignment="1">
      <alignment horizontal="center" vertical="center"/>
    </xf>
    <xf numFmtId="0" fontId="0" fillId="12" borderId="1" xfId="0" applyFill="1" applyBorder="1" applyAlignment="1">
      <alignment horizontal="center" vertical="center" wrapText="1"/>
    </xf>
    <xf numFmtId="0" fontId="0" fillId="12" borderId="1" xfId="0" applyFill="1" applyBorder="1">
      <alignment vertical="center"/>
    </xf>
    <xf numFmtId="0" fontId="0" fillId="12" borderId="0" xfId="0" applyFill="1" applyAlignment="1">
      <alignment vertical="center" wrapText="1"/>
    </xf>
    <xf numFmtId="0" fontId="0" fillId="12" borderId="0" xfId="0" applyFill="1" applyAlignment="1">
      <alignment horizontal="left" vertical="center"/>
    </xf>
    <xf numFmtId="0" fontId="7" fillId="0" borderId="1" xfId="0" applyFont="1" applyBorder="1" applyAlignment="1">
      <alignment horizontal="center" vertical="center" wrapText="1"/>
    </xf>
    <xf numFmtId="182" fontId="2" fillId="0" borderId="1" xfId="0" applyNumberFormat="1" applyFont="1" applyBorder="1" applyAlignment="1">
      <alignment horizontal="left"/>
    </xf>
    <xf numFmtId="182" fontId="2" fillId="0" borderId="1" xfId="0" applyNumberFormat="1" applyFont="1" applyBorder="1" applyAlignment="1">
      <alignment horizontal="center"/>
    </xf>
    <xf numFmtId="200" fontId="0" fillId="19" borderId="1" xfId="0" applyNumberFormat="1" applyFill="1" applyBorder="1" applyAlignment="1">
      <alignment horizontal="center" vertical="center" wrapText="1"/>
    </xf>
    <xf numFmtId="182" fontId="0" fillId="5" borderId="1" xfId="0" applyNumberFormat="1" applyFill="1" applyBorder="1" applyAlignment="1">
      <alignment horizontal="center" vertical="center"/>
    </xf>
    <xf numFmtId="0" fontId="0" fillId="5" borderId="1" xfId="0" applyFill="1" applyBorder="1" applyAlignment="1">
      <alignment horizontal="left" vertical="center" wrapText="1"/>
    </xf>
    <xf numFmtId="182" fontId="2" fillId="5" borderId="1" xfId="0" applyNumberFormat="1" applyFont="1" applyFill="1" applyBorder="1" applyAlignment="1">
      <alignment horizontal="left"/>
    </xf>
    <xf numFmtId="182" fontId="2" fillId="5" borderId="1" xfId="0" applyNumberFormat="1" applyFont="1" applyFill="1" applyBorder="1" applyAlignment="1">
      <alignment horizontal="center"/>
    </xf>
    <xf numFmtId="0" fontId="62" fillId="0" borderId="1" xfId="0" applyFont="1" applyBorder="1" applyAlignment="1">
      <alignment horizontal="left" vertical="center"/>
    </xf>
    <xf numFmtId="182" fontId="0" fillId="5" borderId="1" xfId="0" applyNumberFormat="1" applyFill="1" applyBorder="1">
      <alignment vertical="center"/>
    </xf>
    <xf numFmtId="0" fontId="0" fillId="5" borderId="1" xfId="0" applyFill="1" applyBorder="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206" fontId="0" fillId="5" borderId="1" xfId="0" applyNumberFormat="1" applyFill="1" applyBorder="1" applyAlignment="1">
      <alignment horizontal="center" vertical="center"/>
    </xf>
    <xf numFmtId="207" fontId="0" fillId="5" borderId="1" xfId="0" applyNumberFormat="1" applyFill="1" applyBorder="1" applyAlignment="1">
      <alignment horizontal="center" vertical="center" wrapText="1"/>
    </xf>
    <xf numFmtId="0" fontId="74" fillId="5" borderId="1" xfId="5" applyFont="1" applyFill="1" applyBorder="1" applyAlignment="1">
      <alignment horizontal="center" vertical="center" wrapText="1"/>
    </xf>
    <xf numFmtId="208" fontId="0" fillId="0" borderId="0" xfId="0" applyNumberFormat="1">
      <alignment vertical="center"/>
    </xf>
    <xf numFmtId="209" fontId="0" fillId="0" borderId="0" xfId="0" applyNumberFormat="1">
      <alignment vertical="center"/>
    </xf>
    <xf numFmtId="182" fontId="2" fillId="5" borderId="1" xfId="0" applyNumberFormat="1" applyFont="1" applyFill="1" applyBorder="1" applyAlignment="1">
      <alignment horizontal="center" vertical="center"/>
    </xf>
    <xf numFmtId="0" fontId="75" fillId="5" borderId="1" xfId="0" applyFont="1" applyFill="1" applyBorder="1" applyAlignment="1">
      <alignment horizontal="center" vertical="center"/>
    </xf>
    <xf numFmtId="210" fontId="0" fillId="5" borderId="1" xfId="0" applyNumberFormat="1" applyFill="1" applyBorder="1" applyAlignment="1">
      <alignment horizontal="center" vertical="center" wrapText="1"/>
    </xf>
    <xf numFmtId="182" fontId="0" fillId="17" borderId="0" xfId="0" applyNumberFormat="1" applyFill="1">
      <alignment vertical="center"/>
    </xf>
    <xf numFmtId="182" fontId="0" fillId="16" borderId="0" xfId="0" applyNumberFormat="1" applyFill="1" applyAlignment="1">
      <alignment horizontal="center" vertical="center"/>
    </xf>
    <xf numFmtId="182" fontId="0" fillId="7" borderId="0" xfId="0" applyNumberFormat="1" applyFill="1" applyAlignment="1">
      <alignment horizontal="center" vertical="center"/>
    </xf>
    <xf numFmtId="182" fontId="2" fillId="7" borderId="0" xfId="0" applyNumberFormat="1" applyFont="1" applyFill="1" applyAlignment="1">
      <alignment horizontal="center"/>
    </xf>
    <xf numFmtId="182" fontId="0" fillId="0" borderId="0" xfId="0" applyNumberFormat="1" applyAlignment="1">
      <alignment horizontal="center" vertical="center"/>
    </xf>
    <xf numFmtId="182" fontId="0" fillId="7" borderId="0" xfId="0" applyNumberFormat="1" applyFill="1">
      <alignment vertical="center"/>
    </xf>
    <xf numFmtId="182" fontId="0" fillId="21" borderId="1" xfId="0" applyNumberFormat="1" applyFill="1" applyBorder="1">
      <alignment vertical="center"/>
    </xf>
    <xf numFmtId="0" fontId="0" fillId="0" borderId="4" xfId="0" applyBorder="1" applyAlignment="1">
      <alignment horizontal="center" vertical="center"/>
    </xf>
    <xf numFmtId="0" fontId="0" fillId="7" borderId="7" xfId="0" applyFill="1" applyBorder="1" applyAlignment="1">
      <alignment horizontal="center" vertical="center"/>
    </xf>
    <xf numFmtId="0" fontId="0" fillId="7" borderId="1" xfId="0" applyFill="1" applyBorder="1">
      <alignment vertical="center"/>
    </xf>
    <xf numFmtId="0" fontId="0" fillId="7" borderId="1" xfId="0" applyFill="1" applyBorder="1" applyAlignment="1">
      <alignment horizontal="center" vertical="center"/>
    </xf>
    <xf numFmtId="0" fontId="0" fillId="5" borderId="4" xfId="0" applyFill="1" applyBorder="1">
      <alignment vertical="center"/>
    </xf>
    <xf numFmtId="211" fontId="0" fillId="5" borderId="1" xfId="0" applyNumberFormat="1" applyFill="1" applyBorder="1" applyAlignment="1">
      <alignment horizontal="center" vertical="center" wrapText="1"/>
    </xf>
    <xf numFmtId="0" fontId="2" fillId="5" borderId="1" xfId="0" applyFont="1" applyFill="1" applyBorder="1" applyAlignment="1">
      <alignment horizontal="center"/>
    </xf>
    <xf numFmtId="0" fontId="0" fillId="2" borderId="4" xfId="0" applyFill="1" applyBorder="1">
      <alignment vertical="center"/>
    </xf>
    <xf numFmtId="0" fontId="2" fillId="2" borderId="1" xfId="0" applyFont="1" applyFill="1" applyBorder="1" applyAlignment="1">
      <alignment horizontal="center"/>
    </xf>
    <xf numFmtId="0" fontId="2" fillId="7" borderId="1" xfId="0" applyFont="1" applyFill="1" applyBorder="1" applyAlignment="1">
      <alignment horizontal="center"/>
    </xf>
    <xf numFmtId="212" fontId="0" fillId="5" borderId="1" xfId="0" applyNumberFormat="1" applyFill="1" applyBorder="1" applyAlignment="1">
      <alignment horizontal="left" vertical="center"/>
    </xf>
    <xf numFmtId="213" fontId="0" fillId="5" borderId="1" xfId="0" applyNumberFormat="1" applyFill="1" applyBorder="1" applyAlignment="1">
      <alignment horizontal="center" vertical="center" wrapText="1"/>
    </xf>
    <xf numFmtId="214" fontId="0" fillId="18" borderId="1" xfId="0" applyNumberFormat="1" applyFill="1" applyBorder="1" applyAlignment="1">
      <alignment horizontal="center" vertical="center" wrapText="1"/>
    </xf>
    <xf numFmtId="183" fontId="0" fillId="16" borderId="1" xfId="0" applyNumberFormat="1" applyFill="1" applyBorder="1" applyAlignment="1">
      <alignment horizontal="center" vertical="center"/>
    </xf>
    <xf numFmtId="2" fontId="0" fillId="16" borderId="1" xfId="0" applyNumberFormat="1" applyFill="1" applyBorder="1" applyAlignment="1">
      <alignment horizontal="center" vertical="center"/>
    </xf>
    <xf numFmtId="2" fontId="0" fillId="7" borderId="1" xfId="0" applyNumberFormat="1" applyFill="1" applyBorder="1">
      <alignment vertical="center"/>
    </xf>
    <xf numFmtId="215" fontId="0" fillId="5" borderId="0" xfId="0" applyNumberFormat="1" applyFill="1" applyAlignment="1">
      <alignment horizontal="left" vertical="center"/>
    </xf>
    <xf numFmtId="216" fontId="8" fillId="5" borderId="2" xfId="0" applyNumberFormat="1" applyFont="1" applyFill="1" applyBorder="1" applyAlignment="1">
      <alignment horizontal="center" vertical="center" wrapText="1"/>
    </xf>
    <xf numFmtId="2" fontId="0" fillId="16" borderId="1" xfId="0" applyNumberFormat="1" applyFill="1" applyBorder="1">
      <alignment vertical="center"/>
    </xf>
    <xf numFmtId="0" fontId="0" fillId="11" borderId="1" xfId="0" applyFill="1" applyBorder="1">
      <alignment vertical="center"/>
    </xf>
    <xf numFmtId="217" fontId="0" fillId="5" borderId="1" xfId="0" applyNumberFormat="1" applyFill="1" applyBorder="1" applyAlignment="1">
      <alignment horizontal="center" vertical="center" wrapText="1"/>
    </xf>
    <xf numFmtId="218" fontId="0" fillId="5" borderId="1" xfId="0" applyNumberFormat="1" applyFill="1" applyBorder="1" applyAlignment="1">
      <alignment horizontal="center" vertical="center" wrapText="1"/>
    </xf>
    <xf numFmtId="208" fontId="0" fillId="5" borderId="1" xfId="0" applyNumberFormat="1" applyFill="1" applyBorder="1" applyAlignment="1">
      <alignment horizontal="center" vertical="center" wrapText="1"/>
    </xf>
    <xf numFmtId="218" fontId="0" fillId="2" borderId="1" xfId="0" applyNumberFormat="1" applyFill="1" applyBorder="1" applyAlignment="1">
      <alignment horizontal="center" vertical="center"/>
    </xf>
    <xf numFmtId="208" fontId="0" fillId="0" borderId="1" xfId="0" applyNumberFormat="1" applyBorder="1" applyAlignment="1">
      <alignment horizontal="center" vertical="center"/>
    </xf>
    <xf numFmtId="219" fontId="76" fillId="0" borderId="1" xfId="0" applyNumberFormat="1" applyFont="1" applyBorder="1" applyAlignment="1">
      <alignment horizontal="center" vertical="center" wrapText="1"/>
    </xf>
    <xf numFmtId="0" fontId="2" fillId="0" borderId="1" xfId="0" applyFont="1" applyBorder="1" applyAlignment="1">
      <alignment horizontal="center"/>
    </xf>
    <xf numFmtId="0" fontId="62" fillId="16" borderId="0" xfId="0" applyFont="1" applyFill="1" applyAlignment="1">
      <alignment vertical="center" wrapText="1"/>
    </xf>
    <xf numFmtId="220" fontId="0" fillId="16" borderId="1" xfId="0" applyNumberFormat="1" applyFill="1" applyBorder="1" applyAlignment="1">
      <alignment horizontal="center" vertical="center"/>
    </xf>
    <xf numFmtId="221" fontId="76" fillId="0" borderId="1" xfId="0" applyNumberFormat="1" applyFont="1" applyBorder="1" applyAlignment="1">
      <alignment horizontal="center" vertical="center" wrapText="1"/>
    </xf>
    <xf numFmtId="208" fontId="0" fillId="2" borderId="1" xfId="0" applyNumberFormat="1" applyFill="1" applyBorder="1" applyAlignment="1">
      <alignment horizontal="center" vertical="center"/>
    </xf>
    <xf numFmtId="222" fontId="62" fillId="0" borderId="1" xfId="0" applyNumberFormat="1" applyFont="1" applyBorder="1" applyAlignment="1">
      <alignment horizontal="center" vertical="center"/>
    </xf>
    <xf numFmtId="223" fontId="0" fillId="0" borderId="1" xfId="0" applyNumberFormat="1" applyBorder="1" applyAlignment="1">
      <alignment horizontal="center" vertical="center"/>
    </xf>
    <xf numFmtId="182" fontId="76" fillId="19" borderId="1" xfId="0" applyNumberFormat="1" applyFont="1" applyFill="1" applyBorder="1" applyAlignment="1">
      <alignment horizontal="center" vertical="center" wrapText="1"/>
    </xf>
    <xf numFmtId="224" fontId="0" fillId="2" borderId="1" xfId="0" applyNumberFormat="1" applyFill="1" applyBorder="1" applyAlignment="1">
      <alignment horizontal="center" vertical="center" wrapText="1"/>
    </xf>
    <xf numFmtId="225" fontId="0" fillId="2" borderId="1" xfId="0" applyNumberFormat="1" applyFill="1" applyBorder="1" applyAlignment="1">
      <alignment horizontal="center" vertical="center"/>
    </xf>
    <xf numFmtId="226" fontId="0" fillId="0" borderId="1" xfId="0" applyNumberFormat="1" applyBorder="1" applyAlignment="1">
      <alignment horizontal="center" vertical="center" wrapText="1"/>
    </xf>
    <xf numFmtId="0" fontId="0" fillId="16" borderId="1" xfId="0" applyFill="1" applyBorder="1" applyAlignment="1">
      <alignment horizontal="left" vertical="center"/>
    </xf>
    <xf numFmtId="227" fontId="0" fillId="2" borderId="1" xfId="0" applyNumberFormat="1" applyFill="1" applyBorder="1" applyAlignment="1">
      <alignment horizontal="center" vertical="center"/>
    </xf>
    <xf numFmtId="0" fontId="0" fillId="0" borderId="1" xfId="0" applyBorder="1" applyAlignment="1" applyProtection="1">
      <alignment horizontal="center" vertical="center" wrapText="1"/>
      <protection locked="0"/>
    </xf>
    <xf numFmtId="2" fontId="0" fillId="16" borderId="0" xfId="0" applyNumberFormat="1" applyFill="1" applyAlignment="1">
      <alignment horizontal="center" vertical="center"/>
    </xf>
    <xf numFmtId="0" fontId="0" fillId="2" borderId="1" xfId="0" applyFill="1" applyBorder="1" applyAlignment="1">
      <alignment horizontal="center" vertical="center" wrapText="1"/>
    </xf>
    <xf numFmtId="228" fontId="76" fillId="0" borderId="1" xfId="0" applyNumberFormat="1" applyFont="1" applyBorder="1" applyAlignment="1">
      <alignment horizontal="center" vertical="center" wrapText="1"/>
    </xf>
    <xf numFmtId="0" fontId="0" fillId="13" borderId="0" xfId="0" applyFill="1" applyAlignment="1">
      <alignment horizontal="center" vertical="center"/>
    </xf>
    <xf numFmtId="202" fontId="0" fillId="13" borderId="0" xfId="0" applyNumberFormat="1" applyFill="1" applyAlignment="1">
      <alignment horizontal="center" vertical="center"/>
    </xf>
    <xf numFmtId="0" fontId="0" fillId="13" borderId="0" xfId="0" applyFill="1" applyAlignment="1">
      <alignment horizontal="center" vertical="center" wrapText="1"/>
    </xf>
    <xf numFmtId="0" fontId="0" fillId="13" borderId="0" xfId="0" applyFill="1" applyAlignment="1">
      <alignment horizontal="left" vertical="center"/>
    </xf>
    <xf numFmtId="227" fontId="0" fillId="13" borderId="0" xfId="0" applyNumberFormat="1" applyFill="1" applyAlignment="1">
      <alignment horizontal="center" vertical="center"/>
    </xf>
    <xf numFmtId="182" fontId="0" fillId="13" borderId="0" xfId="0" applyNumberFormat="1" applyFill="1" applyAlignment="1">
      <alignment horizontal="center" vertical="center"/>
    </xf>
    <xf numFmtId="2" fontId="0" fillId="13" borderId="0" xfId="0" applyNumberFormat="1" applyFill="1" applyAlignment="1">
      <alignment horizontal="center" vertical="center"/>
    </xf>
    <xf numFmtId="0" fontId="2" fillId="13" borderId="0" xfId="0" applyFont="1" applyFill="1" applyAlignment="1">
      <alignment horizontal="center"/>
    </xf>
    <xf numFmtId="0" fontId="0" fillId="13" borderId="0" xfId="0" applyFill="1" applyAlignment="1">
      <alignment vertical="center" wrapText="1"/>
    </xf>
    <xf numFmtId="209" fontId="0" fillId="0" borderId="1" xfId="0" applyNumberFormat="1" applyBorder="1" applyAlignment="1">
      <alignment horizontal="center" vertical="center"/>
    </xf>
    <xf numFmtId="229" fontId="0" fillId="0" borderId="1" xfId="0" applyNumberFormat="1" applyBorder="1" applyAlignment="1">
      <alignment horizontal="center" vertical="center"/>
    </xf>
    <xf numFmtId="230" fontId="0" fillId="0" borderId="1" xfId="0" applyNumberFormat="1" applyBorder="1" applyAlignment="1" applyProtection="1">
      <alignment horizontal="center" vertical="center"/>
      <protection locked="0"/>
    </xf>
    <xf numFmtId="0" fontId="62" fillId="0" borderId="4" xfId="0" applyFont="1" applyBorder="1" applyAlignment="1">
      <alignment vertical="center" wrapText="1"/>
    </xf>
    <xf numFmtId="183" fontId="77" fillId="0" borderId="1" xfId="0" applyNumberFormat="1" applyFont="1" applyBorder="1" applyAlignment="1">
      <alignment horizontal="center" vertical="center"/>
    </xf>
    <xf numFmtId="183" fontId="74" fillId="0" borderId="1" xfId="0" applyNumberFormat="1" applyFont="1" applyBorder="1" applyAlignment="1">
      <alignment horizontal="center" vertical="center"/>
    </xf>
    <xf numFmtId="183" fontId="74" fillId="0" borderId="0" xfId="0" applyNumberFormat="1" applyFont="1" applyAlignment="1">
      <alignment horizontal="center" vertical="center"/>
    </xf>
    <xf numFmtId="0" fontId="0" fillId="16" borderId="1" xfId="0" applyFill="1" applyBorder="1" applyAlignment="1" applyProtection="1">
      <alignment horizontal="center" vertical="center"/>
      <protection locked="0"/>
    </xf>
    <xf numFmtId="0" fontId="74" fillId="0" borderId="1" xfId="5" applyFont="1" applyBorder="1" applyAlignment="1">
      <alignment horizontal="center" vertical="center" wrapText="1"/>
    </xf>
    <xf numFmtId="229" fontId="0" fillId="0" borderId="1" xfId="0" applyNumberFormat="1" applyBorder="1" applyAlignment="1">
      <alignment horizontal="center" vertical="center" wrapText="1"/>
    </xf>
    <xf numFmtId="231" fontId="0" fillId="0" borderId="1" xfId="0" applyNumberFormat="1" applyBorder="1" applyAlignment="1">
      <alignment horizontal="center" vertical="center"/>
    </xf>
    <xf numFmtId="210" fontId="0" fillId="0" borderId="1" xfId="0" applyNumberFormat="1" applyBorder="1" applyAlignment="1">
      <alignment horizontal="center" vertical="center"/>
    </xf>
    <xf numFmtId="232" fontId="0" fillId="0" borderId="0" xfId="0" applyNumberFormat="1" applyAlignment="1" applyProtection="1">
      <alignment horizontal="center" vertical="center"/>
      <protection locked="0"/>
    </xf>
    <xf numFmtId="2" fontId="0" fillId="0" borderId="1" xfId="0" applyNumberFormat="1" applyBorder="1" applyAlignment="1">
      <alignment horizontal="center" vertical="center"/>
    </xf>
    <xf numFmtId="0" fontId="0" fillId="9" borderId="0" xfId="0" applyFill="1">
      <alignment vertical="center"/>
    </xf>
    <xf numFmtId="182" fontId="0" fillId="20" borderId="7" xfId="0" applyNumberFormat="1" applyFill="1" applyBorder="1" applyAlignment="1">
      <alignment horizontal="center" vertical="center"/>
    </xf>
    <xf numFmtId="218" fontId="0" fillId="0" borderId="1" xfId="0" applyNumberFormat="1" applyBorder="1" applyAlignment="1">
      <alignment horizontal="center" vertical="center" wrapText="1"/>
    </xf>
    <xf numFmtId="233" fontId="0" fillId="0" borderId="1" xfId="0" applyNumberFormat="1" applyBorder="1" applyAlignment="1">
      <alignment horizontal="center" vertical="center" wrapText="1"/>
    </xf>
    <xf numFmtId="234" fontId="0" fillId="0" borderId="1" xfId="0" applyNumberFormat="1" applyBorder="1" applyAlignment="1">
      <alignment horizontal="center" vertical="center" wrapText="1"/>
    </xf>
    <xf numFmtId="235" fontId="0" fillId="0" borderId="1" xfId="0" applyNumberFormat="1" applyBorder="1" applyAlignment="1">
      <alignment horizontal="center" vertical="center" wrapText="1"/>
    </xf>
    <xf numFmtId="236" fontId="0" fillId="0" borderId="1" xfId="0" applyNumberFormat="1" applyBorder="1" applyAlignment="1">
      <alignment horizontal="center" vertical="center" wrapText="1"/>
    </xf>
    <xf numFmtId="237" fontId="0" fillId="0" borderId="1" xfId="0" applyNumberFormat="1" applyBorder="1" applyAlignment="1">
      <alignment horizontal="center" vertical="center"/>
    </xf>
    <xf numFmtId="238" fontId="0" fillId="0" borderId="1" xfId="0" applyNumberFormat="1" applyBorder="1" applyAlignment="1">
      <alignment horizontal="center" vertical="center"/>
    </xf>
    <xf numFmtId="0" fontId="42" fillId="2" borderId="1" xfId="0" applyFont="1" applyFill="1" applyBorder="1" applyAlignment="1">
      <alignment horizontal="center" vertical="center"/>
    </xf>
    <xf numFmtId="0" fontId="42" fillId="2" borderId="2" xfId="0" applyFont="1" applyFill="1" applyBorder="1" applyAlignment="1">
      <alignment horizontal="center" vertical="center"/>
    </xf>
    <xf numFmtId="239" fontId="0" fillId="0" borderId="0" xfId="0" applyNumberFormat="1" applyAlignment="1" applyProtection="1">
      <alignment horizontal="center" vertical="center"/>
      <protection locked="0"/>
    </xf>
    <xf numFmtId="240" fontId="0" fillId="0" borderId="1" xfId="0" applyNumberFormat="1" applyBorder="1" applyAlignment="1">
      <alignment horizontal="center" vertical="center"/>
    </xf>
    <xf numFmtId="233" fontId="42" fillId="2" borderId="1" xfId="0" applyNumberFormat="1" applyFont="1" applyFill="1" applyBorder="1" applyAlignment="1">
      <alignment horizontal="center" vertical="center"/>
    </xf>
    <xf numFmtId="218" fontId="42" fillId="2" borderId="3" xfId="0" applyNumberFormat="1" applyFont="1" applyFill="1" applyBorder="1" applyAlignment="1">
      <alignment horizontal="center" vertical="center"/>
    </xf>
    <xf numFmtId="241" fontId="2" fillId="0" borderId="1" xfId="0" applyNumberFormat="1" applyFont="1" applyBorder="1" applyAlignment="1">
      <alignment horizontal="center" vertical="center"/>
    </xf>
    <xf numFmtId="242" fontId="0" fillId="0" borderId="0" xfId="0" applyNumberFormat="1" applyAlignment="1" applyProtection="1">
      <alignment horizontal="center" vertical="center"/>
      <protection locked="0"/>
    </xf>
    <xf numFmtId="243" fontId="0" fillId="0" borderId="1" xfId="0" applyNumberFormat="1" applyBorder="1" applyAlignment="1">
      <alignment horizontal="center" vertical="center"/>
    </xf>
    <xf numFmtId="244" fontId="0" fillId="0" borderId="1" xfId="0" applyNumberFormat="1" applyBorder="1" applyAlignment="1">
      <alignment horizontal="center" vertical="center"/>
    </xf>
    <xf numFmtId="245" fontId="0" fillId="0" borderId="0" xfId="0" applyNumberFormat="1" applyAlignment="1">
      <alignment horizontal="center" vertical="center"/>
    </xf>
    <xf numFmtId="218" fontId="0" fillId="0" borderId="1" xfId="0" applyNumberFormat="1" applyBorder="1" applyAlignment="1">
      <alignment horizontal="center" vertical="center"/>
    </xf>
    <xf numFmtId="246" fontId="0" fillId="0" borderId="1" xfId="0" applyNumberFormat="1" applyBorder="1" applyAlignment="1">
      <alignment horizontal="center" vertical="center"/>
    </xf>
    <xf numFmtId="247" fontId="0" fillId="0" borderId="1" xfId="0" applyNumberFormat="1" applyBorder="1" applyAlignment="1">
      <alignment horizontal="center" vertical="center"/>
    </xf>
    <xf numFmtId="0" fontId="2" fillId="16" borderId="1" xfId="0" applyFont="1" applyFill="1" applyBorder="1" applyAlignment="1">
      <alignment horizontal="center"/>
    </xf>
    <xf numFmtId="248" fontId="0" fillId="16" borderId="1" xfId="0" applyNumberFormat="1" applyFill="1" applyBorder="1" applyAlignment="1">
      <alignment horizontal="center" vertical="center"/>
    </xf>
    <xf numFmtId="249" fontId="0" fillId="0" borderId="1" xfId="0" applyNumberFormat="1" applyBorder="1" applyAlignment="1">
      <alignment horizontal="center" vertical="center"/>
    </xf>
    <xf numFmtId="235" fontId="0" fillId="0" borderId="1" xfId="0" applyNumberFormat="1" applyBorder="1" applyAlignment="1">
      <alignment horizontal="center" vertical="center"/>
    </xf>
    <xf numFmtId="239" fontId="0" fillId="0" borderId="1" xfId="0" applyNumberFormat="1" applyBorder="1" applyAlignment="1">
      <alignment horizontal="center" vertical="center"/>
    </xf>
    <xf numFmtId="250" fontId="0" fillId="0" borderId="1" xfId="0" applyNumberFormat="1" applyBorder="1" applyAlignment="1">
      <alignment horizontal="center" vertical="center"/>
    </xf>
    <xf numFmtId="251" fontId="0" fillId="0" borderId="1" xfId="0" applyNumberFormat="1" applyBorder="1" applyAlignment="1">
      <alignment horizontal="center" vertical="center"/>
    </xf>
    <xf numFmtId="252" fontId="2" fillId="0" borderId="4" xfId="0" applyNumberFormat="1" applyFont="1" applyBorder="1" applyAlignment="1">
      <alignment horizontal="center" vertical="center"/>
    </xf>
    <xf numFmtId="253" fontId="0" fillId="16" borderId="1" xfId="0" applyNumberFormat="1" applyFill="1" applyBorder="1" applyAlignment="1">
      <alignment horizontal="center" vertical="center"/>
    </xf>
    <xf numFmtId="254" fontId="0" fillId="0" borderId="1" xfId="0" applyNumberFormat="1" applyBorder="1" applyAlignment="1">
      <alignment horizontal="center" vertical="center"/>
    </xf>
    <xf numFmtId="255" fontId="0" fillId="0" borderId="1" xfId="0" applyNumberFormat="1" applyBorder="1" applyAlignment="1">
      <alignment horizontal="center" vertical="center"/>
    </xf>
    <xf numFmtId="256" fontId="0" fillId="0" borderId="1" xfId="0" applyNumberFormat="1" applyBorder="1" applyAlignment="1">
      <alignment horizontal="center" vertical="center"/>
    </xf>
    <xf numFmtId="252" fontId="0" fillId="0" borderId="0" xfId="0" applyNumberFormat="1" applyAlignment="1">
      <alignment horizontal="center" vertical="center"/>
    </xf>
    <xf numFmtId="211" fontId="0" fillId="0" borderId="1" xfId="0" applyNumberFormat="1" applyBorder="1" applyAlignment="1">
      <alignment horizontal="center" vertical="center"/>
    </xf>
    <xf numFmtId="257" fontId="0" fillId="0" borderId="1" xfId="0" applyNumberFormat="1" applyBorder="1" applyAlignment="1">
      <alignment horizontal="center" vertical="center"/>
    </xf>
    <xf numFmtId="0" fontId="62" fillId="0" borderId="1" xfId="0" applyFont="1" applyBorder="1" applyAlignment="1">
      <alignment vertical="center" wrapText="1"/>
    </xf>
    <xf numFmtId="191" fontId="64" fillId="0" borderId="1" xfId="5" applyNumberFormat="1" applyFont="1" applyBorder="1" applyAlignment="1">
      <alignment horizontal="center" vertical="center" wrapText="1"/>
    </xf>
    <xf numFmtId="218" fontId="76" fillId="0" borderId="1" xfId="0" applyNumberFormat="1" applyFont="1" applyBorder="1" applyAlignment="1">
      <alignment horizontal="center" vertical="center"/>
    </xf>
    <xf numFmtId="182" fontId="76" fillId="0" borderId="1" xfId="0" applyNumberFormat="1" applyFont="1" applyBorder="1" applyAlignment="1">
      <alignment horizontal="center" vertical="center" wrapText="1"/>
    </xf>
    <xf numFmtId="182" fontId="2" fillId="19" borderId="1" xfId="0" applyNumberFormat="1" applyFont="1" applyFill="1" applyBorder="1" applyAlignment="1">
      <alignment horizontal="center"/>
    </xf>
    <xf numFmtId="0" fontId="62" fillId="0" borderId="1" xfId="0" applyFont="1" applyBorder="1" applyAlignment="1">
      <alignment horizontal="left" vertical="center" wrapText="1"/>
    </xf>
    <xf numFmtId="206" fontId="0" fillId="0" borderId="1" xfId="0" applyNumberFormat="1" applyBorder="1" applyAlignment="1">
      <alignment horizontal="center" vertical="center"/>
    </xf>
    <xf numFmtId="207" fontId="0" fillId="0" borderId="1" xfId="0" applyNumberFormat="1" applyBorder="1" applyAlignment="1">
      <alignment horizontal="center" vertical="center" wrapText="1"/>
    </xf>
    <xf numFmtId="211" fontId="74" fillId="0" borderId="1" xfId="5" applyNumberFormat="1" applyFont="1" applyBorder="1" applyAlignment="1">
      <alignment horizontal="center" vertical="center" wrapText="1"/>
    </xf>
    <xf numFmtId="182" fontId="74" fillId="0" borderId="1" xfId="5" applyNumberFormat="1" applyFont="1" applyBorder="1" applyAlignment="1">
      <alignment horizontal="center" vertical="center" wrapText="1"/>
    </xf>
    <xf numFmtId="0" fontId="62" fillId="0" borderId="1" xfId="0" applyFont="1" applyBorder="1" applyAlignment="1">
      <alignment horizontal="center" vertical="center" wrapText="1"/>
    </xf>
    <xf numFmtId="246" fontId="76" fillId="0" borderId="1" xfId="0" applyNumberFormat="1" applyFont="1" applyBorder="1" applyAlignment="1">
      <alignment horizontal="center" vertical="center" wrapText="1"/>
    </xf>
    <xf numFmtId="0" fontId="0" fillId="0" borderId="4" xfId="0" applyBorder="1">
      <alignment vertical="center"/>
    </xf>
    <xf numFmtId="0" fontId="0" fillId="19" borderId="1" xfId="0" applyFill="1" applyBorder="1" applyAlignment="1">
      <alignment horizontal="center" vertical="center"/>
    </xf>
    <xf numFmtId="211" fontId="0" fillId="2" borderId="1" xfId="0" applyNumberFormat="1" applyFill="1" applyBorder="1" applyAlignment="1">
      <alignment horizontal="center" vertical="center" wrapText="1"/>
    </xf>
    <xf numFmtId="258" fontId="0" fillId="0" borderId="1" xfId="0" applyNumberFormat="1" applyBorder="1" applyAlignment="1">
      <alignment horizontal="center" vertical="center" wrapText="1"/>
    </xf>
    <xf numFmtId="0" fontId="0" fillId="18" borderId="1" xfId="0" applyFill="1" applyBorder="1" applyAlignment="1">
      <alignment horizontal="center" vertical="center" wrapText="1"/>
    </xf>
    <xf numFmtId="0" fontId="2" fillId="18" borderId="1" xfId="0" applyFont="1" applyFill="1" applyBorder="1" applyAlignment="1">
      <alignment horizontal="center"/>
    </xf>
    <xf numFmtId="0" fontId="0" fillId="14" borderId="0" xfId="0" applyFill="1" applyAlignment="1">
      <alignment horizontal="center" vertical="center"/>
    </xf>
    <xf numFmtId="0" fontId="0" fillId="14" borderId="1" xfId="0" applyFill="1" applyBorder="1" applyAlignment="1">
      <alignment horizontal="center" vertical="center"/>
    </xf>
    <xf numFmtId="0" fontId="0" fillId="14" borderId="1" xfId="0" applyFill="1" applyBorder="1" applyAlignment="1">
      <alignment horizontal="center" vertical="center" wrapText="1"/>
    </xf>
    <xf numFmtId="0" fontId="0" fillId="14" borderId="1" xfId="0" applyFill="1" applyBorder="1">
      <alignment vertical="center"/>
    </xf>
    <xf numFmtId="0" fontId="0" fillId="14" borderId="0" xfId="0" applyFill="1" applyAlignment="1">
      <alignment vertical="center" wrapText="1"/>
    </xf>
    <xf numFmtId="0" fontId="0" fillId="14" borderId="0" xfId="0" applyFill="1" applyAlignment="1">
      <alignment horizontal="left" vertical="center"/>
    </xf>
    <xf numFmtId="208" fontId="0" fillId="7" borderId="1" xfId="0" applyNumberFormat="1" applyFill="1" applyBorder="1" applyAlignment="1">
      <alignment horizontal="center" vertical="center"/>
    </xf>
    <xf numFmtId="0" fontId="0" fillId="7" borderId="1" xfId="0" applyFill="1" applyBorder="1" applyAlignment="1">
      <alignment horizontal="center" vertical="center" wrapText="1"/>
    </xf>
    <xf numFmtId="182" fontId="76" fillId="2" borderId="1" xfId="0" applyNumberFormat="1" applyFont="1" applyFill="1" applyBorder="1" applyAlignment="1">
      <alignment horizontal="center" vertical="center" wrapText="1"/>
    </xf>
    <xf numFmtId="259" fontId="62" fillId="0" borderId="1" xfId="0" applyNumberFormat="1" applyFont="1" applyBorder="1" applyAlignment="1">
      <alignment horizontal="center" vertical="center"/>
    </xf>
    <xf numFmtId="260" fontId="62" fillId="2" borderId="1" xfId="0" applyNumberFormat="1" applyFont="1" applyFill="1" applyBorder="1" applyAlignment="1">
      <alignment horizontal="center" vertical="center"/>
    </xf>
    <xf numFmtId="0" fontId="0" fillId="19" borderId="1" xfId="0" applyFill="1" applyBorder="1" applyAlignment="1">
      <alignment horizontal="center" vertical="center" wrapText="1"/>
    </xf>
    <xf numFmtId="0" fontId="62" fillId="2" borderId="1" xfId="0" applyFont="1" applyFill="1" applyBorder="1" applyAlignment="1">
      <alignment horizontal="center" vertical="center"/>
    </xf>
    <xf numFmtId="0" fontId="78" fillId="2" borderId="1" xfId="0" applyFont="1" applyFill="1" applyBorder="1" applyAlignment="1">
      <alignment horizontal="center" vertical="center" wrapText="1"/>
    </xf>
    <xf numFmtId="182" fontId="74" fillId="2" borderId="1" xfId="5" applyNumberFormat="1" applyFont="1" applyFill="1" applyBorder="1" applyAlignment="1">
      <alignment horizontal="center" vertical="center" wrapText="1"/>
    </xf>
    <xf numFmtId="0" fontId="74" fillId="2" borderId="1" xfId="5" applyFont="1" applyFill="1" applyBorder="1" applyAlignment="1">
      <alignment horizontal="center" vertical="center" wrapText="1"/>
    </xf>
    <xf numFmtId="261" fontId="0" fillId="2" borderId="1" xfId="0" applyNumberFormat="1" applyFill="1" applyBorder="1" applyAlignment="1">
      <alignment horizontal="center" vertical="center"/>
    </xf>
    <xf numFmtId="211" fontId="0" fillId="2" borderId="1" xfId="0" applyNumberFormat="1" applyFill="1" applyBorder="1" applyAlignment="1">
      <alignment horizontal="center" vertical="center"/>
    </xf>
    <xf numFmtId="183" fontId="74" fillId="2" borderId="1" xfId="0" applyNumberFormat="1" applyFont="1" applyFill="1" applyBorder="1" applyAlignment="1">
      <alignment horizontal="center" vertical="center"/>
    </xf>
    <xf numFmtId="0" fontId="62" fillId="0" borderId="2" xfId="0" applyFont="1" applyBorder="1" applyAlignment="1">
      <alignment vertical="center" wrapText="1"/>
    </xf>
    <xf numFmtId="211" fontId="74" fillId="2" borderId="1" xfId="5" applyNumberFormat="1" applyFont="1" applyFill="1" applyBorder="1" applyAlignment="1">
      <alignment horizontal="center" vertical="center" wrapText="1"/>
    </xf>
    <xf numFmtId="0" fontId="74" fillId="19" borderId="1" xfId="5" applyFont="1" applyFill="1" applyBorder="1" applyAlignment="1">
      <alignment horizontal="center" vertical="center" wrapText="1"/>
    </xf>
    <xf numFmtId="209" fontId="0" fillId="2" borderId="1" xfId="0" applyNumberFormat="1" applyFill="1" applyBorder="1" applyAlignment="1">
      <alignment horizontal="center" vertical="center"/>
    </xf>
    <xf numFmtId="0" fontId="0" fillId="2" borderId="0" xfId="0" applyFill="1" applyAlignment="1">
      <alignment horizontal="center" vertical="center"/>
    </xf>
    <xf numFmtId="0" fontId="0" fillId="7" borderId="1" xfId="0" applyFill="1" applyBorder="1" applyAlignment="1">
      <alignment horizontal="left" vertical="center" wrapText="1"/>
    </xf>
    <xf numFmtId="182" fontId="2" fillId="2" borderId="1" xfId="0" applyNumberFormat="1" applyFont="1" applyFill="1" applyBorder="1" applyAlignment="1">
      <alignment horizontal="left" vertical="center"/>
    </xf>
    <xf numFmtId="207" fontId="0" fillId="19" borderId="1" xfId="0" applyNumberFormat="1" applyFill="1" applyBorder="1" applyAlignment="1">
      <alignment horizontal="center" vertical="center" wrapText="1"/>
    </xf>
    <xf numFmtId="183" fontId="74" fillId="2" borderId="0" xfId="0" applyNumberFormat="1" applyFont="1" applyFill="1" applyAlignment="1">
      <alignment horizontal="center" vertical="center"/>
    </xf>
    <xf numFmtId="0" fontId="78" fillId="0" borderId="1" xfId="0" applyFont="1" applyBorder="1" applyAlignment="1">
      <alignment horizontal="center" vertical="center"/>
    </xf>
    <xf numFmtId="262" fontId="74" fillId="2" borderId="1" xfId="5" applyNumberFormat="1" applyFont="1" applyFill="1" applyBorder="1" applyAlignment="1">
      <alignment horizontal="center" vertical="center" wrapText="1"/>
    </xf>
    <xf numFmtId="0" fontId="64" fillId="2" borderId="1" xfId="6" applyFont="1" applyFill="1" applyBorder="1" applyAlignment="1">
      <alignment horizontal="center" vertical="center" wrapText="1"/>
    </xf>
    <xf numFmtId="229" fontId="0" fillId="2" borderId="1" xfId="0" applyNumberFormat="1" applyFill="1" applyBorder="1" applyAlignment="1">
      <alignment horizontal="center" vertical="center"/>
    </xf>
    <xf numFmtId="0" fontId="0" fillId="0" borderId="2" xfId="0" applyBorder="1" applyAlignment="1">
      <alignment horizontal="center" vertical="center"/>
    </xf>
    <xf numFmtId="2" fontId="0" fillId="0" borderId="4" xfId="0" applyNumberFormat="1" applyBorder="1" applyAlignment="1">
      <alignment horizontal="center" vertical="center"/>
    </xf>
    <xf numFmtId="208" fontId="0" fillId="2" borderId="1" xfId="0" applyNumberFormat="1" applyFill="1" applyBorder="1" applyAlignment="1">
      <alignment horizontal="center" vertical="center" wrapText="1"/>
    </xf>
    <xf numFmtId="263" fontId="74" fillId="2" borderId="0" xfId="0" applyNumberFormat="1" applyFont="1" applyFill="1" applyAlignment="1">
      <alignment horizontal="center" vertical="center"/>
    </xf>
    <xf numFmtId="2" fontId="0" fillId="2" borderId="1" xfId="0" applyNumberFormat="1" applyFill="1" applyBorder="1" applyAlignment="1">
      <alignment horizontal="center" vertical="center" wrapText="1"/>
    </xf>
    <xf numFmtId="0" fontId="0" fillId="22" borderId="1" xfId="0" applyFill="1" applyBorder="1" applyAlignment="1">
      <alignment horizontal="center" vertical="center" wrapText="1"/>
    </xf>
    <xf numFmtId="0" fontId="0" fillId="16" borderId="4" xfId="0" applyFill="1" applyBorder="1" applyAlignment="1">
      <alignment horizontal="center" vertical="center"/>
    </xf>
    <xf numFmtId="0" fontId="0" fillId="2" borderId="1" xfId="0" applyFill="1" applyBorder="1">
      <alignment vertical="center"/>
    </xf>
    <xf numFmtId="208" fontId="0" fillId="19" borderId="1" xfId="0" applyNumberFormat="1" applyFill="1" applyBorder="1" applyAlignment="1">
      <alignment horizontal="center" vertical="center"/>
    </xf>
    <xf numFmtId="264" fontId="0" fillId="2" borderId="1" xfId="0" applyNumberFormat="1" applyFill="1" applyBorder="1" applyAlignment="1">
      <alignment horizontal="center" vertical="center"/>
    </xf>
    <xf numFmtId="265" fontId="0" fillId="2" borderId="1" xfId="0" applyNumberFormat="1" applyFill="1" applyBorder="1" applyAlignment="1">
      <alignment horizontal="center" vertical="center"/>
    </xf>
    <xf numFmtId="266" fontId="0" fillId="19" borderId="1" xfId="0" applyNumberFormat="1" applyFill="1" applyBorder="1" applyAlignment="1">
      <alignment horizontal="center" vertical="center"/>
    </xf>
    <xf numFmtId="267" fontId="0" fillId="19" borderId="1" xfId="0" applyNumberFormat="1" applyFill="1" applyBorder="1" applyAlignment="1">
      <alignment horizontal="center" vertical="center"/>
    </xf>
    <xf numFmtId="268" fontId="0" fillId="19" borderId="2" xfId="0" applyNumberFormat="1" applyFill="1" applyBorder="1" applyAlignment="1">
      <alignment horizontal="center" vertical="center" wrapText="1"/>
    </xf>
    <xf numFmtId="211" fontId="0" fillId="2" borderId="0" xfId="0" applyNumberFormat="1" applyFill="1" applyAlignment="1">
      <alignment horizontal="center" vertical="center"/>
    </xf>
    <xf numFmtId="209" fontId="0" fillId="2" borderId="0" xfId="0" applyNumberFormat="1" applyFill="1" applyAlignment="1">
      <alignment horizontal="center" vertical="center" wrapText="1"/>
    </xf>
    <xf numFmtId="269" fontId="0" fillId="2" borderId="1" xfId="0" applyNumberFormat="1" applyFill="1" applyBorder="1" applyAlignment="1">
      <alignment horizontal="center" vertical="center"/>
    </xf>
    <xf numFmtId="241" fontId="2" fillId="16" borderId="1" xfId="0" applyNumberFormat="1" applyFont="1" applyFill="1" applyBorder="1" applyAlignment="1">
      <alignment horizontal="center" vertical="center"/>
    </xf>
    <xf numFmtId="0" fontId="0" fillId="0" borderId="2" xfId="0" applyBorder="1">
      <alignment vertical="center"/>
    </xf>
    <xf numFmtId="0" fontId="0" fillId="16" borderId="0" xfId="0" applyFill="1" applyAlignment="1">
      <alignment horizontal="center"/>
    </xf>
    <xf numFmtId="270" fontId="0" fillId="2" borderId="1" xfId="0" applyNumberFormat="1" applyFill="1" applyBorder="1" applyAlignment="1">
      <alignment horizontal="center" vertical="center"/>
    </xf>
    <xf numFmtId="271" fontId="0" fillId="2" borderId="0" xfId="0" applyNumberFormat="1" applyFill="1" applyAlignment="1">
      <alignment horizontal="center" vertical="center"/>
    </xf>
    <xf numFmtId="272" fontId="74" fillId="2" borderId="1" xfId="5" applyNumberFormat="1" applyFont="1" applyFill="1" applyBorder="1" applyAlignment="1">
      <alignment horizontal="center" vertical="center" wrapText="1"/>
    </xf>
    <xf numFmtId="273" fontId="0" fillId="2" borderId="1" xfId="0" applyNumberFormat="1" applyFill="1" applyBorder="1" applyAlignment="1">
      <alignment horizontal="center" vertical="center"/>
    </xf>
    <xf numFmtId="209" fontId="74" fillId="2" borderId="1" xfId="5" applyNumberFormat="1" applyFont="1" applyFill="1" applyBorder="1" applyAlignment="1">
      <alignment horizontal="center" vertical="center" wrapText="1"/>
    </xf>
    <xf numFmtId="274" fontId="74" fillId="2" borderId="1" xfId="5" applyNumberFormat="1" applyFont="1" applyFill="1" applyBorder="1" applyAlignment="1">
      <alignment horizontal="center" vertical="center" wrapText="1"/>
    </xf>
    <xf numFmtId="275" fontId="74" fillId="2" borderId="1" xfId="5" applyNumberFormat="1" applyFont="1" applyFill="1" applyBorder="1" applyAlignment="1">
      <alignment horizontal="center" vertical="center" wrapText="1"/>
    </xf>
    <xf numFmtId="276" fontId="74" fillId="2" borderId="1" xfId="5" applyNumberFormat="1" applyFont="1" applyFill="1" applyBorder="1" applyAlignment="1">
      <alignment horizontal="center" vertical="center" wrapText="1"/>
    </xf>
    <xf numFmtId="229" fontId="0" fillId="19" borderId="1" xfId="0" applyNumberFormat="1" applyFill="1" applyBorder="1" applyAlignment="1">
      <alignment horizontal="center" vertical="center"/>
    </xf>
    <xf numFmtId="0" fontId="79" fillId="0" borderId="0" xfId="0" applyFont="1">
      <alignment vertical="center"/>
    </xf>
    <xf numFmtId="0" fontId="0" fillId="16" borderId="0" xfId="0" applyFill="1" applyAlignment="1"/>
    <xf numFmtId="277" fontId="74" fillId="2" borderId="1" xfId="5" applyNumberFormat="1" applyFont="1" applyFill="1" applyBorder="1" applyAlignment="1">
      <alignment horizontal="center" vertical="center" wrapText="1"/>
    </xf>
    <xf numFmtId="278" fontId="74" fillId="2" borderId="1" xfId="5" applyNumberFormat="1" applyFont="1" applyFill="1" applyBorder="1" applyAlignment="1">
      <alignment horizontal="center" vertical="center" wrapText="1"/>
    </xf>
    <xf numFmtId="0" fontId="0" fillId="19" borderId="0" xfId="0" applyFill="1" applyAlignment="1">
      <alignment horizontal="center" vertical="center" wrapText="1"/>
    </xf>
    <xf numFmtId="279" fontId="80" fillId="0" borderId="0" xfId="0" applyNumberFormat="1" applyFont="1">
      <alignment vertical="center"/>
    </xf>
    <xf numFmtId="0" fontId="0" fillId="12" borderId="2" xfId="0" applyFill="1" applyBorder="1">
      <alignment vertical="center"/>
    </xf>
    <xf numFmtId="280" fontId="0" fillId="2" borderId="1" xfId="0" applyNumberFormat="1" applyFill="1" applyBorder="1" applyAlignment="1">
      <alignment horizontal="center" vertical="center"/>
    </xf>
    <xf numFmtId="0" fontId="0" fillId="0" borderId="2" xfId="0" applyBorder="1" applyAlignment="1">
      <alignment horizontal="center" vertical="center" wrapText="1"/>
    </xf>
    <xf numFmtId="49" fontId="64" fillId="0" borderId="1" xfId="5" applyNumberFormat="1" applyFont="1" applyBorder="1" applyAlignment="1">
      <alignment horizontal="center" vertical="center" wrapText="1"/>
    </xf>
    <xf numFmtId="182" fontId="0" fillId="23" borderId="1" xfId="0" applyNumberFormat="1" applyFill="1" applyBorder="1" applyAlignment="1">
      <alignment horizontal="center" vertical="center"/>
    </xf>
    <xf numFmtId="182" fontId="0" fillId="23" borderId="1" xfId="0" applyNumberFormat="1" applyFill="1" applyBorder="1" applyAlignment="1">
      <alignment horizontal="left" vertical="center" wrapText="1"/>
    </xf>
    <xf numFmtId="182" fontId="2" fillId="7" borderId="1" xfId="0" applyNumberFormat="1" applyFont="1" applyFill="1" applyBorder="1" applyAlignment="1">
      <alignment horizontal="left"/>
    </xf>
    <xf numFmtId="182" fontId="76" fillId="7" borderId="1" xfId="0" applyNumberFormat="1" applyFont="1" applyFill="1" applyBorder="1" applyAlignment="1">
      <alignment horizontal="center" vertical="center" wrapText="1"/>
    </xf>
    <xf numFmtId="182" fontId="2" fillId="23" borderId="1" xfId="0" applyNumberFormat="1" applyFont="1" applyFill="1" applyBorder="1" applyAlignment="1">
      <alignment horizontal="center"/>
    </xf>
    <xf numFmtId="182" fontId="0" fillId="23" borderId="1" xfId="0" applyNumberFormat="1" applyFill="1" applyBorder="1">
      <alignment vertical="center"/>
    </xf>
    <xf numFmtId="191" fontId="0" fillId="23" borderId="1" xfId="0" applyNumberFormat="1" applyFill="1" applyBorder="1" applyAlignment="1">
      <alignment horizontal="center" vertical="center"/>
    </xf>
    <xf numFmtId="190" fontId="0" fillId="7" borderId="1" xfId="0" applyNumberFormat="1" applyFill="1" applyBorder="1" applyAlignment="1">
      <alignment horizontal="center" vertical="center"/>
    </xf>
    <xf numFmtId="206" fontId="0" fillId="7" borderId="1" xfId="0" applyNumberFormat="1" applyFill="1" applyBorder="1" applyAlignment="1">
      <alignment horizontal="center" vertical="center"/>
    </xf>
    <xf numFmtId="207" fontId="0" fillId="7" borderId="1" xfId="0" applyNumberFormat="1" applyFill="1" applyBorder="1" applyAlignment="1">
      <alignment horizontal="center" vertical="center" wrapText="1"/>
    </xf>
    <xf numFmtId="0" fontId="0" fillId="15" borderId="0" xfId="0" applyFill="1" applyAlignment="1">
      <alignment horizontal="center" vertical="center"/>
    </xf>
    <xf numFmtId="0" fontId="0" fillId="15" borderId="1" xfId="0" applyFill="1" applyBorder="1" applyAlignment="1">
      <alignment horizontal="center" vertical="center"/>
    </xf>
    <xf numFmtId="0" fontId="0" fillId="15" borderId="1" xfId="0" applyFill="1" applyBorder="1" applyAlignment="1">
      <alignment horizontal="center" vertical="center" wrapText="1"/>
    </xf>
    <xf numFmtId="0" fontId="0" fillId="15" borderId="1" xfId="0" applyFill="1" applyBorder="1">
      <alignment vertical="center"/>
    </xf>
    <xf numFmtId="0" fontId="0" fillId="15" borderId="0" xfId="0" applyFill="1" applyAlignment="1">
      <alignment vertical="center" wrapText="1"/>
    </xf>
    <xf numFmtId="208" fontId="0" fillId="23" borderId="1" xfId="0" applyNumberFormat="1" applyFill="1" applyBorder="1" applyAlignment="1">
      <alignment horizontal="center" vertical="center"/>
    </xf>
    <xf numFmtId="0" fontId="0" fillId="23" borderId="1" xfId="0" applyFill="1" applyBorder="1" applyAlignment="1">
      <alignment horizontal="center" vertical="center" wrapText="1"/>
    </xf>
    <xf numFmtId="182" fontId="0" fillId="24" borderId="1" xfId="0" applyNumberFormat="1" applyFill="1" applyBorder="1">
      <alignment vertical="center"/>
    </xf>
    <xf numFmtId="0" fontId="0" fillId="23" borderId="1" xfId="0" applyFill="1" applyBorder="1" applyAlignment="1">
      <alignment horizontal="center" vertical="center"/>
    </xf>
    <xf numFmtId="0" fontId="0" fillId="23" borderId="7" xfId="0" applyFill="1" applyBorder="1" applyAlignment="1">
      <alignment horizontal="center" vertical="center"/>
    </xf>
    <xf numFmtId="0" fontId="0" fillId="23" borderId="1" xfId="0" applyFill="1" applyBorder="1">
      <alignment vertical="center"/>
    </xf>
    <xf numFmtId="183" fontId="0" fillId="23" borderId="1" xfId="0" applyNumberFormat="1" applyFill="1" applyBorder="1" applyAlignment="1">
      <alignment horizontal="center" vertical="center"/>
    </xf>
    <xf numFmtId="2" fontId="0" fillId="23" borderId="1" xfId="0" applyNumberFormat="1" applyFill="1" applyBorder="1">
      <alignment vertical="center"/>
    </xf>
    <xf numFmtId="0" fontId="2" fillId="23" borderId="1" xfId="0" applyFont="1" applyFill="1" applyBorder="1" applyAlignment="1">
      <alignment horizontal="center"/>
    </xf>
    <xf numFmtId="0" fontId="62" fillId="0" borderId="0" xfId="0" applyFont="1" applyAlignment="1">
      <alignment vertical="center" wrapText="1"/>
    </xf>
    <xf numFmtId="0" fontId="0" fillId="23" borderId="12" xfId="0" applyFill="1" applyBorder="1">
      <alignment vertical="center"/>
    </xf>
    <xf numFmtId="2" fontId="0" fillId="23" borderId="0" xfId="0" applyNumberFormat="1" applyFill="1">
      <alignment vertical="center"/>
    </xf>
    <xf numFmtId="281" fontId="0" fillId="0" borderId="1" xfId="0" applyNumberFormat="1" applyBorder="1" applyAlignment="1">
      <alignment horizontal="center" vertical="center"/>
    </xf>
    <xf numFmtId="182" fontId="0" fillId="20" borderId="12" xfId="0" applyNumberFormat="1" applyFill="1" applyBorder="1" applyAlignment="1">
      <alignment horizontal="center" vertical="center"/>
    </xf>
    <xf numFmtId="2" fontId="0" fillId="6" borderId="1" xfId="0" applyNumberFormat="1" applyFill="1" applyBorder="1" applyAlignment="1">
      <alignment horizontal="center" vertical="center"/>
    </xf>
    <xf numFmtId="2" fontId="0" fillId="23" borderId="1" xfId="0" applyNumberFormat="1" applyFill="1" applyBorder="1" applyAlignment="1">
      <alignment horizontal="center" vertical="center"/>
    </xf>
    <xf numFmtId="2" fontId="0" fillId="23" borderId="0" xfId="0" applyNumberFormat="1" applyFill="1" applyAlignment="1">
      <alignment horizontal="center" vertical="center"/>
    </xf>
    <xf numFmtId="2" fontId="0" fillId="0" borderId="0" xfId="0" applyNumberFormat="1" applyAlignment="1">
      <alignment horizontal="center" vertical="center"/>
    </xf>
    <xf numFmtId="0" fontId="0" fillId="25" borderId="1" xfId="0" applyFill="1" applyBorder="1" applyAlignment="1">
      <alignment horizontal="center" vertical="center" wrapText="1"/>
    </xf>
    <xf numFmtId="0" fontId="0" fillId="2" borderId="4" xfId="0" applyFill="1" applyBorder="1" applyAlignment="1">
      <alignment horizontal="center" vertical="center"/>
    </xf>
    <xf numFmtId="0" fontId="72" fillId="0" borderId="0" xfId="2" applyAlignment="1">
      <alignment horizontal="center" vertical="center"/>
    </xf>
    <xf numFmtId="282" fontId="0" fillId="2" borderId="0" xfId="0" applyNumberFormat="1" applyFill="1" applyAlignment="1">
      <alignment horizontal="center" vertical="center"/>
    </xf>
    <xf numFmtId="0" fontId="72" fillId="0" borderId="0" xfId="2" applyAlignment="1">
      <alignment vertical="center"/>
    </xf>
    <xf numFmtId="283" fontId="0" fillId="2" borderId="0" xfId="0" applyNumberFormat="1" applyFill="1" applyAlignment="1">
      <alignment horizontal="center" vertical="center"/>
    </xf>
    <xf numFmtId="0" fontId="0" fillId="2" borderId="12" xfId="0" applyFill="1" applyBorder="1" applyAlignment="1">
      <alignment horizontal="left" vertical="center"/>
    </xf>
    <xf numFmtId="0" fontId="7" fillId="2" borderId="7" xfId="3" applyFont="1" applyFill="1" applyBorder="1" applyAlignment="1">
      <alignment horizontal="left" vertical="center"/>
    </xf>
    <xf numFmtId="0" fontId="0" fillId="26" borderId="0" xfId="0" applyFill="1" applyAlignment="1">
      <alignment horizontal="center" vertical="center"/>
    </xf>
    <xf numFmtId="0" fontId="0" fillId="26" borderId="0" xfId="0" applyFill="1" applyAlignment="1">
      <alignment horizontal="center" vertical="center" wrapText="1"/>
    </xf>
    <xf numFmtId="0" fontId="82" fillId="26" borderId="0" xfId="0" applyFont="1" applyFill="1" applyAlignment="1">
      <alignment horizontal="center" vertical="center"/>
    </xf>
    <xf numFmtId="0" fontId="0" fillId="0" borderId="0" xfId="0" applyAlignment="1">
      <alignment horizontal="left" vertical="center" wrapText="1"/>
    </xf>
    <xf numFmtId="0" fontId="0" fillId="17" borderId="0" xfId="0" applyFill="1" applyAlignment="1">
      <alignment horizontal="center" vertical="center"/>
    </xf>
    <xf numFmtId="0" fontId="29" fillId="0" borderId="1" xfId="0" applyFont="1" applyBorder="1" applyAlignment="1">
      <alignment horizontal="center" vertical="center"/>
    </xf>
    <xf numFmtId="0" fontId="29" fillId="0" borderId="1" xfId="0" applyFont="1" applyBorder="1" applyAlignment="1">
      <alignment horizontal="center" vertical="center" wrapText="1"/>
    </xf>
    <xf numFmtId="26" fontId="29" fillId="0" borderId="1" xfId="0" applyNumberFormat="1" applyFont="1" applyBorder="1" applyAlignment="1">
      <alignment horizontal="center" vertical="center" wrapText="1"/>
    </xf>
    <xf numFmtId="26" fontId="29" fillId="0" borderId="1" xfId="0" applyNumberFormat="1" applyFont="1" applyBorder="1" applyAlignment="1">
      <alignment horizontal="center" vertical="center"/>
    </xf>
    <xf numFmtId="182" fontId="29" fillId="0" borderId="1" xfId="0" applyNumberFormat="1" applyFont="1" applyBorder="1" applyAlignment="1">
      <alignment horizontal="center" vertical="center" wrapText="1"/>
    </xf>
    <xf numFmtId="0" fontId="31" fillId="0" borderId="0" xfId="3" applyFont="1" applyAlignment="1">
      <alignment horizontal="center" vertical="center"/>
    </xf>
    <xf numFmtId="0" fontId="83" fillId="0" borderId="0" xfId="3" applyFont="1" applyAlignment="1">
      <alignment horizontal="center" vertical="center"/>
    </xf>
    <xf numFmtId="0" fontId="29" fillId="9" borderId="0" xfId="3" applyFont="1" applyFill="1" applyAlignment="1">
      <alignment vertical="center"/>
    </xf>
    <xf numFmtId="26" fontId="30" fillId="0" borderId="0" xfId="3" applyNumberFormat="1" applyFont="1" applyAlignment="1">
      <alignment horizontal="right" vertical="center"/>
    </xf>
    <xf numFmtId="0" fontId="81" fillId="0" borderId="0" xfId="3" applyFont="1" applyAlignment="1">
      <alignment vertical="center" wrapText="1"/>
    </xf>
    <xf numFmtId="262" fontId="29" fillId="0" borderId="1" xfId="3" applyNumberFormat="1" applyFont="1" applyBorder="1" applyAlignment="1">
      <alignment horizontal="center" vertical="center"/>
    </xf>
    <xf numFmtId="26" fontId="29" fillId="0" borderId="0" xfId="3" applyNumberFormat="1" applyFont="1" applyAlignment="1">
      <alignment horizontal="center" vertical="center"/>
    </xf>
    <xf numFmtId="0" fontId="30" fillId="0" borderId="0" xfId="3" applyFont="1" applyAlignment="1">
      <alignment horizontal="center" vertical="center" wrapText="1"/>
    </xf>
    <xf numFmtId="0" fontId="22" fillId="0" borderId="0" xfId="3" applyFont="1" applyAlignment="1">
      <alignment horizontal="left" vertical="center"/>
    </xf>
    <xf numFmtId="26" fontId="30" fillId="0" borderId="0" xfId="3" applyNumberFormat="1" applyFont="1" applyAlignment="1">
      <alignment horizontal="center" vertical="center" wrapText="1"/>
    </xf>
    <xf numFmtId="26" fontId="7" fillId="0" borderId="0" xfId="3" applyNumberFormat="1" applyFont="1" applyAlignment="1">
      <alignment horizontal="center" vertical="center"/>
    </xf>
    <xf numFmtId="14" fontId="29" fillId="0" borderId="0" xfId="3" applyNumberFormat="1" applyFont="1" applyAlignment="1">
      <alignment horizontal="right" vertical="center"/>
    </xf>
    <xf numFmtId="26" fontId="30" fillId="0" borderId="0" xfId="3" applyNumberFormat="1" applyFont="1" applyAlignment="1">
      <alignment horizontal="left" vertical="center"/>
    </xf>
    <xf numFmtId="284" fontId="29" fillId="0" borderId="0" xfId="3" applyNumberFormat="1" applyFont="1" applyAlignment="1">
      <alignment horizontal="center" vertical="center"/>
    </xf>
    <xf numFmtId="0" fontId="8" fillId="0" borderId="1" xfId="3" applyFont="1" applyBorder="1" applyAlignment="1">
      <alignment horizontal="center" vertical="center"/>
    </xf>
    <xf numFmtId="10" fontId="29" fillId="0" borderId="0" xfId="3" applyNumberFormat="1" applyFont="1" applyAlignment="1">
      <alignment horizontal="center" vertical="center"/>
    </xf>
    <xf numFmtId="0" fontId="30" fillId="0" borderId="1" xfId="3" applyFont="1" applyBorder="1" applyAlignment="1">
      <alignment horizontal="center" vertical="center" wrapText="1"/>
    </xf>
    <xf numFmtId="0" fontId="8" fillId="0" borderId="1" xfId="3" applyFont="1" applyBorder="1" applyAlignment="1">
      <alignment vertical="center" wrapText="1"/>
    </xf>
    <xf numFmtId="2" fontId="84" fillId="0" borderId="1" xfId="3" applyNumberFormat="1" applyFont="1" applyBorder="1" applyAlignment="1">
      <alignment horizontal="center" vertical="center"/>
    </xf>
    <xf numFmtId="2" fontId="29" fillId="0" borderId="1" xfId="3" applyNumberFormat="1" applyFont="1" applyBorder="1" applyAlignment="1">
      <alignment horizontal="center" vertical="center"/>
    </xf>
    <xf numFmtId="285" fontId="84" fillId="0" borderId="0" xfId="3" applyNumberFormat="1" applyFont="1" applyAlignment="1">
      <alignment horizontal="center" vertical="center"/>
    </xf>
    <xf numFmtId="285" fontId="29" fillId="0" borderId="0" xfId="3" applyNumberFormat="1" applyFont="1" applyAlignment="1">
      <alignment horizontal="center" vertical="center"/>
    </xf>
    <xf numFmtId="0" fontId="29" fillId="2" borderId="0" xfId="3" applyFont="1" applyFill="1" applyAlignment="1">
      <alignment horizontal="center" vertical="center"/>
    </xf>
    <xf numFmtId="0" fontId="29" fillId="27" borderId="1" xfId="3" applyFont="1" applyFill="1" applyBorder="1" applyAlignment="1">
      <alignment horizontal="center" vertical="center"/>
    </xf>
    <xf numFmtId="0" fontId="85" fillId="27" borderId="1" xfId="3" applyFont="1" applyFill="1" applyBorder="1" applyAlignment="1">
      <alignment horizontal="center" vertical="center" wrapText="1"/>
    </xf>
    <xf numFmtId="0" fontId="85" fillId="27" borderId="1" xfId="3" applyFont="1" applyFill="1" applyBorder="1" applyAlignment="1">
      <alignment horizontal="center" vertical="center"/>
    </xf>
    <xf numFmtId="0" fontId="34" fillId="27" borderId="1" xfId="3" applyFont="1" applyFill="1" applyBorder="1" applyAlignment="1">
      <alignment horizontal="center" vertical="center" wrapText="1"/>
    </xf>
    <xf numFmtId="0" fontId="34" fillId="27" borderId="1" xfId="3" applyFont="1" applyFill="1" applyBorder="1" applyAlignment="1">
      <alignment horizontal="center" vertical="center"/>
    </xf>
    <xf numFmtId="284" fontId="34" fillId="27" borderId="1" xfId="3" applyNumberFormat="1" applyFont="1" applyFill="1" applyBorder="1" applyAlignment="1">
      <alignment horizontal="center" vertical="center"/>
    </xf>
    <xf numFmtId="26" fontId="86" fillId="27" borderId="1" xfId="15" applyNumberFormat="1" applyFont="1" applyFill="1" applyBorder="1" applyAlignment="1">
      <alignment horizontal="center" vertical="center"/>
    </xf>
    <xf numFmtId="0" fontId="31" fillId="27" borderId="1" xfId="3" applyFont="1" applyFill="1" applyBorder="1" applyAlignment="1">
      <alignment horizontal="center" vertical="center" wrapText="1"/>
    </xf>
    <xf numFmtId="0" fontId="31" fillId="27" borderId="1" xfId="3" applyFont="1" applyFill="1" applyBorder="1" applyAlignment="1">
      <alignment horizontal="center" vertical="center"/>
    </xf>
    <xf numFmtId="2" fontId="31" fillId="27" borderId="1" xfId="3" applyNumberFormat="1" applyFont="1" applyFill="1" applyBorder="1" applyAlignment="1">
      <alignment horizontal="center" vertical="center"/>
    </xf>
    <xf numFmtId="284" fontId="31" fillId="27" borderId="1" xfId="3" applyNumberFormat="1" applyFont="1" applyFill="1" applyBorder="1" applyAlignment="1">
      <alignment horizontal="center" vertical="center"/>
    </xf>
    <xf numFmtId="26" fontId="29" fillId="27" borderId="1" xfId="15" applyNumberFormat="1" applyFont="1" applyFill="1" applyBorder="1" applyAlignment="1">
      <alignment horizontal="center" vertical="center"/>
    </xf>
    <xf numFmtId="0" fontId="7" fillId="0" borderId="0" xfId="3" applyFont="1" applyAlignment="1">
      <alignment horizontal="center" vertical="center" wrapText="1"/>
    </xf>
    <xf numFmtId="26" fontId="87" fillId="27" borderId="1" xfId="17" applyNumberFormat="1" applyFont="1" applyFill="1" applyBorder="1" applyAlignment="1">
      <alignment horizontal="center" vertical="center"/>
    </xf>
    <xf numFmtId="0" fontId="87" fillId="27" borderId="1" xfId="3" applyFont="1" applyFill="1" applyBorder="1" applyAlignment="1">
      <alignment horizontal="center" vertical="center"/>
    </xf>
    <xf numFmtId="0" fontId="87" fillId="27" borderId="1" xfId="3" applyFont="1" applyFill="1" applyBorder="1" applyAlignment="1">
      <alignment horizontal="center" vertical="center" wrapText="1"/>
    </xf>
    <xf numFmtId="286" fontId="88" fillId="27" borderId="1" xfId="18" applyNumberFormat="1" applyFont="1" applyFill="1" applyBorder="1" applyAlignment="1">
      <alignment vertical="center"/>
    </xf>
    <xf numFmtId="26" fontId="88" fillId="27" borderId="1" xfId="17" applyNumberFormat="1" applyFont="1" applyFill="1" applyBorder="1" applyAlignment="1">
      <alignment horizontal="left" vertical="center"/>
    </xf>
    <xf numFmtId="287" fontId="87" fillId="27" borderId="1" xfId="17" applyNumberFormat="1" applyFont="1" applyFill="1" applyBorder="1" applyAlignment="1">
      <alignment horizontal="center" vertical="center"/>
    </xf>
    <xf numFmtId="288" fontId="87" fillId="0" borderId="0" xfId="17" applyNumberFormat="1" applyFont="1" applyFill="1" applyBorder="1" applyAlignment="1">
      <alignment horizontal="center" vertical="center"/>
    </xf>
    <xf numFmtId="0" fontId="8" fillId="0" borderId="0" xfId="3" applyFont="1" applyAlignment="1">
      <alignment horizontal="center" vertical="center"/>
    </xf>
    <xf numFmtId="176" fontId="29" fillId="0" borderId="0" xfId="3" applyNumberFormat="1" applyFont="1" applyAlignment="1">
      <alignment horizontal="center" vertical="center"/>
    </xf>
    <xf numFmtId="288" fontId="29" fillId="0" borderId="0" xfId="3" applyNumberFormat="1" applyFont="1" applyAlignment="1">
      <alignment horizontal="center" vertical="center"/>
    </xf>
    <xf numFmtId="0" fontId="7" fillId="0" borderId="0" xfId="3" applyFont="1" applyAlignment="1">
      <alignment horizontal="right" vertical="center"/>
    </xf>
    <xf numFmtId="0" fontId="89" fillId="0" borderId="0" xfId="3" applyFont="1" applyAlignment="1">
      <alignment horizontal="center" vertical="center"/>
    </xf>
    <xf numFmtId="0" fontId="83" fillId="5" borderId="0" xfId="3" applyFont="1" applyFill="1" applyAlignment="1">
      <alignment horizontal="center" vertical="center"/>
    </xf>
    <xf numFmtId="0" fontId="7" fillId="2" borderId="0" xfId="3" applyFont="1" applyFill="1" applyAlignment="1">
      <alignment horizontal="left" vertical="center"/>
    </xf>
    <xf numFmtId="289" fontId="7" fillId="0" borderId="0" xfId="3" applyNumberFormat="1" applyFont="1" applyAlignment="1">
      <alignment horizontal="left" vertical="center"/>
    </xf>
    <xf numFmtId="0" fontId="29" fillId="0" borderId="0" xfId="4" applyFont="1" applyAlignment="1">
      <alignment horizontal="center" vertical="center"/>
    </xf>
    <xf numFmtId="0" fontId="30" fillId="0" borderId="0" xfId="4" applyFont="1" applyAlignment="1">
      <alignment horizontal="left" vertical="center"/>
    </xf>
    <xf numFmtId="0" fontId="29" fillId="0" borderId="0" xfId="4" applyFont="1" applyAlignment="1">
      <alignment horizontal="left" vertical="center" wrapText="1"/>
    </xf>
    <xf numFmtId="0" fontId="90" fillId="0" borderId="0" xfId="4" applyFont="1" applyAlignment="1">
      <alignment horizontal="left" vertical="center"/>
    </xf>
    <xf numFmtId="0" fontId="7" fillId="28" borderId="0" xfId="3" applyFont="1" applyFill="1" applyAlignment="1">
      <alignment horizontal="center" vertical="center"/>
    </xf>
    <xf numFmtId="0" fontId="83" fillId="0" borderId="0" xfId="4" applyFont="1" applyAlignment="1">
      <alignment horizontal="center" vertical="center"/>
    </xf>
    <xf numFmtId="26" fontId="30" fillId="0" borderId="0" xfId="4" applyNumberFormat="1" applyFont="1" applyAlignment="1">
      <alignment horizontal="left" vertical="center"/>
    </xf>
    <xf numFmtId="0" fontId="30" fillId="0" borderId="0" xfId="3" applyFont="1" applyAlignment="1">
      <alignment horizontal="right" vertical="center"/>
    </xf>
    <xf numFmtId="0" fontId="29" fillId="29" borderId="35" xfId="3" applyFont="1" applyFill="1" applyBorder="1" applyAlignment="1">
      <alignment horizontal="center" vertical="center"/>
    </xf>
    <xf numFmtId="290" fontId="29" fillId="0" borderId="0" xfId="3" applyNumberFormat="1" applyFont="1" applyAlignment="1">
      <alignment horizontal="center" vertical="center"/>
    </xf>
    <xf numFmtId="0" fontId="91" fillId="0" borderId="15" xfId="4" applyFont="1" applyBorder="1" applyAlignment="1">
      <alignment vertical="center"/>
    </xf>
    <xf numFmtId="0" fontId="92" fillId="0" borderId="15" xfId="4" applyFont="1" applyBorder="1" applyAlignment="1">
      <alignment vertical="center"/>
    </xf>
    <xf numFmtId="10" fontId="29" fillId="2" borderId="0" xfId="3" applyNumberFormat="1" applyFont="1" applyFill="1" applyAlignment="1">
      <alignment horizontal="center" vertical="center"/>
    </xf>
    <xf numFmtId="282" fontId="29" fillId="0" borderId="0" xfId="3" applyNumberFormat="1" applyFont="1" applyAlignment="1">
      <alignment horizontal="center" vertical="center"/>
    </xf>
    <xf numFmtId="0" fontId="34" fillId="0" borderId="1" xfId="15" applyFont="1" applyBorder="1" applyAlignment="1">
      <alignment horizontal="center" vertical="center"/>
    </xf>
    <xf numFmtId="182" fontId="93" fillId="0" borderId="1" xfId="3" applyNumberFormat="1" applyFont="1" applyBorder="1" applyAlignment="1">
      <alignment horizontal="center" vertical="center"/>
    </xf>
    <xf numFmtId="2" fontId="84" fillId="0" borderId="0" xfId="3" applyNumberFormat="1" applyFont="1" applyAlignment="1">
      <alignment horizontal="center" vertical="center"/>
    </xf>
    <xf numFmtId="2" fontId="29" fillId="0" borderId="0" xfId="3" applyNumberFormat="1" applyFont="1" applyAlignment="1">
      <alignment horizontal="center" vertical="center"/>
    </xf>
    <xf numFmtId="0" fontId="86" fillId="27" borderId="1" xfId="15" applyFont="1" applyFill="1" applyBorder="1" applyAlignment="1">
      <alignment horizontal="center" vertical="center"/>
    </xf>
    <xf numFmtId="182" fontId="93" fillId="27" borderId="1" xfId="3" applyNumberFormat="1" applyFont="1" applyFill="1" applyBorder="1" applyAlignment="1">
      <alignment horizontal="center" vertical="center"/>
    </xf>
    <xf numFmtId="2" fontId="84" fillId="27" borderId="11" xfId="3" applyNumberFormat="1" applyFont="1" applyFill="1" applyBorder="1" applyAlignment="1">
      <alignment horizontal="center" vertical="center"/>
    </xf>
    <xf numFmtId="285" fontId="84" fillId="27" borderId="11" xfId="3" applyNumberFormat="1" applyFont="1" applyFill="1" applyBorder="1" applyAlignment="1">
      <alignment horizontal="center" vertical="center"/>
    </xf>
    <xf numFmtId="0" fontId="29" fillId="27" borderId="1" xfId="15" applyFont="1" applyFill="1" applyBorder="1" applyAlignment="1">
      <alignment horizontal="center" vertical="center"/>
    </xf>
    <xf numFmtId="182" fontId="91" fillId="27" borderId="1" xfId="3" applyNumberFormat="1" applyFont="1" applyFill="1" applyBorder="1" applyAlignment="1">
      <alignment horizontal="center" vertical="center"/>
    </xf>
    <xf numFmtId="2" fontId="94" fillId="27" borderId="1" xfId="3" applyNumberFormat="1" applyFont="1" applyFill="1" applyBorder="1" applyAlignment="1">
      <alignment horizontal="center" vertical="center"/>
    </xf>
    <xf numFmtId="285" fontId="94" fillId="27" borderId="1" xfId="3" applyNumberFormat="1" applyFont="1" applyFill="1" applyBorder="1" applyAlignment="1">
      <alignment horizontal="center" vertical="center"/>
    </xf>
    <xf numFmtId="0" fontId="31" fillId="27" borderId="12" xfId="3" applyFont="1" applyFill="1" applyBorder="1" applyAlignment="1">
      <alignment horizontal="center" vertical="center" wrapText="1"/>
    </xf>
    <xf numFmtId="2" fontId="31" fillId="27" borderId="12" xfId="3" applyNumberFormat="1" applyFont="1" applyFill="1" applyBorder="1" applyAlignment="1">
      <alignment horizontal="center" vertical="center"/>
    </xf>
    <xf numFmtId="0" fontId="31" fillId="27" borderId="12" xfId="3" applyFont="1" applyFill="1" applyBorder="1" applyAlignment="1">
      <alignment horizontal="center" vertical="center"/>
    </xf>
    <xf numFmtId="0" fontId="87" fillId="27" borderId="2" xfId="3" applyFont="1" applyFill="1" applyBorder="1" applyAlignment="1">
      <alignment horizontal="center" vertical="center" wrapText="1"/>
    </xf>
    <xf numFmtId="0" fontId="88" fillId="27" borderId="2" xfId="3" applyFont="1" applyFill="1" applyBorder="1" applyAlignment="1">
      <alignment horizontal="right" vertical="center" wrapText="1"/>
    </xf>
    <xf numFmtId="286" fontId="88" fillId="27" borderId="3" xfId="18" applyNumberFormat="1" applyFont="1" applyFill="1" applyBorder="1" applyAlignment="1">
      <alignment vertical="center"/>
    </xf>
    <xf numFmtId="26" fontId="88" fillId="27" borderId="4" xfId="17" applyNumberFormat="1" applyFont="1" applyFill="1" applyBorder="1" applyAlignment="1">
      <alignment horizontal="left" vertical="center"/>
    </xf>
    <xf numFmtId="0" fontId="87" fillId="27" borderId="4" xfId="17" applyNumberFormat="1" applyFont="1" applyFill="1" applyBorder="1" applyAlignment="1">
      <alignment horizontal="center" vertical="center"/>
    </xf>
    <xf numFmtId="285" fontId="87" fillId="27" borderId="1" xfId="17" applyNumberFormat="1" applyFont="1" applyFill="1" applyBorder="1" applyAlignment="1">
      <alignment horizontal="center" vertical="center"/>
    </xf>
    <xf numFmtId="288" fontId="87" fillId="27" borderId="1" xfId="17" applyNumberFormat="1" applyFont="1" applyFill="1" applyBorder="1" applyAlignment="1">
      <alignment horizontal="center" vertical="center"/>
    </xf>
    <xf numFmtId="9" fontId="29" fillId="2" borderId="0" xfId="3" applyNumberFormat="1" applyFont="1" applyFill="1" applyAlignment="1">
      <alignment horizontal="center" vertical="center"/>
    </xf>
    <xf numFmtId="0" fontId="95" fillId="0" borderId="0" xfId="3" applyFont="1" applyAlignment="1">
      <alignment horizontal="center" vertical="center"/>
    </xf>
    <xf numFmtId="0" fontId="65" fillId="0" borderId="0" xfId="3" applyFont="1" applyAlignment="1">
      <alignment horizontal="center" vertical="center"/>
    </xf>
    <xf numFmtId="0" fontId="31" fillId="2" borderId="0" xfId="3" applyFont="1" applyFill="1" applyAlignment="1">
      <alignment horizontal="center" vertical="center"/>
    </xf>
    <xf numFmtId="2" fontId="31" fillId="0" borderId="0" xfId="3" applyNumberFormat="1" applyFont="1" applyAlignment="1">
      <alignment horizontal="center" vertical="center"/>
    </xf>
    <xf numFmtId="285" fontId="29" fillId="2" borderId="0" xfId="3" applyNumberFormat="1" applyFont="1" applyFill="1" applyAlignment="1">
      <alignment horizontal="center" vertical="center"/>
    </xf>
    <xf numFmtId="284" fontId="29" fillId="2" borderId="0" xfId="3" applyNumberFormat="1" applyFont="1" applyFill="1" applyAlignment="1">
      <alignment horizontal="center" vertical="center"/>
    </xf>
    <xf numFmtId="10" fontId="96" fillId="27" borderId="1" xfId="17" applyNumberFormat="1" applyFont="1" applyFill="1" applyBorder="1" applyAlignment="1">
      <alignment horizontal="center" vertical="center"/>
    </xf>
    <xf numFmtId="0" fontId="97" fillId="2" borderId="0" xfId="3" applyFont="1" applyFill="1" applyAlignment="1">
      <alignment horizontal="left" vertical="center"/>
    </xf>
    <xf numFmtId="288" fontId="29" fillId="0" borderId="0" xfId="3" applyNumberFormat="1" applyFont="1" applyAlignment="1">
      <alignment horizontal="right" vertical="center"/>
    </xf>
    <xf numFmtId="0" fontId="7" fillId="0" borderId="0" xfId="3" applyFont="1" applyAlignment="1">
      <alignment horizontal="left" vertical="center" wrapText="1"/>
    </xf>
    <xf numFmtId="0" fontId="56" fillId="0" borderId="0" xfId="14"/>
    <xf numFmtId="0" fontId="98" fillId="0" borderId="36" xfId="14" applyFont="1" applyBorder="1" applyAlignment="1">
      <alignment horizontal="center" vertical="center"/>
    </xf>
    <xf numFmtId="14" fontId="99" fillId="0" borderId="36" xfId="14" applyNumberFormat="1" applyFont="1" applyBorder="1" applyAlignment="1">
      <alignment horizontal="center" vertical="center" wrapText="1"/>
    </xf>
    <xf numFmtId="49" fontId="99" fillId="0" borderId="36" xfId="14" applyNumberFormat="1" applyFont="1" applyBorder="1" applyAlignment="1">
      <alignment horizontal="center" vertical="center" wrapText="1"/>
    </xf>
    <xf numFmtId="49" fontId="100" fillId="0" borderId="36" xfId="14" applyNumberFormat="1" applyFont="1" applyBorder="1" applyAlignment="1">
      <alignment horizontal="center" vertical="center" wrapText="1"/>
    </xf>
    <xf numFmtId="14" fontId="56" fillId="0" borderId="0" xfId="14" applyNumberFormat="1"/>
    <xf numFmtId="0" fontId="29" fillId="2" borderId="0" xfId="3" applyFont="1" applyFill="1" applyAlignment="1">
      <alignment vertical="center"/>
    </xf>
    <xf numFmtId="0" fontId="30" fillId="0" borderId="0" xfId="3" applyFont="1" applyAlignment="1">
      <alignment horizontal="left" vertical="center"/>
    </xf>
    <xf numFmtId="0" fontId="30" fillId="0" borderId="0" xfId="3" applyFont="1" applyAlignment="1">
      <alignment horizontal="left" vertical="center" wrapText="1"/>
    </xf>
    <xf numFmtId="284" fontId="34" fillId="0" borderId="1" xfId="3" applyNumberFormat="1" applyFont="1" applyBorder="1" applyAlignment="1">
      <alignment horizontal="center" vertical="center"/>
    </xf>
    <xf numFmtId="26" fontId="34" fillId="0" borderId="1" xfId="15" applyNumberFormat="1" applyFont="1" applyBorder="1" applyAlignment="1">
      <alignment horizontal="center" vertical="center"/>
    </xf>
    <xf numFmtId="286" fontId="88" fillId="27" borderId="3" xfId="17" applyNumberFormat="1" applyFont="1" applyFill="1" applyBorder="1" applyAlignment="1">
      <alignment vertical="center"/>
    </xf>
    <xf numFmtId="184" fontId="41" fillId="0" borderId="37" xfId="0" applyNumberFormat="1" applyFont="1" applyBorder="1" applyAlignment="1">
      <alignment horizontal="center"/>
    </xf>
    <xf numFmtId="178" fontId="41" fillId="0" borderId="37" xfId="0" applyNumberFormat="1" applyFont="1" applyBorder="1" applyAlignment="1">
      <alignment horizontal="center"/>
    </xf>
    <xf numFmtId="178" fontId="2" fillId="0" borderId="37" xfId="0" applyNumberFormat="1" applyFont="1" applyBorder="1" applyAlignment="1">
      <alignment horizontal="center"/>
    </xf>
    <xf numFmtId="184" fontId="45" fillId="0" borderId="37" xfId="0" applyNumberFormat="1" applyFont="1" applyBorder="1" applyAlignment="1">
      <alignment horizontal="left"/>
    </xf>
    <xf numFmtId="184" fontId="9" fillId="0" borderId="37" xfId="0" applyNumberFormat="1" applyFont="1" applyBorder="1" applyAlignment="1">
      <alignment horizontal="center"/>
    </xf>
    <xf numFmtId="178" fontId="42" fillId="0" borderId="38" xfId="0" applyNumberFormat="1" applyFont="1" applyBorder="1" applyAlignment="1">
      <alignment horizontal="center"/>
    </xf>
    <xf numFmtId="0" fontId="45" fillId="0" borderId="38" xfId="0" applyFont="1" applyBorder="1" applyAlignment="1"/>
    <xf numFmtId="0" fontId="46" fillId="0" borderId="37" xfId="0" applyFont="1" applyBorder="1" applyAlignment="1"/>
    <xf numFmtId="0" fontId="43" fillId="0" borderId="37" xfId="0" applyFont="1" applyBorder="1" applyAlignment="1"/>
    <xf numFmtId="0" fontId="45" fillId="0" borderId="37" xfId="0" applyFont="1" applyBorder="1" applyAlignment="1"/>
    <xf numFmtId="0" fontId="47" fillId="0" borderId="37" xfId="0" applyFont="1" applyBorder="1" applyAlignment="1"/>
    <xf numFmtId="0" fontId="2" fillId="31" borderId="16" xfId="0" applyFont="1" applyFill="1" applyBorder="1" applyAlignment="1">
      <alignment horizontal="left"/>
    </xf>
    <xf numFmtId="184" fontId="47" fillId="2" borderId="37" xfId="0" applyNumberFormat="1" applyFont="1" applyFill="1" applyBorder="1" applyAlignment="1">
      <alignment horizontal="left"/>
    </xf>
    <xf numFmtId="184" fontId="9" fillId="2" borderId="37" xfId="0" applyNumberFormat="1" applyFont="1" applyFill="1" applyBorder="1" applyAlignment="1">
      <alignment horizontal="left"/>
    </xf>
    <xf numFmtId="0" fontId="48" fillId="0" borderId="37" xfId="0" applyFont="1" applyBorder="1" applyAlignment="1"/>
    <xf numFmtId="178" fontId="42" fillId="0" borderId="37" xfId="0" applyNumberFormat="1" applyFont="1" applyBorder="1" applyAlignment="1">
      <alignment horizontal="center"/>
    </xf>
    <xf numFmtId="0" fontId="49" fillId="0" borderId="37" xfId="0" applyFont="1" applyBorder="1" applyAlignment="1"/>
    <xf numFmtId="0" fontId="50" fillId="0" borderId="37" xfId="0" applyFont="1" applyBorder="1" applyAlignment="1"/>
    <xf numFmtId="178" fontId="43" fillId="0" borderId="39" xfId="0" applyNumberFormat="1" applyFont="1" applyBorder="1" applyAlignment="1">
      <alignment horizontal="center"/>
    </xf>
    <xf numFmtId="178" fontId="2" fillId="0" borderId="40" xfId="0" applyNumberFormat="1" applyFont="1" applyBorder="1" applyAlignment="1">
      <alignment horizontal="center"/>
    </xf>
    <xf numFmtId="178" fontId="42" fillId="5" borderId="40" xfId="0" applyNumberFormat="1" applyFont="1" applyFill="1" applyBorder="1" applyAlignment="1">
      <alignment horizontal="center"/>
    </xf>
    <xf numFmtId="0" fontId="44" fillId="0" borderId="37" xfId="0" applyFont="1" applyBorder="1" applyAlignment="1"/>
    <xf numFmtId="0" fontId="46" fillId="0" borderId="38" xfId="0" applyFont="1" applyBorder="1" applyAlignment="1"/>
    <xf numFmtId="0" fontId="48" fillId="0" borderId="38" xfId="0" applyFont="1" applyBorder="1" applyAlignment="1"/>
    <xf numFmtId="0" fontId="48" fillId="2" borderId="37" xfId="0" applyFont="1" applyFill="1" applyBorder="1" applyAlignment="1"/>
    <xf numFmtId="0" fontId="2" fillId="2" borderId="41" xfId="0" applyFont="1" applyFill="1" applyBorder="1" applyAlignment="1">
      <alignment horizontal="left"/>
    </xf>
    <xf numFmtId="0" fontId="46" fillId="0" borderId="37" xfId="0" applyFont="1" applyBorder="1" applyAlignment="1">
      <alignment horizontal="center"/>
    </xf>
    <xf numFmtId="178" fontId="42" fillId="0" borderId="40" xfId="0" applyNumberFormat="1" applyFont="1" applyBorder="1" applyAlignment="1">
      <alignment horizontal="center"/>
    </xf>
    <xf numFmtId="0" fontId="46" fillId="0" borderId="37" xfId="0" applyFont="1" applyBorder="1" applyAlignment="1">
      <alignment horizontal="center" vertical="center"/>
    </xf>
    <xf numFmtId="0" fontId="45" fillId="0" borderId="37" xfId="0" applyFont="1" applyBorder="1">
      <alignment vertical="center"/>
    </xf>
    <xf numFmtId="0" fontId="2" fillId="0" borderId="42" xfId="0" applyFont="1" applyBorder="1" applyAlignment="1">
      <alignment horizontal="left"/>
    </xf>
    <xf numFmtId="0" fontId="45" fillId="0" borderId="42" xfId="0" applyFont="1" applyBorder="1" applyAlignment="1">
      <alignment horizontal="left"/>
    </xf>
    <xf numFmtId="0" fontId="43" fillId="0" borderId="43" xfId="0" applyFont="1" applyBorder="1" applyAlignment="1">
      <alignment horizontal="left"/>
    </xf>
    <xf numFmtId="0" fontId="2" fillId="0" borderId="44" xfId="0" applyFont="1" applyBorder="1" applyAlignment="1">
      <alignment horizontal="left"/>
    </xf>
    <xf numFmtId="0" fontId="2" fillId="0" borderId="45" xfId="0" applyFont="1" applyBorder="1" applyAlignment="1">
      <alignment horizontal="left"/>
    </xf>
    <xf numFmtId="183" fontId="74" fillId="13" borderId="0" xfId="0" applyNumberFormat="1" applyFont="1" applyFill="1" applyAlignment="1">
      <alignment horizontal="center" vertical="center"/>
    </xf>
    <xf numFmtId="0" fontId="62" fillId="13" borderId="0" xfId="0" applyFont="1" applyFill="1" applyAlignment="1">
      <alignment vertical="center" wrapText="1"/>
    </xf>
    <xf numFmtId="0" fontId="122" fillId="0" borderId="0" xfId="0" applyFont="1" applyAlignment="1" applyProtection="1">
      <alignment horizontal="center" vertical="center" wrapText="1"/>
      <protection locked="0"/>
    </xf>
    <xf numFmtId="0" fontId="122" fillId="0" borderId="0" xfId="0" applyFont="1">
      <alignment vertical="center"/>
    </xf>
    <xf numFmtId="0" fontId="122" fillId="2" borderId="1" xfId="0" applyFont="1" applyFill="1" applyBorder="1" applyAlignment="1">
      <alignment horizontal="center" vertical="center" wrapText="1"/>
    </xf>
    <xf numFmtId="208" fontId="122" fillId="2" borderId="1" xfId="0" applyNumberFormat="1" applyFont="1" applyFill="1" applyBorder="1" applyAlignment="1">
      <alignment horizontal="center" vertical="center"/>
    </xf>
    <xf numFmtId="182" fontId="0" fillId="32" borderId="1" xfId="0" applyNumberFormat="1" applyFill="1" applyBorder="1" applyAlignment="1">
      <alignment horizontal="center" vertical="center"/>
    </xf>
    <xf numFmtId="0" fontId="122" fillId="6" borderId="1" xfId="0" applyFont="1" applyFill="1" applyBorder="1">
      <alignment vertical="center"/>
    </xf>
    <xf numFmtId="0" fontId="122" fillId="0" borderId="1" xfId="0" applyFont="1" applyBorder="1" applyAlignment="1">
      <alignment horizontal="center" vertical="center"/>
    </xf>
    <xf numFmtId="0" fontId="122" fillId="0" borderId="1" xfId="0" applyFont="1" applyBorder="1">
      <alignment vertical="center"/>
    </xf>
    <xf numFmtId="0" fontId="122" fillId="2" borderId="1" xfId="0" applyFont="1" applyFill="1" applyBorder="1" applyAlignment="1">
      <alignment horizontal="center" vertical="center"/>
    </xf>
    <xf numFmtId="0" fontId="122" fillId="13" borderId="0" xfId="0" applyFont="1" applyFill="1">
      <alignment vertical="center"/>
    </xf>
    <xf numFmtId="0" fontId="122" fillId="0" borderId="0" xfId="0" applyFont="1" applyAlignment="1">
      <alignment horizontal="center" vertical="center"/>
    </xf>
    <xf numFmtId="0" fontId="122" fillId="13" borderId="0" xfId="0" applyFont="1" applyFill="1" applyAlignment="1">
      <alignment horizontal="center" vertical="center"/>
    </xf>
    <xf numFmtId="0" fontId="83" fillId="0" borderId="0" xfId="3" applyFont="1" applyAlignment="1">
      <alignment horizontal="center" vertical="center" wrapText="1"/>
    </xf>
    <xf numFmtId="178" fontId="2" fillId="2" borderId="37" xfId="0" applyNumberFormat="1" applyFont="1" applyFill="1" applyBorder="1" applyAlignment="1">
      <alignment horizontal="center"/>
    </xf>
    <xf numFmtId="0" fontId="48" fillId="2" borderId="37" xfId="0" applyFont="1" applyFill="1" applyBorder="1" applyAlignment="1">
      <alignment horizontal="center"/>
    </xf>
    <xf numFmtId="178" fontId="2" fillId="2" borderId="1" xfId="0" applyNumberFormat="1" applyFont="1" applyFill="1" applyBorder="1" applyAlignment="1">
      <alignment horizontal="center"/>
    </xf>
    <xf numFmtId="0" fontId="46" fillId="2" borderId="37" xfId="0" applyFont="1" applyFill="1" applyBorder="1" applyAlignment="1">
      <alignment horizontal="center"/>
    </xf>
    <xf numFmtId="0" fontId="122" fillId="0" borderId="0" xfId="0" applyFont="1" applyAlignment="1"/>
    <xf numFmtId="0" fontId="11" fillId="0" borderId="2" xfId="0" applyFont="1" applyBorder="1" applyAlignment="1">
      <alignment horizontal="center" vertical="center"/>
    </xf>
    <xf numFmtId="14" fontId="41" fillId="0" borderId="1" xfId="0" applyNumberFormat="1" applyFont="1" applyBorder="1" applyAlignment="1">
      <alignment horizontal="center"/>
    </xf>
    <xf numFmtId="0" fontId="29" fillId="9" borderId="0" xfId="3" applyFont="1" applyFill="1" applyAlignment="1">
      <alignment horizontal="center" vertical="center"/>
    </xf>
    <xf numFmtId="0" fontId="29" fillId="2" borderId="0" xfId="3" applyFont="1" applyFill="1" applyAlignment="1">
      <alignment horizontal="center" vertical="center"/>
    </xf>
    <xf numFmtId="0" fontId="36" fillId="0" borderId="15" xfId="3" applyFont="1" applyBorder="1" applyAlignment="1">
      <alignment horizontal="center" vertical="center"/>
    </xf>
    <xf numFmtId="0" fontId="72" fillId="0" borderId="0" xfId="2" applyAlignment="1">
      <alignment horizontal="left" vertical="center"/>
    </xf>
    <xf numFmtId="0" fontId="81" fillId="0" borderId="0" xfId="3" applyFont="1" applyAlignment="1">
      <alignment horizontal="left" vertical="center" wrapText="1"/>
    </xf>
    <xf numFmtId="0" fontId="57" fillId="0" borderId="0" xfId="14" applyFont="1" applyAlignment="1">
      <alignment horizontal="left" vertical="center" wrapText="1"/>
    </xf>
    <xf numFmtId="0" fontId="56" fillId="0" borderId="0" xfId="14"/>
    <xf numFmtId="0" fontId="36" fillId="0" borderId="15" xfId="4" applyFont="1" applyBorder="1" applyAlignment="1">
      <alignment horizontal="center" vertical="center"/>
    </xf>
    <xf numFmtId="0" fontId="65" fillId="0" borderId="0" xfId="3" applyFont="1" applyAlignment="1">
      <alignment horizontal="left" vertical="top" wrapText="1"/>
    </xf>
    <xf numFmtId="0" fontId="35" fillId="0" borderId="15" xfId="3" applyFont="1" applyBorder="1" applyAlignment="1">
      <alignment horizontal="center" vertical="center"/>
    </xf>
    <xf numFmtId="0" fontId="0" fillId="0" borderId="0" xfId="0" applyAlignment="1">
      <alignment horizontal="left" vertical="center"/>
    </xf>
    <xf numFmtId="0" fontId="0" fillId="26" borderId="0" xfId="0" applyFill="1" applyAlignment="1">
      <alignment horizontal="center" vertical="center"/>
    </xf>
    <xf numFmtId="0" fontId="81" fillId="2" borderId="17" xfId="3" applyFont="1" applyFill="1" applyBorder="1" applyAlignment="1">
      <alignment horizontal="left" vertical="center" wrapText="1"/>
    </xf>
    <xf numFmtId="0" fontId="81" fillId="2" borderId="34" xfId="3" applyFont="1" applyFill="1" applyBorder="1" applyAlignment="1">
      <alignment horizontal="left" vertical="center" wrapText="1"/>
    </xf>
    <xf numFmtId="0" fontId="81" fillId="2" borderId="18" xfId="3" applyFont="1" applyFill="1" applyBorder="1" applyAlignment="1">
      <alignment horizontal="left" vertical="center" wrapText="1"/>
    </xf>
    <xf numFmtId="0" fontId="81" fillId="2" borderId="5" xfId="3" applyFont="1" applyFill="1" applyBorder="1" applyAlignment="1">
      <alignment horizontal="left" vertical="center" wrapText="1"/>
    </xf>
    <xf numFmtId="0" fontId="81" fillId="2" borderId="0" xfId="3" applyFont="1" applyFill="1" applyAlignment="1">
      <alignment horizontal="left" vertical="center" wrapText="1"/>
    </xf>
    <xf numFmtId="0" fontId="81" fillId="2" borderId="6" xfId="3" applyFont="1" applyFill="1" applyBorder="1" applyAlignment="1">
      <alignment horizontal="left" vertical="center" wrapText="1"/>
    </xf>
    <xf numFmtId="0" fontId="81" fillId="2" borderId="19" xfId="3" applyFont="1" applyFill="1" applyBorder="1" applyAlignment="1">
      <alignment horizontal="left" vertical="center" wrapText="1"/>
    </xf>
    <xf numFmtId="0" fontId="81" fillId="2" borderId="15" xfId="3" applyFont="1" applyFill="1" applyBorder="1" applyAlignment="1">
      <alignment horizontal="left" vertical="center" wrapText="1"/>
    </xf>
    <xf numFmtId="0" fontId="81" fillId="2" borderId="20" xfId="3" applyFont="1" applyFill="1" applyBorder="1" applyAlignment="1">
      <alignment horizontal="left" vertical="center" wrapText="1"/>
    </xf>
    <xf numFmtId="0" fontId="62" fillId="5" borderId="2" xfId="0" applyFont="1" applyFill="1" applyBorder="1" applyAlignment="1">
      <alignment horizontal="center" vertical="center" wrapText="1"/>
    </xf>
    <xf numFmtId="0" fontId="62" fillId="5" borderId="4" xfId="0" applyFont="1" applyFill="1" applyBorder="1" applyAlignment="1">
      <alignment horizontal="center" vertical="center" wrapText="1"/>
    </xf>
    <xf numFmtId="0" fontId="62" fillId="0" borderId="2" xfId="0" applyFont="1" applyBorder="1" applyAlignment="1">
      <alignment horizontal="center" vertical="center" wrapText="1"/>
    </xf>
    <xf numFmtId="0" fontId="62" fillId="0" borderId="4" xfId="0" applyFont="1" applyBorder="1" applyAlignment="1">
      <alignment horizontal="center" vertical="center" wrapText="1"/>
    </xf>
    <xf numFmtId="0" fontId="62" fillId="0" borderId="1" xfId="0" applyFont="1" applyBorder="1" applyAlignment="1">
      <alignment horizontal="center" vertical="center" wrapText="1"/>
    </xf>
    <xf numFmtId="183" fontId="0" fillId="0" borderId="0" xfId="0" applyNumberFormat="1" applyAlignment="1">
      <alignment horizontal="center" vertical="center"/>
    </xf>
    <xf numFmtId="0" fontId="0" fillId="16" borderId="0" xfId="0" applyFill="1" applyAlignment="1">
      <alignment horizontal="center" vertical="center"/>
    </xf>
    <xf numFmtId="0" fontId="80" fillId="0" borderId="0" xfId="0" applyFont="1" applyAlignment="1">
      <alignment horizontal="left" vertical="center"/>
    </xf>
    <xf numFmtId="0" fontId="0" fillId="0" borderId="0" xfId="0" applyAlignment="1">
      <alignment horizontal="center"/>
    </xf>
    <xf numFmtId="0" fontId="122" fillId="0" borderId="1" xfId="7" applyBorder="1" applyAlignment="1">
      <alignment horizontal="center" vertical="center"/>
    </xf>
    <xf numFmtId="0" fontId="49" fillId="2" borderId="0" xfId="0" applyFont="1" applyFill="1" applyAlignment="1">
      <alignment horizontal="center"/>
    </xf>
    <xf numFmtId="0" fontId="42" fillId="0" borderId="0" xfId="0" applyFont="1" applyAlignment="1">
      <alignment horizontal="left"/>
    </xf>
    <xf numFmtId="0" fontId="3" fillId="0" borderId="0" xfId="0" applyFont="1" applyAlignment="1">
      <alignment horizontal="left" vertical="center"/>
    </xf>
    <xf numFmtId="0" fontId="13" fillId="0" borderId="0" xfId="0" applyFont="1" applyAlignment="1">
      <alignment horizontal="left"/>
    </xf>
    <xf numFmtId="0" fontId="3" fillId="0" borderId="0" xfId="0" applyFont="1" applyAlignment="1">
      <alignment horizontal="left"/>
    </xf>
    <xf numFmtId="0" fontId="42" fillId="2" borderId="17" xfId="0" applyFont="1" applyFill="1" applyBorder="1" applyAlignment="1">
      <alignment horizontal="left" vertical="center" wrapText="1"/>
    </xf>
    <xf numFmtId="0" fontId="42" fillId="2" borderId="18" xfId="0" applyFont="1" applyFill="1" applyBorder="1" applyAlignment="1">
      <alignment horizontal="left" vertical="center" wrapText="1"/>
    </xf>
    <xf numFmtId="0" fontId="42" fillId="2" borderId="5" xfId="0" applyFont="1" applyFill="1" applyBorder="1" applyAlignment="1">
      <alignment horizontal="left" vertical="center" wrapText="1"/>
    </xf>
    <xf numFmtId="0" fontId="42" fillId="2" borderId="6" xfId="0" applyFont="1" applyFill="1" applyBorder="1" applyAlignment="1">
      <alignment horizontal="left" vertical="center" wrapText="1"/>
    </xf>
    <xf numFmtId="0" fontId="42" fillId="2" borderId="19" xfId="0" applyFont="1" applyFill="1" applyBorder="1" applyAlignment="1">
      <alignment horizontal="left" vertical="center" wrapText="1"/>
    </xf>
    <xf numFmtId="0" fontId="42" fillId="2" borderId="20" xfId="0" applyFont="1" applyFill="1" applyBorder="1" applyAlignment="1">
      <alignment horizontal="left" vertical="center" wrapText="1"/>
    </xf>
    <xf numFmtId="0" fontId="48" fillId="0" borderId="0" xfId="0" applyFont="1" applyAlignment="1">
      <alignment horizontal="left" vertical="center" wrapText="1"/>
    </xf>
    <xf numFmtId="0" fontId="51" fillId="2" borderId="0" xfId="0" applyFont="1" applyFill="1" applyAlignment="1">
      <alignment horizontal="center" vertical="center" wrapText="1"/>
    </xf>
    <xf numFmtId="0" fontId="52" fillId="2" borderId="0" xfId="0" applyFont="1" applyFill="1" applyAlignment="1">
      <alignment horizontal="center" vertical="center" wrapText="1"/>
    </xf>
    <xf numFmtId="0" fontId="58" fillId="0" borderId="0" xfId="0" applyFont="1" applyAlignment="1">
      <alignment horizontal="left" vertical="center"/>
    </xf>
    <xf numFmtId="0" fontId="57" fillId="0" borderId="0" xfId="0" applyFont="1" applyAlignment="1">
      <alignment horizontal="left"/>
    </xf>
    <xf numFmtId="0" fontId="56" fillId="0" borderId="0" xfId="0" applyFont="1" applyAlignment="1">
      <alignment horizontal="left"/>
    </xf>
    <xf numFmtId="0" fontId="3" fillId="0" borderId="0" xfId="0" applyFont="1">
      <alignment vertical="center"/>
    </xf>
    <xf numFmtId="0" fontId="42" fillId="0" borderId="0" xfId="0" applyFont="1" applyAlignment="1">
      <alignment horizontal="center"/>
    </xf>
    <xf numFmtId="0" fontId="44" fillId="0" borderId="0" xfId="0" applyFont="1" applyAlignment="1">
      <alignment horizontal="left"/>
    </xf>
    <xf numFmtId="0" fontId="53" fillId="0" borderId="0" xfId="0" applyFont="1" applyAlignment="1">
      <alignment horizontal="left"/>
    </xf>
    <xf numFmtId="0" fontId="54" fillId="0" borderId="0" xfId="0" applyFont="1" applyAlignment="1">
      <alignment horizontal="left"/>
    </xf>
    <xf numFmtId="0" fontId="55" fillId="0" borderId="0" xfId="0" applyFont="1" applyAlignment="1">
      <alignment horizontal="left"/>
    </xf>
    <xf numFmtId="0" fontId="39" fillId="6" borderId="6" xfId="3" applyFont="1" applyFill="1" applyBorder="1" applyAlignment="1">
      <alignment horizontal="center" vertical="center" wrapText="1"/>
    </xf>
    <xf numFmtId="0" fontId="40" fillId="6" borderId="6" xfId="3" applyFont="1" applyFill="1" applyBorder="1" applyAlignment="1">
      <alignment horizontal="center" vertical="center" wrapText="1"/>
    </xf>
    <xf numFmtId="0" fontId="7" fillId="6" borderId="11" xfId="3" applyFont="1" applyFill="1" applyBorder="1" applyAlignment="1">
      <alignment horizontal="center" vertical="center"/>
    </xf>
    <xf numFmtId="0" fontId="29" fillId="6" borderId="1" xfId="3" applyFont="1" applyFill="1" applyBorder="1" applyAlignment="1">
      <alignment horizontal="center" vertical="center"/>
    </xf>
    <xf numFmtId="0" fontId="32" fillId="5" borderId="5" xfId="3" applyFont="1" applyFill="1" applyBorder="1" applyAlignment="1">
      <alignment horizontal="center" vertical="center"/>
    </xf>
    <xf numFmtId="0" fontId="33" fillId="5" borderId="0" xfId="3" applyFont="1" applyFill="1" applyAlignment="1">
      <alignment horizontal="center" vertical="center"/>
    </xf>
    <xf numFmtId="0" fontId="4" fillId="0" borderId="12" xfId="0" applyFont="1" applyBorder="1" applyAlignment="1">
      <alignment horizontal="center" vertical="center"/>
    </xf>
    <xf numFmtId="0" fontId="6" fillId="0" borderId="7" xfId="0" applyFont="1" applyBorder="1" applyAlignment="1">
      <alignment horizontal="center" vertical="center"/>
    </xf>
    <xf numFmtId="0" fontId="6" fillId="0" borderId="11" xfId="0" applyFont="1" applyBorder="1" applyAlignment="1">
      <alignment horizontal="center" vertical="center"/>
    </xf>
    <xf numFmtId="0" fontId="21" fillId="0" borderId="12" xfId="0" applyFont="1" applyBorder="1" applyAlignment="1">
      <alignment horizontal="center" vertical="center"/>
    </xf>
    <xf numFmtId="0" fontId="19" fillId="0" borderId="1" xfId="0" applyFont="1" applyBorder="1" applyAlignment="1">
      <alignment horizontal="left" vertical="center"/>
    </xf>
    <xf numFmtId="0" fontId="12" fillId="0" borderId="1" xfId="0" applyFont="1" applyBorder="1" applyAlignment="1">
      <alignment horizontal="left" vertical="center"/>
    </xf>
    <xf numFmtId="0" fontId="20" fillId="0" borderId="1" xfId="0" applyFont="1" applyBorder="1" applyAlignment="1">
      <alignment horizontal="left" vertical="center"/>
    </xf>
    <xf numFmtId="0" fontId="16" fillId="0" borderId="2" xfId="0" applyFont="1" applyBorder="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2" fillId="0" borderId="5" xfId="0" applyFont="1" applyBorder="1" applyAlignment="1">
      <alignment horizontal="center" vertical="center"/>
    </xf>
    <xf numFmtId="0" fontId="12" fillId="0" borderId="0" xfId="0" applyFont="1" applyAlignment="1">
      <alignment horizontal="center" vertical="center"/>
    </xf>
    <xf numFmtId="0" fontId="12" fillId="0" borderId="6" xfId="0" applyFont="1" applyBorder="1" applyAlignment="1">
      <alignment horizontal="center" vertical="center"/>
    </xf>
    <xf numFmtId="0" fontId="15" fillId="2" borderId="46" xfId="0" applyFont="1" applyFill="1" applyBorder="1" applyAlignment="1">
      <alignment horizontal="left" vertical="center" wrapText="1"/>
    </xf>
    <xf numFmtId="0" fontId="15" fillId="2" borderId="11" xfId="0" applyFont="1" applyFill="1" applyBorder="1" applyAlignment="1">
      <alignment horizontal="left" vertical="center" wrapText="1"/>
    </xf>
    <xf numFmtId="0" fontId="10" fillId="0" borderId="2" xfId="0" applyFont="1" applyBorder="1" applyAlignment="1">
      <alignment horizontal="center" vertic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9" fillId="0" borderId="0" xfId="12" applyFont="1" applyAlignment="1">
      <alignment horizontal="left" vertical="center"/>
    </xf>
    <xf numFmtId="0" fontId="6" fillId="0" borderId="0" xfId="12" applyFont="1" applyAlignment="1">
      <alignment horizontal="center" vertical="center"/>
    </xf>
    <xf numFmtId="0" fontId="7" fillId="2" borderId="0" xfId="12" applyFont="1" applyFill="1" applyAlignment="1">
      <alignment horizontal="left" vertical="center"/>
    </xf>
    <xf numFmtId="0" fontId="4" fillId="0" borderId="1" xfId="12" applyFont="1" applyBorder="1" applyAlignment="1">
      <alignment horizontal="center" vertical="center"/>
    </xf>
    <xf numFmtId="0" fontId="6" fillId="0" borderId="1" xfId="12" applyFont="1" applyBorder="1" applyAlignment="1">
      <alignment horizontal="center" vertical="center"/>
    </xf>
  </cellXfs>
  <cellStyles count="19">
    <cellStyle name="百分比" xfId="1" builtinId="5"/>
    <cellStyle name="常规" xfId="0" builtinId="0"/>
    <cellStyle name="常规 2" xfId="3" xr:uid="{00000000-0005-0000-0000-000031000000}"/>
    <cellStyle name="常规 2 2" xfId="4" xr:uid="{00000000-0005-0000-0000-000032000000}"/>
    <cellStyle name="常规 3" xfId="5" xr:uid="{00000000-0005-0000-0000-000033000000}"/>
    <cellStyle name="常规 3 2" xfId="6" xr:uid="{00000000-0005-0000-0000-000034000000}"/>
    <cellStyle name="常规 4" xfId="7" xr:uid="{00000000-0005-0000-0000-000035000000}"/>
    <cellStyle name="常规 5" xfId="8" xr:uid="{00000000-0005-0000-0000-000036000000}"/>
    <cellStyle name="常规 5 2" xfId="9" xr:uid="{00000000-0005-0000-0000-000037000000}"/>
    <cellStyle name="常规 6" xfId="10" xr:uid="{00000000-0005-0000-0000-000038000000}"/>
    <cellStyle name="常规 6 2" xfId="11" xr:uid="{00000000-0005-0000-0000-000039000000}"/>
    <cellStyle name="常规 7" xfId="12" xr:uid="{00000000-0005-0000-0000-00003A000000}"/>
    <cellStyle name="常规 8" xfId="13" xr:uid="{00000000-0005-0000-0000-00003B000000}"/>
    <cellStyle name="常规 9" xfId="14" xr:uid="{00000000-0005-0000-0000-00003C000000}"/>
    <cellStyle name="常规_Sheet1" xfId="15" xr:uid="{00000000-0005-0000-0000-00003D000000}"/>
    <cellStyle name="超链接" xfId="2" builtinId="8"/>
    <cellStyle name="好 2" xfId="16" xr:uid="{00000000-0005-0000-0000-00003E000000}"/>
    <cellStyle name="千位分隔 2" xfId="17" xr:uid="{00000000-0005-0000-0000-00003F000000}"/>
    <cellStyle name="千位分隔 2 2" xfId="18" xr:uid="{00000000-0005-0000-0000-000040000000}"/>
  </cellStyles>
  <dxfs count="325">
    <dxf>
      <font>
        <color theme="3" tint="0.79992065187536243"/>
      </font>
      <fill>
        <patternFill patternType="solid">
          <bgColor theme="3" tint="0.79992065187536243"/>
        </patternFill>
      </fill>
    </dxf>
    <dxf>
      <font>
        <color theme="3" tint="0.79992065187536243"/>
      </font>
      <fill>
        <patternFill patternType="solid">
          <bgColor theme="3" tint="0.79992065187536243"/>
        </patternFill>
      </fill>
    </dxf>
    <dxf>
      <font>
        <color theme="3" tint="0.79992065187536243"/>
      </font>
      <fill>
        <patternFill patternType="solid">
          <bgColor theme="3" tint="0.79992065187536243"/>
        </patternFill>
      </fill>
    </dxf>
    <dxf>
      <font>
        <color theme="3" tint="0.79992065187536243"/>
      </font>
      <fill>
        <patternFill patternType="solid">
          <bgColor theme="3" tint="0.79992065187536243"/>
        </patternFill>
      </fill>
    </dxf>
    <dxf>
      <font>
        <b val="0"/>
        <i val="0"/>
        <strike val="0"/>
        <u val="none"/>
        <sz val="11"/>
        <color theme="1"/>
        <name val="Times New Roman"/>
        <family val="1"/>
        <scheme val="none"/>
      </font>
      <numFmt numFmtId="181" formatCode="[$-F400]h:mm:ss\ AM/PM"/>
      <alignment horizontal="center" vertical="center"/>
    </dxf>
    <dxf>
      <font>
        <b val="0"/>
        <i val="0"/>
        <strike val="0"/>
        <u val="none"/>
        <sz val="11"/>
        <color theme="1"/>
        <name val="Times New Roman"/>
        <family val="1"/>
        <scheme val="none"/>
      </font>
      <numFmt numFmtId="19" formatCode="yyyy/m/d"/>
      <alignment horizontal="center" vertical="center"/>
    </dxf>
    <dxf>
      <numFmt numFmtId="0" formatCode="General"/>
      <alignment horizontal="center" vertical="center"/>
    </dxf>
    <dxf>
      <numFmt numFmtId="0" formatCode="General"/>
      <alignment horizontal="center" vertical="center"/>
    </dxf>
    <dxf>
      <numFmt numFmtId="0" formatCode="General"/>
      <alignment horizontal="center" vertical="center"/>
    </dxf>
    <dxf>
      <numFmt numFmtId="0" formatCode="General"/>
      <alignment horizontal="center" vertical="center"/>
    </dxf>
    <dxf>
      <numFmt numFmtId="0" formatCode="General"/>
      <alignment horizontal="center" vertical="center"/>
    </dxf>
    <dxf>
      <font>
        <b val="0"/>
        <i val="0"/>
        <strike val="0"/>
        <u val="none"/>
        <sz val="11"/>
        <color theme="1"/>
        <name val="Times New Roman"/>
        <family val="1"/>
        <scheme val="none"/>
      </font>
      <alignment horizontal="center" vertical="center"/>
    </dxf>
    <dxf>
      <font>
        <color theme="3" tint="0.79992065187536243"/>
      </font>
      <fill>
        <patternFill patternType="solid">
          <bgColor theme="3" tint="0.79992065187536243"/>
        </patternFill>
      </fill>
    </dxf>
    <dxf>
      <fill>
        <patternFill patternType="solid">
          <bgColor rgb="FFFFFF00"/>
        </patternFill>
      </fill>
    </dxf>
    <dxf>
      <fill>
        <patternFill patternType="solid">
          <bgColor rgb="FFFFFF00"/>
        </patternFill>
      </fill>
    </dxf>
    <dxf>
      <font>
        <color theme="0"/>
      </font>
    </dxf>
    <dxf>
      <numFmt numFmtId="285" formatCode="\¥#,##0.00;\¥\-#,##0.00"/>
    </dxf>
    <dxf>
      <numFmt numFmtId="284" formatCode="\$#,##0.00;\-\$#,##0.00"/>
    </dxf>
    <dxf>
      <numFmt numFmtId="208" formatCode="\W0"/>
    </dxf>
    <dxf>
      <numFmt numFmtId="209" formatCode="&quot;H&quot;0"/>
    </dxf>
    <dxf>
      <numFmt numFmtId="209" formatCode="&quot;H&quot;0"/>
    </dxf>
    <dxf>
      <font>
        <color theme="0"/>
      </font>
    </dxf>
    <dxf>
      <font>
        <color theme="0"/>
      </font>
    </dxf>
    <dxf>
      <fill>
        <patternFill patternType="solid">
          <bgColor rgb="FFFFFF00"/>
        </patternFill>
      </fill>
    </dxf>
    <dxf>
      <fill>
        <patternFill patternType="solid">
          <bgColor rgb="FFFFFF00"/>
        </patternFill>
      </fill>
    </dxf>
    <dxf>
      <font>
        <color theme="3" tint="0.79992065187536243"/>
      </font>
      <fill>
        <patternFill patternType="solid">
          <bgColor theme="3" tint="0.79992065187536243"/>
        </patternFill>
      </fill>
    </dxf>
    <dxf>
      <font>
        <color theme="3" tint="0.79992065187536243"/>
      </font>
      <fill>
        <patternFill patternType="solid">
          <bgColor theme="3" tint="0.79992065187536243"/>
        </patternFill>
      </fill>
    </dxf>
    <dxf>
      <fill>
        <patternFill>
          <bgColor rgb="FFFF0000"/>
        </patternFill>
      </fill>
    </dxf>
    <dxf>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theme="0"/>
      </font>
    </dxf>
    <dxf>
      <font>
        <color theme="0"/>
      </font>
    </dxf>
    <dxf>
      <font>
        <color theme="0"/>
      </font>
    </dxf>
    <dxf>
      <font>
        <color theme="0"/>
      </font>
    </dxf>
    <dxf>
      <font>
        <color theme="0"/>
      </font>
    </dxf>
    <dxf>
      <font>
        <color theme="0"/>
      </font>
    </dxf>
    <dxf>
      <fill>
        <patternFill patternType="solid">
          <bgColor rgb="FFFF0000"/>
        </patternFill>
      </fill>
    </dxf>
    <dxf>
      <fill>
        <patternFill patternType="solid">
          <bgColor rgb="FFFF0000"/>
        </patternFill>
      </fill>
    </dxf>
    <dxf>
      <font>
        <color theme="0"/>
      </font>
    </dxf>
    <dxf>
      <font>
        <color theme="0"/>
      </font>
    </dxf>
    <dxf>
      <font>
        <color theme="0"/>
      </font>
    </dxf>
    <dxf>
      <font>
        <color theme="0"/>
      </font>
    </dxf>
    <dxf>
      <fill>
        <patternFill patternType="solid">
          <bgColor rgb="FFFF0000"/>
        </patternFill>
      </fill>
    </dxf>
    <dxf>
      <fill>
        <patternFill patternType="solid">
          <bgColor rgb="FFFF0000"/>
        </patternFill>
      </fill>
    </dxf>
    <dxf>
      <font>
        <color theme="0"/>
      </font>
    </dxf>
    <dxf>
      <font>
        <color theme="0"/>
      </font>
    </dxf>
    <dxf>
      <font>
        <color theme="0"/>
      </font>
    </dxf>
    <dxf>
      <font>
        <color theme="0"/>
      </font>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theme="0"/>
      </font>
    </dxf>
    <dxf>
      <font>
        <color theme="0"/>
      </font>
    </dxf>
    <dxf>
      <font>
        <color theme="0"/>
      </font>
    </dxf>
    <dxf>
      <font>
        <color theme="0"/>
      </font>
    </dxf>
    <dxf>
      <font>
        <color theme="0"/>
      </font>
    </dxf>
    <dxf>
      <font>
        <color theme="0"/>
      </font>
    </dxf>
    <dxf>
      <font>
        <color theme="0"/>
      </font>
    </dxf>
    <dxf>
      <font>
        <color theme="3" tint="0.79992065187536243"/>
      </font>
      <fill>
        <patternFill patternType="solid">
          <bgColor theme="3" tint="0.79992065187536243"/>
        </patternFill>
      </fill>
    </dxf>
    <dxf>
      <font>
        <color theme="3" tint="0.79992065187536243"/>
      </font>
      <fill>
        <patternFill patternType="solid">
          <bgColor theme="3" tint="0.79992065187536243"/>
        </patternFill>
      </fill>
    </dxf>
    <dxf>
      <font>
        <color theme="3" tint="0.79992065187536243"/>
      </font>
      <fill>
        <patternFill patternType="solid">
          <bgColor theme="3" tint="0.79992065187536243"/>
        </patternFill>
      </fill>
    </dxf>
    <dxf>
      <font>
        <color theme="3" tint="0.79992065187536243"/>
      </font>
      <fill>
        <patternFill patternType="solid">
          <bgColor theme="3" tint="0.79992065187536243"/>
        </patternFill>
      </fill>
    </dxf>
    <dxf>
      <font>
        <color theme="3" tint="0.79992065187536243"/>
      </font>
      <numFmt numFmtId="0" formatCode="General"/>
      <fill>
        <patternFill patternType="solid">
          <fgColor theme="3" tint="0.79992065187536243"/>
          <bgColor theme="3" tint="0.79992065187536243"/>
        </patternFill>
      </fill>
    </dxf>
    <dxf>
      <font>
        <color theme="3" tint="0.79992065187536243"/>
      </font>
      <fill>
        <patternFill patternType="solid">
          <bgColor theme="3" tint="0.79992065187536243"/>
        </patternFill>
      </fill>
    </dxf>
    <dxf>
      <font>
        <color theme="3" tint="0.79992065187536243"/>
      </font>
      <numFmt numFmtId="0" formatCode="General"/>
      <fill>
        <patternFill patternType="solid">
          <fgColor theme="3" tint="0.79992065187536243"/>
          <bgColor theme="3" tint="0.79992065187536243"/>
        </patternFill>
      </fill>
    </dxf>
    <dxf>
      <font>
        <color theme="3" tint="0.79992065187536243"/>
      </font>
      <fill>
        <patternFill patternType="solid">
          <bgColor theme="3" tint="0.79992065187536243"/>
        </patternFill>
      </fill>
    </dxf>
    <dxf>
      <font>
        <color theme="3" tint="0.79992065187536243"/>
      </font>
      <numFmt numFmtId="0" formatCode="General"/>
      <fill>
        <patternFill patternType="solid">
          <fgColor theme="3" tint="0.79992065187536243"/>
          <bgColor theme="3" tint="0.79992065187536243"/>
        </patternFill>
      </fill>
    </dxf>
    <dxf>
      <font>
        <color theme="3" tint="0.79992065187536243"/>
      </font>
      <numFmt numFmtId="0" formatCode="General"/>
      <fill>
        <patternFill patternType="solid">
          <fgColor theme="3" tint="0.79992065187536243"/>
          <bgColor theme="3" tint="0.79992065187536243"/>
        </patternFill>
      </fill>
    </dxf>
    <dxf>
      <font>
        <color theme="3" tint="0.79992065187536243"/>
      </font>
      <numFmt numFmtId="0" formatCode="General"/>
      <fill>
        <patternFill patternType="solid">
          <fgColor theme="3" tint="0.79992065187536243"/>
          <bgColor theme="3" tint="0.79992065187536243"/>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0000"/>
        </patternFill>
      </fill>
    </dxf>
    <dxf>
      <fill>
        <patternFill patternType="solid">
          <bgColor rgb="FFFF0000"/>
        </patternFill>
      </fill>
    </dxf>
    <dxf>
      <font>
        <color theme="0" tint="-0.14990691854609822"/>
      </font>
    </dxf>
    <dxf>
      <font>
        <color theme="0" tint="-0.14990691854609822"/>
      </font>
    </dxf>
    <dxf>
      <font>
        <color theme="0"/>
      </font>
    </dxf>
    <dxf>
      <font>
        <color theme="0" tint="-0.14990691854609822"/>
      </font>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theme="0" tint="-0.14990691854609822"/>
      </font>
    </dxf>
    <dxf>
      <font>
        <color theme="0" tint="-0.14990691854609822"/>
      </font>
    </dxf>
    <dxf>
      <font>
        <color rgb="FFFFFF00"/>
      </font>
    </dxf>
    <dxf>
      <font>
        <color theme="0" tint="-0.14990691854609822"/>
      </font>
    </dxf>
    <dxf>
      <font>
        <color theme="0" tint="-0.14990691854609822"/>
      </font>
    </dxf>
    <dxf>
      <font>
        <color rgb="FFFFFF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theme="0"/>
      </font>
    </dxf>
    <dxf>
      <font>
        <color theme="0"/>
      </font>
    </dxf>
    <dxf>
      <font>
        <color theme="0"/>
      </font>
    </dxf>
    <dxf>
      <font>
        <color theme="0"/>
      </font>
    </dxf>
    <dxf>
      <font>
        <color theme="0"/>
      </font>
    </dxf>
    <dxf>
      <font>
        <color theme="0"/>
      </font>
    </dxf>
    <dxf>
      <font>
        <color theme="0" tint="-0.14990691854609822"/>
      </font>
    </dxf>
    <dxf>
      <font>
        <color theme="0" tint="-0.14990691854609822"/>
      </font>
    </dxf>
    <dxf>
      <font>
        <color rgb="FFFFFF00"/>
      </font>
    </dxf>
    <dxf>
      <font>
        <color theme="0"/>
      </font>
    </dxf>
    <dxf>
      <font>
        <color theme="0"/>
      </font>
    </dxf>
    <dxf>
      <font>
        <color theme="0"/>
      </font>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theme="0"/>
      </font>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theme="0"/>
      </font>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theme="0"/>
      </font>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theme="0"/>
      </font>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theme="0"/>
      </font>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theme="0"/>
      </font>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theme="0"/>
      </font>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theme="0"/>
      </font>
    </dxf>
    <dxf>
      <font>
        <color theme="0"/>
      </font>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theme="3" tint="0.79989013336588644"/>
      </font>
      <fill>
        <patternFill patternType="solid">
          <bgColor theme="3" tint="0.79989013336588644"/>
        </patternFill>
      </fill>
    </dxf>
    <dxf>
      <numFmt numFmtId="285" formatCode="\¥#,##0.00;\¥\-#,##0.00"/>
    </dxf>
    <dxf>
      <font>
        <color theme="0"/>
      </font>
    </dxf>
    <dxf>
      <fill>
        <patternFill patternType="solid">
          <bgColor rgb="FFFFFF00"/>
        </patternFill>
      </fill>
    </dxf>
    <dxf>
      <fill>
        <patternFill patternType="solid">
          <bgColor theme="0"/>
        </patternFill>
      </fill>
    </dxf>
    <dxf>
      <font>
        <color theme="3" tint="0.79989013336588644"/>
      </font>
      <fill>
        <patternFill patternType="solid">
          <bgColor theme="3" tint="0.79989013336588644"/>
        </patternFill>
      </fill>
    </dxf>
    <dxf>
      <numFmt numFmtId="208" formatCode="\W0"/>
    </dxf>
    <dxf>
      <numFmt numFmtId="209" formatCode="&quot;H&quot;0"/>
    </dxf>
    <dxf>
      <numFmt numFmtId="209" formatCode="&quot;H&quot;0"/>
    </dxf>
    <dxf>
      <font>
        <color theme="0"/>
      </font>
      <fill>
        <patternFill patternType="solid">
          <bgColor rgb="FFFF0000"/>
        </patternFill>
      </fill>
    </dxf>
    <dxf>
      <numFmt numFmtId="285" formatCode="\¥#,##0.00;\¥\-#,##0.00"/>
    </dxf>
    <dxf>
      <fill>
        <patternFill patternType="solid">
          <bgColor rgb="FFFFFF00"/>
        </patternFill>
      </fill>
    </dxf>
    <dxf>
      <fill>
        <patternFill patternType="solid">
          <bgColor rgb="FFFF0000"/>
        </patternFill>
      </fill>
    </dxf>
    <dxf>
      <font>
        <color theme="3" tint="0.79989013336588644"/>
      </font>
      <fill>
        <patternFill patternType="solid">
          <bgColor theme="3" tint="0.79989013336588644"/>
        </patternFill>
      </fill>
    </dxf>
    <dxf>
      <numFmt numFmtId="284" formatCode="\$#,##0.00;\-\$#,##0.00"/>
    </dxf>
    <dxf>
      <numFmt numFmtId="285" formatCode="\¥#,##0.00;\¥\-#,##0.00"/>
    </dxf>
    <dxf>
      <fill>
        <patternFill patternType="solid">
          <bgColor theme="6" tint="0.39988402966399123"/>
        </patternFill>
      </fill>
    </dxf>
    <dxf>
      <font>
        <color theme="0"/>
      </font>
    </dxf>
    <dxf>
      <fill>
        <patternFill patternType="solid">
          <bgColor rgb="FFFFFF00"/>
        </patternFill>
      </fill>
    </dxf>
    <dxf>
      <fill>
        <patternFill patternType="solid">
          <bgColor rgb="FFFFFF00"/>
        </patternFill>
      </fill>
    </dxf>
    <dxf>
      <fill>
        <patternFill patternType="solid">
          <bgColor theme="0"/>
        </patternFill>
      </fill>
    </dxf>
    <dxf>
      <numFmt numFmtId="285" formatCode="\¥#,##0.00;\¥\-#,##0.00"/>
    </dxf>
    <dxf>
      <numFmt numFmtId="208" formatCode="\W0"/>
    </dxf>
    <dxf>
      <numFmt numFmtId="209" formatCode="&quot;H&quot;0"/>
    </dxf>
    <dxf>
      <numFmt numFmtId="209" formatCode="&quot;H&quot;0"/>
    </dxf>
    <dxf>
      <font>
        <color theme="0"/>
      </font>
      <fill>
        <patternFill patternType="solid">
          <bgColor rgb="FFFF0000"/>
        </patternFill>
      </fill>
    </dxf>
    <dxf>
      <fill>
        <patternFill patternType="solid">
          <bgColor rgb="FFFF00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color auto="1"/>
      </font>
      <fill>
        <patternFill patternType="solid">
          <bgColor rgb="FFFF0000"/>
        </patternFill>
      </fill>
    </dxf>
    <dxf>
      <font>
        <color auto="1"/>
      </font>
      <fill>
        <patternFill patternType="solid">
          <bgColor rgb="FFFF0000"/>
        </patternFill>
      </fill>
    </dxf>
    <dxf>
      <font>
        <color theme="3" tint="0.79989013336588644"/>
      </font>
      <fill>
        <patternFill patternType="solid">
          <bgColor theme="3" tint="0.79989013336588644"/>
        </patternFill>
      </fill>
    </dxf>
    <dxf>
      <numFmt numFmtId="285" formatCode="\¥#,##0.00;\¥\-#,##0.00"/>
    </dxf>
    <dxf>
      <font>
        <color theme="0"/>
      </font>
    </dxf>
    <dxf>
      <fill>
        <patternFill patternType="solid">
          <bgColor rgb="FFFFFF00"/>
        </patternFill>
      </fill>
    </dxf>
    <dxf>
      <fill>
        <patternFill patternType="solid">
          <bgColor rgb="FFFFFF00"/>
        </patternFill>
      </fill>
    </dxf>
    <dxf>
      <fill>
        <patternFill patternType="solid">
          <bgColor theme="0"/>
        </patternFill>
      </fill>
    </dxf>
    <dxf>
      <font>
        <color theme="3" tint="0.79989013336588644"/>
      </font>
      <fill>
        <patternFill patternType="solid">
          <bgColor theme="3" tint="0.79989013336588644"/>
        </patternFill>
      </fill>
    </dxf>
    <dxf>
      <numFmt numFmtId="208" formatCode="\W0"/>
    </dxf>
    <dxf>
      <numFmt numFmtId="209" formatCode="&quot;H&quot;0"/>
    </dxf>
    <dxf>
      <numFmt numFmtId="209" formatCode="&quot;H&quot;0"/>
    </dxf>
    <dxf>
      <fill>
        <patternFill patternType="solid">
          <bgColor rgb="FFFFFF00"/>
        </patternFill>
      </fill>
    </dxf>
    <dxf>
      <font>
        <color theme="0"/>
      </font>
      <fill>
        <patternFill patternType="solid">
          <bgColor rgb="FFFF0000"/>
        </patternFill>
      </fill>
    </dxf>
    <dxf>
      <numFmt numFmtId="285" formatCode="\¥#,##0.00;\¥\-#,##0.00"/>
    </dxf>
    <dxf>
      <fill>
        <patternFill patternType="solid">
          <bgColor rgb="FFFFFF00"/>
        </patternFill>
      </fill>
    </dxf>
    <dxf>
      <fill>
        <patternFill patternType="solid">
          <bgColor rgb="FFFFFF00"/>
        </patternFill>
      </fill>
    </dxf>
  </dxfs>
  <tableStyles count="1" defaultTableStyle="TableStyleMedium9" defaultPivotStyle="PivotStyleLight16">
    <tableStyle name="Invisible" pivot="0" table="0" count="0" xr9:uid="{FCA2F640-019F-4525-80A9-8997AD3A92CA}"/>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sheetMetadata" Target="metadata.xml"/><Relationship Id="rId30" Type="http://schemas.openxmlformats.org/officeDocument/2006/relationships/customXml" Target="../customXml/item2.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Spin" dx="22" fmlaLink="L$7" max="30000" page="10" val="0"/>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emf"/><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0</xdr:col>
      <xdr:colOff>459603</xdr:colOff>
      <xdr:row>0</xdr:row>
      <xdr:rowOff>109765</xdr:rowOff>
    </xdr:from>
    <xdr:to>
      <xdr:col>2</xdr:col>
      <xdr:colOff>1519593</xdr:colOff>
      <xdr:row>4</xdr:row>
      <xdr:rowOff>97227</xdr:rowOff>
    </xdr:to>
    <xdr:pic>
      <xdr:nvPicPr>
        <xdr:cNvPr id="2" name="图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59105" y="109220"/>
          <a:ext cx="2212975" cy="7499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114300</xdr:colOff>
          <xdr:row>0</xdr:row>
          <xdr:rowOff>95250</xdr:rowOff>
        </xdr:from>
        <xdr:to>
          <xdr:col>14</xdr:col>
          <xdr:colOff>1066800</xdr:colOff>
          <xdr:row>3</xdr:row>
          <xdr:rowOff>66675</xdr:rowOff>
        </xdr:to>
        <xdr:sp macro="" textlink="">
          <xdr:nvSpPr>
            <xdr:cNvPr id="113666" name="Button 2" hidden="1">
              <a:extLst>
                <a:ext uri="{63B3BB69-23CF-44E3-9099-C40C66FF867C}">
                  <a14:compatExt spid="_x0000_s113666"/>
                </a:ext>
                <a:ext uri="{FF2B5EF4-FFF2-40B4-BE49-F238E27FC236}">
                  <a16:creationId xmlns:a16="http://schemas.microsoft.com/office/drawing/2014/main" id="{00000000-0008-0000-0200-000002B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FF0000"/>
                  </a:solidFill>
                  <a:latin typeface="宋体"/>
                  <a:ea typeface="宋体"/>
                </a:rPr>
                <a:t>调整行高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0</xdr:row>
          <xdr:rowOff>95250</xdr:rowOff>
        </xdr:from>
        <xdr:to>
          <xdr:col>13</xdr:col>
          <xdr:colOff>1038225</xdr:colOff>
          <xdr:row>3</xdr:row>
          <xdr:rowOff>66675</xdr:rowOff>
        </xdr:to>
        <xdr:sp macro="" textlink="">
          <xdr:nvSpPr>
            <xdr:cNvPr id="113667" name="Button 3" hidden="1">
              <a:extLst>
                <a:ext uri="{63B3BB69-23CF-44E3-9099-C40C66FF867C}">
                  <a14:compatExt spid="_x0000_s113667"/>
                </a:ext>
                <a:ext uri="{FF2B5EF4-FFF2-40B4-BE49-F238E27FC236}">
                  <a16:creationId xmlns:a16="http://schemas.microsoft.com/office/drawing/2014/main" id="{00000000-0008-0000-0200-000003B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FF0000"/>
                  </a:solidFill>
                  <a:latin typeface="宋体"/>
                  <a:ea typeface="宋体"/>
                </a:rPr>
                <a:t>一键另存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3</xdr:row>
          <xdr:rowOff>171450</xdr:rowOff>
        </xdr:from>
        <xdr:to>
          <xdr:col>13</xdr:col>
          <xdr:colOff>1038225</xdr:colOff>
          <xdr:row>6</xdr:row>
          <xdr:rowOff>142875</xdr:rowOff>
        </xdr:to>
        <xdr:sp macro="" textlink="">
          <xdr:nvSpPr>
            <xdr:cNvPr id="113668" name="Button 4" hidden="1">
              <a:extLst>
                <a:ext uri="{63B3BB69-23CF-44E3-9099-C40C66FF867C}">
                  <a14:compatExt spid="_x0000_s113668"/>
                </a:ext>
                <a:ext uri="{FF2B5EF4-FFF2-40B4-BE49-F238E27FC236}">
                  <a16:creationId xmlns:a16="http://schemas.microsoft.com/office/drawing/2014/main" id="{00000000-0008-0000-0200-000004B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FF0000"/>
                  </a:solidFill>
                  <a:latin typeface="宋体"/>
                  <a:ea typeface="宋体"/>
                </a:rPr>
                <a:t>一键Excel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3</xdr:row>
          <xdr:rowOff>161925</xdr:rowOff>
        </xdr:from>
        <xdr:to>
          <xdr:col>14</xdr:col>
          <xdr:colOff>1066800</xdr:colOff>
          <xdr:row>6</xdr:row>
          <xdr:rowOff>133350</xdr:rowOff>
        </xdr:to>
        <xdr:sp macro="" textlink="">
          <xdr:nvSpPr>
            <xdr:cNvPr id="113669" name="Button 5" hidden="1">
              <a:extLst>
                <a:ext uri="{63B3BB69-23CF-44E3-9099-C40C66FF867C}">
                  <a14:compatExt spid="_x0000_s113669"/>
                </a:ext>
                <a:ext uri="{FF2B5EF4-FFF2-40B4-BE49-F238E27FC236}">
                  <a16:creationId xmlns:a16="http://schemas.microsoft.com/office/drawing/2014/main" id="{00000000-0008-0000-0200-000005B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FF0000"/>
                  </a:solidFill>
                  <a:latin typeface="宋体"/>
                  <a:ea typeface="宋体"/>
                </a:rPr>
                <a:t>一键PDF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962025</xdr:colOff>
          <xdr:row>5</xdr:row>
          <xdr:rowOff>28575</xdr:rowOff>
        </xdr:from>
        <xdr:to>
          <xdr:col>11</xdr:col>
          <xdr:colOff>1200150</xdr:colOff>
          <xdr:row>6</xdr:row>
          <xdr:rowOff>219075</xdr:rowOff>
        </xdr:to>
        <xdr:sp macro="" textlink="">
          <xdr:nvSpPr>
            <xdr:cNvPr id="113671" name="Spinner 7" hidden="1">
              <a:extLst>
                <a:ext uri="{63B3BB69-23CF-44E3-9099-C40C66FF867C}">
                  <a14:compatExt spid="_x0000_s113671"/>
                </a:ext>
                <a:ext uri="{FF2B5EF4-FFF2-40B4-BE49-F238E27FC236}">
                  <a16:creationId xmlns:a16="http://schemas.microsoft.com/office/drawing/2014/main" id="{00000000-0008-0000-0200-000007B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editAs="oneCell">
    <xdr:from>
      <xdr:col>1</xdr:col>
      <xdr:colOff>40821</xdr:colOff>
      <xdr:row>1</xdr:row>
      <xdr:rowOff>36020</xdr:rowOff>
    </xdr:from>
    <xdr:to>
      <xdr:col>3</xdr:col>
      <xdr:colOff>0</xdr:colOff>
      <xdr:row>3</xdr:row>
      <xdr:rowOff>185698</xdr:rowOff>
    </xdr:to>
    <xdr:pic>
      <xdr:nvPicPr>
        <xdr:cNvPr id="5" name="图片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8703" y="226520"/>
          <a:ext cx="2637385" cy="53067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459603</xdr:colOff>
      <xdr:row>0</xdr:row>
      <xdr:rowOff>109765</xdr:rowOff>
    </xdr:from>
    <xdr:to>
      <xdr:col>2</xdr:col>
      <xdr:colOff>1519593</xdr:colOff>
      <xdr:row>4</xdr:row>
      <xdr:rowOff>97227</xdr:rowOff>
    </xdr:to>
    <xdr:pic>
      <xdr:nvPicPr>
        <xdr:cNvPr id="2" name="图片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59105" y="109220"/>
          <a:ext cx="2212975" cy="74993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104775</xdr:rowOff>
        </xdr:from>
        <xdr:to>
          <xdr:col>1</xdr:col>
          <xdr:colOff>1476375</xdr:colOff>
          <xdr:row>0</xdr:row>
          <xdr:rowOff>628650</xdr:rowOff>
        </xdr:to>
        <xdr:sp macro="" textlink="">
          <xdr:nvSpPr>
            <xdr:cNvPr id="123006" name="Button 126" hidden="1">
              <a:extLst>
                <a:ext uri="{63B3BB69-23CF-44E3-9099-C40C66FF867C}">
                  <a14:compatExt spid="_x0000_s123006"/>
                </a:ext>
                <a:ext uri="{FF2B5EF4-FFF2-40B4-BE49-F238E27FC236}">
                  <a16:creationId xmlns:a16="http://schemas.microsoft.com/office/drawing/2014/main" id="{00000000-0008-0000-0400-00007EE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复制模板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0</xdr:row>
          <xdr:rowOff>104775</xdr:rowOff>
        </xdr:from>
        <xdr:to>
          <xdr:col>2</xdr:col>
          <xdr:colOff>1495425</xdr:colOff>
          <xdr:row>0</xdr:row>
          <xdr:rowOff>628650</xdr:rowOff>
        </xdr:to>
        <xdr:sp macro="" textlink="">
          <xdr:nvSpPr>
            <xdr:cNvPr id="123014" name="Button 134" hidden="1">
              <a:extLst>
                <a:ext uri="{63B3BB69-23CF-44E3-9099-C40C66FF867C}">
                  <a14:compatExt spid="_x0000_s123014"/>
                </a:ext>
                <a:ext uri="{FF2B5EF4-FFF2-40B4-BE49-F238E27FC236}">
                  <a16:creationId xmlns:a16="http://schemas.microsoft.com/office/drawing/2014/main" id="{00000000-0008-0000-0400-000086E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清空</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598714</xdr:colOff>
      <xdr:row>474</xdr:row>
      <xdr:rowOff>336893</xdr:rowOff>
    </xdr:from>
    <xdr:to>
      <xdr:col>8</xdr:col>
      <xdr:colOff>890815</xdr:colOff>
      <xdr:row>475</xdr:row>
      <xdr:rowOff>340179</xdr:rowOff>
    </xdr:to>
    <xdr:pic>
      <xdr:nvPicPr>
        <xdr:cNvPr id="2" name="图片 10">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2980" t="30577" r="42117" b="20155"/>
        <a:stretch>
          <a:fillRect/>
        </a:stretch>
      </xdr:blipFill>
      <xdr:spPr>
        <a:xfrm>
          <a:off x="18762345" y="177120550"/>
          <a:ext cx="292100" cy="384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530677</xdr:colOff>
      <xdr:row>480</xdr:row>
      <xdr:rowOff>27216</xdr:rowOff>
    </xdr:from>
    <xdr:to>
      <xdr:col>8</xdr:col>
      <xdr:colOff>874031</xdr:colOff>
      <xdr:row>480</xdr:row>
      <xdr:rowOff>329769</xdr:rowOff>
    </xdr:to>
    <xdr:pic>
      <xdr:nvPicPr>
        <xdr:cNvPr id="3" name="图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18694400" y="179096670"/>
          <a:ext cx="343535" cy="302895"/>
        </a:xfrm>
        <a:prstGeom prst="rect">
          <a:avLst/>
        </a:prstGeom>
      </xdr:spPr>
    </xdr:pic>
    <xdr:clientData/>
  </xdr:twoCellAnchor>
  <xdr:twoCellAnchor editAs="oneCell">
    <xdr:from>
      <xdr:col>24</xdr:col>
      <xdr:colOff>435429</xdr:colOff>
      <xdr:row>289</xdr:row>
      <xdr:rowOff>108856</xdr:rowOff>
    </xdr:from>
    <xdr:to>
      <xdr:col>29</xdr:col>
      <xdr:colOff>238326</xdr:colOff>
      <xdr:row>297</xdr:row>
      <xdr:rowOff>16411</xdr:rowOff>
    </xdr:to>
    <xdr:pic>
      <xdr:nvPicPr>
        <xdr:cNvPr id="7" name="图片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stretch>
          <a:fillRect/>
        </a:stretch>
      </xdr:blipFill>
      <xdr:spPr>
        <a:xfrm>
          <a:off x="33829625" y="106407585"/>
          <a:ext cx="5651500" cy="2955290"/>
        </a:xfrm>
        <a:prstGeom prst="rect">
          <a:avLst/>
        </a:prstGeom>
      </xdr:spPr>
    </xdr:pic>
    <xdr:clientData/>
  </xdr:twoCellAnchor>
  <xdr:twoCellAnchor editAs="oneCell">
    <xdr:from>
      <xdr:col>21</xdr:col>
      <xdr:colOff>149679</xdr:colOff>
      <xdr:row>158</xdr:row>
      <xdr:rowOff>190499</xdr:rowOff>
    </xdr:from>
    <xdr:to>
      <xdr:col>29</xdr:col>
      <xdr:colOff>381286</xdr:colOff>
      <xdr:row>175</xdr:row>
      <xdr:rowOff>241376</xdr:rowOff>
    </xdr:to>
    <xdr:pic>
      <xdr:nvPicPr>
        <xdr:cNvPr id="4" name="图片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4"/>
        <a:stretch>
          <a:fillRect/>
        </a:stretch>
      </xdr:blipFill>
      <xdr:spPr>
        <a:xfrm>
          <a:off x="30676850" y="56577865"/>
          <a:ext cx="8947150" cy="6528435"/>
        </a:xfrm>
        <a:prstGeom prst="rect">
          <a:avLst/>
        </a:prstGeom>
      </xdr:spPr>
    </xdr:pic>
    <xdr:clientData/>
  </xdr:twoCellAnchor>
  <xdr:oneCellAnchor>
    <xdr:from>
      <xdr:col>7</xdr:col>
      <xdr:colOff>1074964</xdr:colOff>
      <xdr:row>551</xdr:row>
      <xdr:rowOff>68036</xdr:rowOff>
    </xdr:from>
    <xdr:ext cx="5239481" cy="2333951"/>
    <xdr:pic>
      <xdr:nvPicPr>
        <xdr:cNvPr id="5" name="图片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5"/>
        <a:stretch>
          <a:fillRect/>
        </a:stretch>
      </xdr:blipFill>
      <xdr:spPr>
        <a:xfrm>
          <a:off x="17714595" y="206388970"/>
          <a:ext cx="5240020" cy="2333625"/>
        </a:xfrm>
        <a:prstGeom prst="rect">
          <a:avLst/>
        </a:prstGeom>
      </xdr:spPr>
    </xdr:pic>
    <xdr:clientData/>
  </xdr:oneCellAnchor>
  <xdr:twoCellAnchor editAs="oneCell">
    <xdr:from>
      <xdr:col>9</xdr:col>
      <xdr:colOff>0</xdr:colOff>
      <xdr:row>616</xdr:row>
      <xdr:rowOff>0</xdr:rowOff>
    </xdr:from>
    <xdr:to>
      <xdr:col>10</xdr:col>
      <xdr:colOff>441144</xdr:colOff>
      <xdr:row>616</xdr:row>
      <xdr:rowOff>66791</xdr:rowOff>
    </xdr:to>
    <xdr:pic>
      <xdr:nvPicPr>
        <xdr:cNvPr id="6" name="图片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6"/>
        <a:stretch>
          <a:fillRect/>
        </a:stretch>
      </xdr:blipFill>
      <xdr:spPr>
        <a:xfrm>
          <a:off x="19688175" y="231286050"/>
          <a:ext cx="1955165" cy="66675"/>
        </a:xfrm>
        <a:prstGeom prst="rect">
          <a:avLst/>
        </a:prstGeom>
      </xdr:spPr>
    </xdr:pic>
    <xdr:clientData/>
  </xdr:twoCellAnchor>
  <xdr:oneCellAnchor>
    <xdr:from>
      <xdr:col>9</xdr:col>
      <xdr:colOff>0</xdr:colOff>
      <xdr:row>621</xdr:row>
      <xdr:rowOff>0</xdr:rowOff>
    </xdr:from>
    <xdr:ext cx="1952898" cy="828791"/>
    <xdr:pic>
      <xdr:nvPicPr>
        <xdr:cNvPr id="8" name="图片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6"/>
        <a:stretch>
          <a:fillRect/>
        </a:stretch>
      </xdr:blipFill>
      <xdr:spPr>
        <a:xfrm>
          <a:off x="19688175" y="233191050"/>
          <a:ext cx="1952625" cy="828675"/>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editAs="oneCell">
    <xdr:from>
      <xdr:col>16</xdr:col>
      <xdr:colOff>293233</xdr:colOff>
      <xdr:row>424</xdr:row>
      <xdr:rowOff>51706</xdr:rowOff>
    </xdr:from>
    <xdr:to>
      <xdr:col>20</xdr:col>
      <xdr:colOff>1097001</xdr:colOff>
      <xdr:row>436</xdr:row>
      <xdr:rowOff>124791</xdr:rowOff>
    </xdr:to>
    <xdr:pic>
      <xdr:nvPicPr>
        <xdr:cNvPr id="3" name="图片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14808835" y="77204570"/>
          <a:ext cx="5137785" cy="2244725"/>
        </a:xfrm>
        <a:prstGeom prst="rect">
          <a:avLst/>
        </a:prstGeom>
      </xdr:spPr>
    </xdr:pic>
    <xdr:clientData/>
  </xdr:twoCellAnchor>
  <xdr:twoCellAnchor editAs="oneCell">
    <xdr:from>
      <xdr:col>8</xdr:col>
      <xdr:colOff>228600</xdr:colOff>
      <xdr:row>387</xdr:row>
      <xdr:rowOff>85725</xdr:rowOff>
    </xdr:from>
    <xdr:to>
      <xdr:col>14</xdr:col>
      <xdr:colOff>181567</xdr:colOff>
      <xdr:row>411</xdr:row>
      <xdr:rowOff>10121</xdr:rowOff>
    </xdr:to>
    <xdr:pic>
      <xdr:nvPicPr>
        <xdr:cNvPr id="2" name="图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2"/>
        <a:stretch>
          <a:fillRect/>
        </a:stretch>
      </xdr:blipFill>
      <xdr:spPr>
        <a:xfrm>
          <a:off x="8410575" y="70542785"/>
          <a:ext cx="4238625" cy="42672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149225</xdr:colOff>
      <xdr:row>80</xdr:row>
      <xdr:rowOff>128905</xdr:rowOff>
    </xdr:from>
    <xdr:to>
      <xdr:col>11</xdr:col>
      <xdr:colOff>719456</xdr:colOff>
      <xdr:row>89</xdr:row>
      <xdr:rowOff>153458</xdr:rowOff>
    </xdr:to>
    <xdr:pic>
      <xdr:nvPicPr>
        <xdr:cNvPr id="2" name="图片 1" descr="3f92feda0807e22d3b499bb5677da7d" hidden="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56718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83184</xdr:rowOff>
    </xdr:to>
    <xdr:pic>
      <xdr:nvPicPr>
        <xdr:cNvPr id="3" name="图片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7515"/>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142875</xdr:rowOff>
    </xdr:to>
    <xdr:pic>
      <xdr:nvPicPr>
        <xdr:cNvPr id="4" name="图片 3" descr="3f92feda0807e22d3b499bb5677da7d" hidden="1">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55702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5" name="图片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142875</xdr:rowOff>
    </xdr:to>
    <xdr:pic>
      <xdr:nvPicPr>
        <xdr:cNvPr id="6" name="图片 5" descr="3f92feda0807e22d3b499bb5677da7d" hidden="1">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55702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83184</xdr:rowOff>
    </xdr:to>
    <xdr:pic>
      <xdr:nvPicPr>
        <xdr:cNvPr id="7" name="图片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7515"/>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148167</xdr:rowOff>
    </xdr:to>
    <xdr:pic>
      <xdr:nvPicPr>
        <xdr:cNvPr id="8" name="图片 7" descr="3f92feda0807e22d3b499bb5677da7d" hidden="1">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56210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9" name="图片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148167</xdr:rowOff>
    </xdr:to>
    <xdr:pic>
      <xdr:nvPicPr>
        <xdr:cNvPr id="10" name="图片 9" descr="3f92feda0807e22d3b499bb5677da7d" hidden="1">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56210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11" name="图片 10">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142875</xdr:rowOff>
    </xdr:to>
    <xdr:pic>
      <xdr:nvPicPr>
        <xdr:cNvPr id="12" name="图片 11" descr="3f92feda0807e22d3b499bb5677da7d" hidden="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55702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13" name="图片 12">
          <a:extLst>
            <a:ext uri="{FF2B5EF4-FFF2-40B4-BE49-F238E27FC236}">
              <a16:creationId xmlns:a16="http://schemas.microsoft.com/office/drawing/2014/main" id="{00000000-0008-0000-0900-00000D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142875</xdr:rowOff>
    </xdr:to>
    <xdr:pic>
      <xdr:nvPicPr>
        <xdr:cNvPr id="14" name="图片 13" descr="3f92feda0807e22d3b499bb5677da7d" hidden="1">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55702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15" name="图片 14">
          <a:extLst>
            <a:ext uri="{FF2B5EF4-FFF2-40B4-BE49-F238E27FC236}">
              <a16:creationId xmlns:a16="http://schemas.microsoft.com/office/drawing/2014/main" id="{00000000-0008-0000-0900-00000F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142875</xdr:rowOff>
    </xdr:to>
    <xdr:pic>
      <xdr:nvPicPr>
        <xdr:cNvPr id="16" name="图片 15" descr="3f92feda0807e22d3b499bb5677da7d" hidden="1">
          <a:extLst>
            <a:ext uri="{FF2B5EF4-FFF2-40B4-BE49-F238E27FC236}">
              <a16:creationId xmlns:a16="http://schemas.microsoft.com/office/drawing/2014/main" id="{00000000-0008-0000-0900-000010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55702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17" name="图片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142875</xdr:rowOff>
    </xdr:to>
    <xdr:pic>
      <xdr:nvPicPr>
        <xdr:cNvPr id="18" name="图片 17" descr="3f92feda0807e22d3b499bb5677da7d" hidden="1">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55702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19" name="图片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142875</xdr:rowOff>
    </xdr:to>
    <xdr:pic>
      <xdr:nvPicPr>
        <xdr:cNvPr id="20" name="图片 19" descr="3f92feda0807e22d3b499bb5677da7d" hidden="1">
          <a:extLst>
            <a:ext uri="{FF2B5EF4-FFF2-40B4-BE49-F238E27FC236}">
              <a16:creationId xmlns:a16="http://schemas.microsoft.com/office/drawing/2014/main" id="{00000000-0008-0000-0900-000014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55702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21" name="图片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142875</xdr:rowOff>
    </xdr:to>
    <xdr:pic>
      <xdr:nvPicPr>
        <xdr:cNvPr id="22" name="图片 21" descr="3f92feda0807e22d3b499bb5677da7d" hidden="1">
          <a:extLst>
            <a:ext uri="{FF2B5EF4-FFF2-40B4-BE49-F238E27FC236}">
              <a16:creationId xmlns:a16="http://schemas.microsoft.com/office/drawing/2014/main" id="{00000000-0008-0000-0900-000016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55702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23" name="图片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142875</xdr:rowOff>
    </xdr:to>
    <xdr:pic>
      <xdr:nvPicPr>
        <xdr:cNvPr id="24" name="图片 23" descr="3f92feda0807e22d3b499bb5677da7d" hidden="1">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55702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25" name="图片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142875</xdr:rowOff>
    </xdr:to>
    <xdr:pic>
      <xdr:nvPicPr>
        <xdr:cNvPr id="26" name="图片 25" descr="3f92feda0807e22d3b499bb5677da7d" hidden="1">
          <a:extLst>
            <a:ext uri="{FF2B5EF4-FFF2-40B4-BE49-F238E27FC236}">
              <a16:creationId xmlns:a16="http://schemas.microsoft.com/office/drawing/2014/main" id="{00000000-0008-0000-0900-00001A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55702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27" name="图片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142875</xdr:rowOff>
    </xdr:to>
    <xdr:pic>
      <xdr:nvPicPr>
        <xdr:cNvPr id="28" name="图片 27" descr="3f92feda0807e22d3b499bb5677da7d" hidden="1">
          <a:extLst>
            <a:ext uri="{FF2B5EF4-FFF2-40B4-BE49-F238E27FC236}">
              <a16:creationId xmlns:a16="http://schemas.microsoft.com/office/drawing/2014/main" id="{00000000-0008-0000-0900-00001C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55702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29" name="图片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142875</xdr:rowOff>
    </xdr:to>
    <xdr:pic>
      <xdr:nvPicPr>
        <xdr:cNvPr id="30" name="图片 29" descr="3f92feda0807e22d3b499bb5677da7d" hidden="1">
          <a:extLst>
            <a:ext uri="{FF2B5EF4-FFF2-40B4-BE49-F238E27FC236}">
              <a16:creationId xmlns:a16="http://schemas.microsoft.com/office/drawing/2014/main" id="{00000000-0008-0000-0900-00001E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55702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31" name="图片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32" name="图片 31" descr="3f92feda0807e22d3b499bb5677da7d" hidden="1">
          <a:extLst>
            <a:ext uri="{FF2B5EF4-FFF2-40B4-BE49-F238E27FC236}">
              <a16:creationId xmlns:a16="http://schemas.microsoft.com/office/drawing/2014/main" id="{00000000-0008-0000-0900-000020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33" name="图片 32">
          <a:extLst>
            <a:ext uri="{FF2B5EF4-FFF2-40B4-BE49-F238E27FC236}">
              <a16:creationId xmlns:a16="http://schemas.microsoft.com/office/drawing/2014/main" id="{00000000-0008-0000-0900-000021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34" name="图片 33" descr="3f92feda0807e22d3b499bb5677da7d" hidden="1">
          <a:extLst>
            <a:ext uri="{FF2B5EF4-FFF2-40B4-BE49-F238E27FC236}">
              <a16:creationId xmlns:a16="http://schemas.microsoft.com/office/drawing/2014/main" id="{00000000-0008-0000-0900-000022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35" name="图片 34">
          <a:extLst>
            <a:ext uri="{FF2B5EF4-FFF2-40B4-BE49-F238E27FC236}">
              <a16:creationId xmlns:a16="http://schemas.microsoft.com/office/drawing/2014/main" id="{00000000-0008-0000-0900-000023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36" name="图片 35" descr="3f92feda0807e22d3b499bb5677da7d" hidden="1">
          <a:extLst>
            <a:ext uri="{FF2B5EF4-FFF2-40B4-BE49-F238E27FC236}">
              <a16:creationId xmlns:a16="http://schemas.microsoft.com/office/drawing/2014/main" id="{00000000-0008-0000-0900-000024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37" name="图片 36">
          <a:extLst>
            <a:ext uri="{FF2B5EF4-FFF2-40B4-BE49-F238E27FC236}">
              <a16:creationId xmlns:a16="http://schemas.microsoft.com/office/drawing/2014/main" id="{00000000-0008-0000-0900-000025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38" name="图片 37" descr="3f92feda0807e22d3b499bb5677da7d" hidden="1">
          <a:extLst>
            <a:ext uri="{FF2B5EF4-FFF2-40B4-BE49-F238E27FC236}">
              <a16:creationId xmlns:a16="http://schemas.microsoft.com/office/drawing/2014/main" id="{00000000-0008-0000-0900-000026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39" name="图片 38">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40" name="图片 39" descr="3f92feda0807e22d3b499bb5677da7d" hidden="1">
          <a:extLst>
            <a:ext uri="{FF2B5EF4-FFF2-40B4-BE49-F238E27FC236}">
              <a16:creationId xmlns:a16="http://schemas.microsoft.com/office/drawing/2014/main" id="{00000000-0008-0000-0900-000028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41" name="图片 40">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42" name="图片 41" descr="3f92feda0807e22d3b499bb5677da7d" hidden="1">
          <a:extLst>
            <a:ext uri="{FF2B5EF4-FFF2-40B4-BE49-F238E27FC236}">
              <a16:creationId xmlns:a16="http://schemas.microsoft.com/office/drawing/2014/main" id="{00000000-0008-0000-0900-00002A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43" name="图片 42">
          <a:extLst>
            <a:ext uri="{FF2B5EF4-FFF2-40B4-BE49-F238E27FC236}">
              <a16:creationId xmlns:a16="http://schemas.microsoft.com/office/drawing/2014/main" id="{00000000-0008-0000-0900-00002B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44" name="图片 43" descr="3f92feda0807e22d3b499bb5677da7d" hidden="1">
          <a:extLst>
            <a:ext uri="{FF2B5EF4-FFF2-40B4-BE49-F238E27FC236}">
              <a16:creationId xmlns:a16="http://schemas.microsoft.com/office/drawing/2014/main" id="{00000000-0008-0000-0900-00002C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45" name="图片 44">
          <a:extLst>
            <a:ext uri="{FF2B5EF4-FFF2-40B4-BE49-F238E27FC236}">
              <a16:creationId xmlns:a16="http://schemas.microsoft.com/office/drawing/2014/main" id="{00000000-0008-0000-0900-00002D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46" name="图片 45" descr="3f92feda0807e22d3b499bb5677da7d" hidden="1">
          <a:extLst>
            <a:ext uri="{FF2B5EF4-FFF2-40B4-BE49-F238E27FC236}">
              <a16:creationId xmlns:a16="http://schemas.microsoft.com/office/drawing/2014/main" id="{00000000-0008-0000-0900-00002E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47" name="图片 46">
          <a:extLst>
            <a:ext uri="{FF2B5EF4-FFF2-40B4-BE49-F238E27FC236}">
              <a16:creationId xmlns:a16="http://schemas.microsoft.com/office/drawing/2014/main" id="{00000000-0008-0000-0900-00002F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48" name="图片 47" descr="3f92feda0807e22d3b499bb5677da7d" hidden="1">
          <a:extLst>
            <a:ext uri="{FF2B5EF4-FFF2-40B4-BE49-F238E27FC236}">
              <a16:creationId xmlns:a16="http://schemas.microsoft.com/office/drawing/2014/main" id="{00000000-0008-0000-0900-000030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49" name="图片 48">
          <a:extLst>
            <a:ext uri="{FF2B5EF4-FFF2-40B4-BE49-F238E27FC236}">
              <a16:creationId xmlns:a16="http://schemas.microsoft.com/office/drawing/2014/main" id="{00000000-0008-0000-0900-000031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50" name="图片 49" descr="3f92feda0807e22d3b499bb5677da7d" hidden="1">
          <a:extLst>
            <a:ext uri="{FF2B5EF4-FFF2-40B4-BE49-F238E27FC236}">
              <a16:creationId xmlns:a16="http://schemas.microsoft.com/office/drawing/2014/main" id="{00000000-0008-0000-0900-000032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51" name="图片 50">
          <a:extLst>
            <a:ext uri="{FF2B5EF4-FFF2-40B4-BE49-F238E27FC236}">
              <a16:creationId xmlns:a16="http://schemas.microsoft.com/office/drawing/2014/main" id="{00000000-0008-0000-0900-000033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52" name="图片 51" descr="3f92feda0807e22d3b499bb5677da7d" hidden="1">
          <a:extLst>
            <a:ext uri="{FF2B5EF4-FFF2-40B4-BE49-F238E27FC236}">
              <a16:creationId xmlns:a16="http://schemas.microsoft.com/office/drawing/2014/main" id="{00000000-0008-0000-0900-000034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53" name="图片 52">
          <a:extLst>
            <a:ext uri="{FF2B5EF4-FFF2-40B4-BE49-F238E27FC236}">
              <a16:creationId xmlns:a16="http://schemas.microsoft.com/office/drawing/2014/main" id="{00000000-0008-0000-0900-000035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54" name="图片 53" descr="3f92feda0807e22d3b499bb5677da7d" hidden="1">
          <a:extLst>
            <a:ext uri="{FF2B5EF4-FFF2-40B4-BE49-F238E27FC236}">
              <a16:creationId xmlns:a16="http://schemas.microsoft.com/office/drawing/2014/main" id="{00000000-0008-0000-0900-000036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55" name="图片 54">
          <a:extLst>
            <a:ext uri="{FF2B5EF4-FFF2-40B4-BE49-F238E27FC236}">
              <a16:creationId xmlns:a16="http://schemas.microsoft.com/office/drawing/2014/main" id="{00000000-0008-0000-0900-000037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56" name="图片 55" descr="3f92feda0807e22d3b499bb5677da7d" hidden="1">
          <a:extLst>
            <a:ext uri="{FF2B5EF4-FFF2-40B4-BE49-F238E27FC236}">
              <a16:creationId xmlns:a16="http://schemas.microsoft.com/office/drawing/2014/main" id="{00000000-0008-0000-0900-000038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57" name="图片 56">
          <a:extLst>
            <a:ext uri="{FF2B5EF4-FFF2-40B4-BE49-F238E27FC236}">
              <a16:creationId xmlns:a16="http://schemas.microsoft.com/office/drawing/2014/main" id="{00000000-0008-0000-0900-000039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58" name="图片 57" descr="3f92feda0807e22d3b499bb5677da7d" hidden="1">
          <a:extLst>
            <a:ext uri="{FF2B5EF4-FFF2-40B4-BE49-F238E27FC236}">
              <a16:creationId xmlns:a16="http://schemas.microsoft.com/office/drawing/2014/main" id="{00000000-0008-0000-0900-00003A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59" name="图片 58">
          <a:extLst>
            <a:ext uri="{FF2B5EF4-FFF2-40B4-BE49-F238E27FC236}">
              <a16:creationId xmlns:a16="http://schemas.microsoft.com/office/drawing/2014/main" id="{00000000-0008-0000-0900-00003B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60" name="图片 59" descr="3f92feda0807e22d3b499bb5677da7d" hidden="1">
          <a:extLst>
            <a:ext uri="{FF2B5EF4-FFF2-40B4-BE49-F238E27FC236}">
              <a16:creationId xmlns:a16="http://schemas.microsoft.com/office/drawing/2014/main" id="{00000000-0008-0000-0900-00003C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61" name="图片 60">
          <a:extLst>
            <a:ext uri="{FF2B5EF4-FFF2-40B4-BE49-F238E27FC236}">
              <a16:creationId xmlns:a16="http://schemas.microsoft.com/office/drawing/2014/main" id="{00000000-0008-0000-0900-00003D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62" name="图片 61" descr="3f92feda0807e22d3b499bb5677da7d" hidden="1">
          <a:extLst>
            <a:ext uri="{FF2B5EF4-FFF2-40B4-BE49-F238E27FC236}">
              <a16:creationId xmlns:a16="http://schemas.microsoft.com/office/drawing/2014/main" id="{00000000-0008-0000-0900-00003E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63" name="图片 62">
          <a:extLst>
            <a:ext uri="{FF2B5EF4-FFF2-40B4-BE49-F238E27FC236}">
              <a16:creationId xmlns:a16="http://schemas.microsoft.com/office/drawing/2014/main" id="{00000000-0008-0000-0900-00003F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64" name="图片 63" descr="3f92feda0807e22d3b499bb5677da7d" hidden="1">
          <a:extLst>
            <a:ext uri="{FF2B5EF4-FFF2-40B4-BE49-F238E27FC236}">
              <a16:creationId xmlns:a16="http://schemas.microsoft.com/office/drawing/2014/main" id="{00000000-0008-0000-0900-000040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65" name="图片 64">
          <a:extLst>
            <a:ext uri="{FF2B5EF4-FFF2-40B4-BE49-F238E27FC236}">
              <a16:creationId xmlns:a16="http://schemas.microsoft.com/office/drawing/2014/main" id="{00000000-0008-0000-0900-000041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66" name="图片 65" descr="3f92feda0807e22d3b499bb5677da7d" hidden="1">
          <a:extLst>
            <a:ext uri="{FF2B5EF4-FFF2-40B4-BE49-F238E27FC236}">
              <a16:creationId xmlns:a16="http://schemas.microsoft.com/office/drawing/2014/main" id="{00000000-0008-0000-0900-000042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67" name="图片 66">
          <a:extLst>
            <a:ext uri="{FF2B5EF4-FFF2-40B4-BE49-F238E27FC236}">
              <a16:creationId xmlns:a16="http://schemas.microsoft.com/office/drawing/2014/main" id="{00000000-0008-0000-0900-000043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68" name="图片 67" descr="3f92feda0807e22d3b499bb5677da7d" hidden="1">
          <a:extLst>
            <a:ext uri="{FF2B5EF4-FFF2-40B4-BE49-F238E27FC236}">
              <a16:creationId xmlns:a16="http://schemas.microsoft.com/office/drawing/2014/main" id="{00000000-0008-0000-0900-000044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69" name="图片 68">
          <a:extLst>
            <a:ext uri="{FF2B5EF4-FFF2-40B4-BE49-F238E27FC236}">
              <a16:creationId xmlns:a16="http://schemas.microsoft.com/office/drawing/2014/main" id="{00000000-0008-0000-0900-000045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70" name="图片 69" descr="3f92feda0807e22d3b499bb5677da7d" hidden="1">
          <a:extLst>
            <a:ext uri="{FF2B5EF4-FFF2-40B4-BE49-F238E27FC236}">
              <a16:creationId xmlns:a16="http://schemas.microsoft.com/office/drawing/2014/main" id="{00000000-0008-0000-0900-000046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71" name="图片 70">
          <a:extLst>
            <a:ext uri="{FF2B5EF4-FFF2-40B4-BE49-F238E27FC236}">
              <a16:creationId xmlns:a16="http://schemas.microsoft.com/office/drawing/2014/main" id="{00000000-0008-0000-0900-000047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719456</xdr:colOff>
      <xdr:row>89</xdr:row>
      <xdr:rowOff>47625</xdr:rowOff>
    </xdr:to>
    <xdr:pic>
      <xdr:nvPicPr>
        <xdr:cNvPr id="72" name="图片 71" descr="3f92feda0807e22d3b499bb5677da7d" hidden="1">
          <a:extLst>
            <a:ext uri="{FF2B5EF4-FFF2-40B4-BE49-F238E27FC236}">
              <a16:creationId xmlns:a16="http://schemas.microsoft.com/office/drawing/2014/main" id="{00000000-0008-0000-0900-000048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73" name="图片 72">
          <a:extLst>
            <a:ext uri="{FF2B5EF4-FFF2-40B4-BE49-F238E27FC236}">
              <a16:creationId xmlns:a16="http://schemas.microsoft.com/office/drawing/2014/main" id="{00000000-0008-0000-0900-000049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74" name="图片 73" descr="3f92feda0807e22d3b499bb5677da7d" hidden="1">
          <a:extLst>
            <a:ext uri="{FF2B5EF4-FFF2-40B4-BE49-F238E27FC236}">
              <a16:creationId xmlns:a16="http://schemas.microsoft.com/office/drawing/2014/main" id="{00000000-0008-0000-0900-00004A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75" name="图片 74">
          <a:extLst>
            <a:ext uri="{FF2B5EF4-FFF2-40B4-BE49-F238E27FC236}">
              <a16:creationId xmlns:a16="http://schemas.microsoft.com/office/drawing/2014/main" id="{00000000-0008-0000-0900-00004B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76" name="图片 75" descr="3f92feda0807e22d3b499bb5677da7d" hidden="1">
          <a:extLst>
            <a:ext uri="{FF2B5EF4-FFF2-40B4-BE49-F238E27FC236}">
              <a16:creationId xmlns:a16="http://schemas.microsoft.com/office/drawing/2014/main" id="{00000000-0008-0000-0900-00004C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77" name="图片 76">
          <a:extLst>
            <a:ext uri="{FF2B5EF4-FFF2-40B4-BE49-F238E27FC236}">
              <a16:creationId xmlns:a16="http://schemas.microsoft.com/office/drawing/2014/main" id="{00000000-0008-0000-0900-00004D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78" name="图片 77" descr="3f92feda0807e22d3b499bb5677da7d" hidden="1">
          <a:extLst>
            <a:ext uri="{FF2B5EF4-FFF2-40B4-BE49-F238E27FC236}">
              <a16:creationId xmlns:a16="http://schemas.microsoft.com/office/drawing/2014/main" id="{00000000-0008-0000-0900-00004E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79" name="图片 78">
          <a:extLst>
            <a:ext uri="{FF2B5EF4-FFF2-40B4-BE49-F238E27FC236}">
              <a16:creationId xmlns:a16="http://schemas.microsoft.com/office/drawing/2014/main" id="{00000000-0008-0000-0900-00004F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80" name="图片 79" descr="3f92feda0807e22d3b499bb5677da7d" hidden="1">
          <a:extLst>
            <a:ext uri="{FF2B5EF4-FFF2-40B4-BE49-F238E27FC236}">
              <a16:creationId xmlns:a16="http://schemas.microsoft.com/office/drawing/2014/main" id="{00000000-0008-0000-0900-000050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81" name="图片 80">
          <a:extLst>
            <a:ext uri="{FF2B5EF4-FFF2-40B4-BE49-F238E27FC236}">
              <a16:creationId xmlns:a16="http://schemas.microsoft.com/office/drawing/2014/main" id="{00000000-0008-0000-0900-000051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82" name="图片 81" descr="3f92feda0807e22d3b499bb5677da7d" hidden="1">
          <a:extLst>
            <a:ext uri="{FF2B5EF4-FFF2-40B4-BE49-F238E27FC236}">
              <a16:creationId xmlns:a16="http://schemas.microsoft.com/office/drawing/2014/main" id="{00000000-0008-0000-0900-000052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83" name="图片 82">
          <a:extLst>
            <a:ext uri="{FF2B5EF4-FFF2-40B4-BE49-F238E27FC236}">
              <a16:creationId xmlns:a16="http://schemas.microsoft.com/office/drawing/2014/main" id="{00000000-0008-0000-0900-000053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84" name="图片 83" descr="3f92feda0807e22d3b499bb5677da7d" hidden="1">
          <a:extLst>
            <a:ext uri="{FF2B5EF4-FFF2-40B4-BE49-F238E27FC236}">
              <a16:creationId xmlns:a16="http://schemas.microsoft.com/office/drawing/2014/main" id="{00000000-0008-0000-0900-000054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85" name="图片 84">
          <a:extLst>
            <a:ext uri="{FF2B5EF4-FFF2-40B4-BE49-F238E27FC236}">
              <a16:creationId xmlns:a16="http://schemas.microsoft.com/office/drawing/2014/main" id="{00000000-0008-0000-0900-000055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86" name="图片 85" descr="3f92feda0807e22d3b499bb5677da7d" hidden="1">
          <a:extLst>
            <a:ext uri="{FF2B5EF4-FFF2-40B4-BE49-F238E27FC236}">
              <a16:creationId xmlns:a16="http://schemas.microsoft.com/office/drawing/2014/main" id="{00000000-0008-0000-0900-000056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87" name="图片 86">
          <a:extLst>
            <a:ext uri="{FF2B5EF4-FFF2-40B4-BE49-F238E27FC236}">
              <a16:creationId xmlns:a16="http://schemas.microsoft.com/office/drawing/2014/main" id="{00000000-0008-0000-0900-000057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88" name="图片 87" descr="3f92feda0807e22d3b499bb5677da7d" hidden="1">
          <a:extLst>
            <a:ext uri="{FF2B5EF4-FFF2-40B4-BE49-F238E27FC236}">
              <a16:creationId xmlns:a16="http://schemas.microsoft.com/office/drawing/2014/main" id="{00000000-0008-0000-0900-000058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83186</xdr:rowOff>
    </xdr:to>
    <xdr:pic>
      <xdr:nvPicPr>
        <xdr:cNvPr id="89" name="图片 88">
          <a:extLst>
            <a:ext uri="{FF2B5EF4-FFF2-40B4-BE49-F238E27FC236}">
              <a16:creationId xmlns:a16="http://schemas.microsoft.com/office/drawing/2014/main" id="{00000000-0008-0000-0900-000059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91" name="图片 90" descr="3f92feda0807e22d3b499bb5677da7d" hidden="1">
          <a:extLst>
            <a:ext uri="{FF2B5EF4-FFF2-40B4-BE49-F238E27FC236}">
              <a16:creationId xmlns:a16="http://schemas.microsoft.com/office/drawing/2014/main" id="{00000000-0008-0000-0900-00005B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92" name="图片 91">
          <a:extLst>
            <a:ext uri="{FF2B5EF4-FFF2-40B4-BE49-F238E27FC236}">
              <a16:creationId xmlns:a16="http://schemas.microsoft.com/office/drawing/2014/main" id="{00000000-0008-0000-0900-00005C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7</xdr:col>
      <xdr:colOff>13970</xdr:colOff>
      <xdr:row>31</xdr:row>
      <xdr:rowOff>61595</xdr:rowOff>
    </xdr:from>
    <xdr:to>
      <xdr:col>13</xdr:col>
      <xdr:colOff>759460</xdr:colOff>
      <xdr:row>54</xdr:row>
      <xdr:rowOff>24130</xdr:rowOff>
    </xdr:to>
    <xdr:pic>
      <xdr:nvPicPr>
        <xdr:cNvPr id="93" name="图片 92">
          <a:extLst>
            <a:ext uri="{FF2B5EF4-FFF2-40B4-BE49-F238E27FC236}">
              <a16:creationId xmlns:a16="http://schemas.microsoft.com/office/drawing/2014/main" id="{00000000-0008-0000-0900-00005D000000}"/>
            </a:ext>
          </a:extLst>
        </xdr:cNvPr>
        <xdr:cNvPicPr>
          <a:picLocks noChangeAspect="1"/>
        </xdr:cNvPicPr>
      </xdr:nvPicPr>
      <xdr:blipFill>
        <a:blip xmlns:r="http://schemas.openxmlformats.org/officeDocument/2006/relationships" r:embed="rId3"/>
        <a:stretch>
          <a:fillRect/>
        </a:stretch>
      </xdr:blipFill>
      <xdr:spPr>
        <a:xfrm>
          <a:off x="10310495" y="5376545"/>
          <a:ext cx="5993765" cy="3905885"/>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76200</xdr:rowOff>
    </xdr:to>
    <xdr:pic>
      <xdr:nvPicPr>
        <xdr:cNvPr id="94" name="图片 93" descr="3f92feda0807e22d3b499bb5677da7d" hidden="1">
          <a:extLst>
            <a:ext uri="{FF2B5EF4-FFF2-40B4-BE49-F238E27FC236}">
              <a16:creationId xmlns:a16="http://schemas.microsoft.com/office/drawing/2014/main" id="{00000000-0008-0000-0900-00005E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90345"/>
        </a:xfrm>
        <a:prstGeom prst="rect">
          <a:avLst/>
        </a:prstGeom>
      </xdr:spPr>
    </xdr:pic>
    <xdr:clientData/>
  </xdr:twoCellAnchor>
  <xdr:twoCellAnchor editAs="oneCell">
    <xdr:from>
      <xdr:col>1</xdr:col>
      <xdr:colOff>267970</xdr:colOff>
      <xdr:row>162</xdr:row>
      <xdr:rowOff>6985</xdr:rowOff>
    </xdr:from>
    <xdr:to>
      <xdr:col>3</xdr:col>
      <xdr:colOff>70485</xdr:colOff>
      <xdr:row>164</xdr:row>
      <xdr:rowOff>89535</xdr:rowOff>
    </xdr:to>
    <xdr:pic>
      <xdr:nvPicPr>
        <xdr:cNvPr id="95" name="图片 94">
          <a:extLst>
            <a:ext uri="{FF2B5EF4-FFF2-40B4-BE49-F238E27FC236}">
              <a16:creationId xmlns:a16="http://schemas.microsoft.com/office/drawing/2014/main" id="{00000000-0008-0000-0900-00005F000000}"/>
            </a:ext>
          </a:extLst>
        </xdr:cNvPr>
        <xdr:cNvPicPr>
          <a:picLocks noChangeAspect="1"/>
        </xdr:cNvPicPr>
      </xdr:nvPicPr>
      <xdr:blipFill>
        <a:blip xmlns:r="http://schemas.openxmlformats.org/officeDocument/2006/relationships" r:embed="rId2"/>
        <a:stretch>
          <a:fillRect/>
        </a:stretch>
      </xdr:blipFill>
      <xdr:spPr>
        <a:xfrm>
          <a:off x="620395" y="27948890"/>
          <a:ext cx="2650490" cy="444500"/>
        </a:xfrm>
        <a:prstGeom prst="rect">
          <a:avLst/>
        </a:prstGeom>
        <a:noFill/>
        <a:ln w="9525">
          <a:noFill/>
        </a:ln>
      </xdr:spPr>
    </xdr:pic>
    <xdr:clientData/>
  </xdr:twoCellAnchor>
  <xdr:twoCellAnchor editAs="oneCell">
    <xdr:from>
      <xdr:col>7</xdr:col>
      <xdr:colOff>13970</xdr:colOff>
      <xdr:row>31</xdr:row>
      <xdr:rowOff>61595</xdr:rowOff>
    </xdr:from>
    <xdr:to>
      <xdr:col>13</xdr:col>
      <xdr:colOff>759460</xdr:colOff>
      <xdr:row>54</xdr:row>
      <xdr:rowOff>90805</xdr:rowOff>
    </xdr:to>
    <xdr:pic>
      <xdr:nvPicPr>
        <xdr:cNvPr id="96" name="图片 95">
          <a:extLst>
            <a:ext uri="{FF2B5EF4-FFF2-40B4-BE49-F238E27FC236}">
              <a16:creationId xmlns:a16="http://schemas.microsoft.com/office/drawing/2014/main" id="{00000000-0008-0000-0900-000060000000}"/>
            </a:ext>
          </a:extLst>
        </xdr:cNvPr>
        <xdr:cNvPicPr>
          <a:picLocks noChangeAspect="1"/>
        </xdr:cNvPicPr>
      </xdr:nvPicPr>
      <xdr:blipFill>
        <a:blip xmlns:r="http://schemas.openxmlformats.org/officeDocument/2006/relationships" r:embed="rId3"/>
        <a:stretch>
          <a:fillRect/>
        </a:stretch>
      </xdr:blipFill>
      <xdr:spPr>
        <a:xfrm>
          <a:off x="10310495" y="5376545"/>
          <a:ext cx="5993765" cy="397256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90" name="图片 89" descr="3f92feda0807e22d3b499bb5677da7d" hidden="1">
          <a:extLst>
            <a:ext uri="{FF2B5EF4-FFF2-40B4-BE49-F238E27FC236}">
              <a16:creationId xmlns:a16="http://schemas.microsoft.com/office/drawing/2014/main" id="{00000000-0008-0000-0900-00005A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97" name="图片 96">
          <a:extLst>
            <a:ext uri="{FF2B5EF4-FFF2-40B4-BE49-F238E27FC236}">
              <a16:creationId xmlns:a16="http://schemas.microsoft.com/office/drawing/2014/main" id="{00000000-0008-0000-0900-000061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7</xdr:col>
      <xdr:colOff>13970</xdr:colOff>
      <xdr:row>31</xdr:row>
      <xdr:rowOff>61595</xdr:rowOff>
    </xdr:from>
    <xdr:to>
      <xdr:col>13</xdr:col>
      <xdr:colOff>759460</xdr:colOff>
      <xdr:row>54</xdr:row>
      <xdr:rowOff>24130</xdr:rowOff>
    </xdr:to>
    <xdr:pic>
      <xdr:nvPicPr>
        <xdr:cNvPr id="98" name="图片 97">
          <a:extLst>
            <a:ext uri="{FF2B5EF4-FFF2-40B4-BE49-F238E27FC236}">
              <a16:creationId xmlns:a16="http://schemas.microsoft.com/office/drawing/2014/main" id="{00000000-0008-0000-0900-000062000000}"/>
            </a:ext>
          </a:extLst>
        </xdr:cNvPr>
        <xdr:cNvPicPr>
          <a:picLocks noChangeAspect="1"/>
        </xdr:cNvPicPr>
      </xdr:nvPicPr>
      <xdr:blipFill>
        <a:blip xmlns:r="http://schemas.openxmlformats.org/officeDocument/2006/relationships" r:embed="rId3"/>
        <a:stretch>
          <a:fillRect/>
        </a:stretch>
      </xdr:blipFill>
      <xdr:spPr>
        <a:xfrm>
          <a:off x="10310495" y="5376545"/>
          <a:ext cx="5993765" cy="3905885"/>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99" name="图片 98" descr="3f92feda0807e22d3b499bb5677da7d" hidden="1">
          <a:extLst>
            <a:ext uri="{FF2B5EF4-FFF2-40B4-BE49-F238E27FC236}">
              <a16:creationId xmlns:a16="http://schemas.microsoft.com/office/drawing/2014/main" id="{00000000-0008-0000-0900-000063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100" name="图片 99">
          <a:extLst>
            <a:ext uri="{FF2B5EF4-FFF2-40B4-BE49-F238E27FC236}">
              <a16:creationId xmlns:a16="http://schemas.microsoft.com/office/drawing/2014/main" id="{00000000-0008-0000-0900-000064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7</xdr:col>
      <xdr:colOff>13970</xdr:colOff>
      <xdr:row>31</xdr:row>
      <xdr:rowOff>61595</xdr:rowOff>
    </xdr:from>
    <xdr:to>
      <xdr:col>13</xdr:col>
      <xdr:colOff>759460</xdr:colOff>
      <xdr:row>54</xdr:row>
      <xdr:rowOff>24130</xdr:rowOff>
    </xdr:to>
    <xdr:pic>
      <xdr:nvPicPr>
        <xdr:cNvPr id="101" name="图片 100">
          <a:extLst>
            <a:ext uri="{FF2B5EF4-FFF2-40B4-BE49-F238E27FC236}">
              <a16:creationId xmlns:a16="http://schemas.microsoft.com/office/drawing/2014/main" id="{00000000-0008-0000-0900-000065000000}"/>
            </a:ext>
          </a:extLst>
        </xdr:cNvPr>
        <xdr:cNvPicPr>
          <a:picLocks noChangeAspect="1"/>
        </xdr:cNvPicPr>
      </xdr:nvPicPr>
      <xdr:blipFill>
        <a:blip xmlns:r="http://schemas.openxmlformats.org/officeDocument/2006/relationships" r:embed="rId3"/>
        <a:stretch>
          <a:fillRect/>
        </a:stretch>
      </xdr:blipFill>
      <xdr:spPr>
        <a:xfrm>
          <a:off x="10310495" y="5376545"/>
          <a:ext cx="5993765" cy="3905885"/>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102" name="图片 101" descr="3f92feda0807e22d3b499bb5677da7d" hidden="1">
          <a:extLst>
            <a:ext uri="{FF2B5EF4-FFF2-40B4-BE49-F238E27FC236}">
              <a16:creationId xmlns:a16="http://schemas.microsoft.com/office/drawing/2014/main" id="{00000000-0008-0000-0900-000066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103" name="图片 102">
          <a:extLst>
            <a:ext uri="{FF2B5EF4-FFF2-40B4-BE49-F238E27FC236}">
              <a16:creationId xmlns:a16="http://schemas.microsoft.com/office/drawing/2014/main" id="{00000000-0008-0000-0900-000067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7</xdr:col>
      <xdr:colOff>13970</xdr:colOff>
      <xdr:row>31</xdr:row>
      <xdr:rowOff>61595</xdr:rowOff>
    </xdr:from>
    <xdr:to>
      <xdr:col>13</xdr:col>
      <xdr:colOff>759460</xdr:colOff>
      <xdr:row>54</xdr:row>
      <xdr:rowOff>24130</xdr:rowOff>
    </xdr:to>
    <xdr:pic>
      <xdr:nvPicPr>
        <xdr:cNvPr id="104" name="图片 103">
          <a:extLst>
            <a:ext uri="{FF2B5EF4-FFF2-40B4-BE49-F238E27FC236}">
              <a16:creationId xmlns:a16="http://schemas.microsoft.com/office/drawing/2014/main" id="{00000000-0008-0000-0900-000068000000}"/>
            </a:ext>
          </a:extLst>
        </xdr:cNvPr>
        <xdr:cNvPicPr>
          <a:picLocks noChangeAspect="1"/>
        </xdr:cNvPicPr>
      </xdr:nvPicPr>
      <xdr:blipFill>
        <a:blip xmlns:r="http://schemas.openxmlformats.org/officeDocument/2006/relationships" r:embed="rId3"/>
        <a:stretch>
          <a:fillRect/>
        </a:stretch>
      </xdr:blipFill>
      <xdr:spPr>
        <a:xfrm>
          <a:off x="10310495" y="5376545"/>
          <a:ext cx="5993765" cy="3905885"/>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105" name="图片 104" descr="3f92feda0807e22d3b499bb5677da7d" hidden="1">
          <a:extLst>
            <a:ext uri="{FF2B5EF4-FFF2-40B4-BE49-F238E27FC236}">
              <a16:creationId xmlns:a16="http://schemas.microsoft.com/office/drawing/2014/main" id="{00000000-0008-0000-0900-000069000000}"/>
            </a:ext>
          </a:extLst>
        </xdr:cNvPr>
        <xdr:cNvPicPr>
          <a:picLocks noChangeAspect="1"/>
        </xdr:cNvPicPr>
      </xdr:nvPicPr>
      <xdr:blipFill>
        <a:blip xmlns:r="http://schemas.openxmlformats.org/officeDocument/2006/relationships" r:embed="rId1"/>
        <a:stretch>
          <a:fillRect/>
        </a:stretch>
      </xdr:blipFill>
      <xdr:spPr>
        <a:xfrm>
          <a:off x="13255625" y="1385443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106" name="图片 105">
          <a:extLst>
            <a:ext uri="{FF2B5EF4-FFF2-40B4-BE49-F238E27FC236}">
              <a16:creationId xmlns:a16="http://schemas.microsoft.com/office/drawing/2014/main" id="{00000000-0008-0000-0900-00006A000000}"/>
            </a:ext>
          </a:extLst>
        </xdr:cNvPr>
        <xdr:cNvPicPr>
          <a:picLocks noChangeAspect="1"/>
        </xdr:cNvPicPr>
      </xdr:nvPicPr>
      <xdr:blipFill>
        <a:blip xmlns:r="http://schemas.openxmlformats.org/officeDocument/2006/relationships" r:embed="rId2"/>
        <a:stretch>
          <a:fillRect/>
        </a:stretch>
      </xdr:blipFill>
      <xdr:spPr>
        <a:xfrm>
          <a:off x="620395" y="27948890"/>
          <a:ext cx="2644140" cy="438150"/>
        </a:xfrm>
        <a:prstGeom prst="rect">
          <a:avLst/>
        </a:prstGeom>
        <a:noFill/>
        <a:ln w="9525">
          <a:noFill/>
        </a:ln>
      </xdr:spPr>
    </xdr:pic>
    <xdr:clientData/>
  </xdr:twoCellAnchor>
  <xdr:twoCellAnchor editAs="oneCell">
    <xdr:from>
      <xdr:col>7</xdr:col>
      <xdr:colOff>13970</xdr:colOff>
      <xdr:row>31</xdr:row>
      <xdr:rowOff>61595</xdr:rowOff>
    </xdr:from>
    <xdr:to>
      <xdr:col>13</xdr:col>
      <xdr:colOff>759460</xdr:colOff>
      <xdr:row>54</xdr:row>
      <xdr:rowOff>24129</xdr:rowOff>
    </xdr:to>
    <xdr:pic>
      <xdr:nvPicPr>
        <xdr:cNvPr id="107" name="图片 106">
          <a:extLst>
            <a:ext uri="{FF2B5EF4-FFF2-40B4-BE49-F238E27FC236}">
              <a16:creationId xmlns:a16="http://schemas.microsoft.com/office/drawing/2014/main" id="{00000000-0008-0000-0900-00006B000000}"/>
            </a:ext>
          </a:extLst>
        </xdr:cNvPr>
        <xdr:cNvPicPr>
          <a:picLocks noChangeAspect="1"/>
        </xdr:cNvPicPr>
      </xdr:nvPicPr>
      <xdr:blipFill>
        <a:blip xmlns:r="http://schemas.openxmlformats.org/officeDocument/2006/relationships" r:embed="rId3"/>
        <a:stretch>
          <a:fillRect/>
        </a:stretch>
      </xdr:blipFill>
      <xdr:spPr>
        <a:xfrm>
          <a:off x="10310495" y="5376545"/>
          <a:ext cx="5993765" cy="39052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108" name="图片 107" descr="3f92feda0807e22d3b499bb5677da7d" hidden="1">
          <a:extLst>
            <a:ext uri="{FF2B5EF4-FFF2-40B4-BE49-F238E27FC236}">
              <a16:creationId xmlns:a16="http://schemas.microsoft.com/office/drawing/2014/main" id="{991BBEBF-EC7F-47C5-8ACE-F4E49C51E4F6}"/>
            </a:ext>
          </a:extLst>
        </xdr:cNvPr>
        <xdr:cNvPicPr>
          <a:picLocks noChangeAspect="1"/>
        </xdr:cNvPicPr>
      </xdr:nvPicPr>
      <xdr:blipFill>
        <a:blip xmlns:r="http://schemas.openxmlformats.org/officeDocument/2006/relationships" r:embed="rId1"/>
        <a:stretch>
          <a:fillRect/>
        </a:stretch>
      </xdr:blipFill>
      <xdr:spPr>
        <a:xfrm>
          <a:off x="13255625" y="1459738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109" name="图片 108">
          <a:extLst>
            <a:ext uri="{FF2B5EF4-FFF2-40B4-BE49-F238E27FC236}">
              <a16:creationId xmlns:a16="http://schemas.microsoft.com/office/drawing/2014/main" id="{CBEF3A92-6A28-4229-ADBB-176FB7B1D85E}"/>
            </a:ext>
          </a:extLst>
        </xdr:cNvPr>
        <xdr:cNvPicPr>
          <a:picLocks noChangeAspect="1"/>
        </xdr:cNvPicPr>
      </xdr:nvPicPr>
      <xdr:blipFill>
        <a:blip xmlns:r="http://schemas.openxmlformats.org/officeDocument/2006/relationships" r:embed="rId2"/>
        <a:stretch>
          <a:fillRect/>
        </a:stretch>
      </xdr:blipFill>
      <xdr:spPr>
        <a:xfrm>
          <a:off x="620395" y="29353510"/>
          <a:ext cx="2644140" cy="438150"/>
        </a:xfrm>
        <a:prstGeom prst="rect">
          <a:avLst/>
        </a:prstGeom>
        <a:noFill/>
        <a:ln w="9525">
          <a:noFill/>
        </a:ln>
      </xdr:spPr>
    </xdr:pic>
    <xdr:clientData/>
  </xdr:twoCellAnchor>
  <xdr:twoCellAnchor editAs="oneCell">
    <xdr:from>
      <xdr:col>7</xdr:col>
      <xdr:colOff>13970</xdr:colOff>
      <xdr:row>31</xdr:row>
      <xdr:rowOff>61595</xdr:rowOff>
    </xdr:from>
    <xdr:to>
      <xdr:col>13</xdr:col>
      <xdr:colOff>759460</xdr:colOff>
      <xdr:row>54</xdr:row>
      <xdr:rowOff>24130</xdr:rowOff>
    </xdr:to>
    <xdr:pic>
      <xdr:nvPicPr>
        <xdr:cNvPr id="110" name="图片 109">
          <a:extLst>
            <a:ext uri="{FF2B5EF4-FFF2-40B4-BE49-F238E27FC236}">
              <a16:creationId xmlns:a16="http://schemas.microsoft.com/office/drawing/2014/main" id="{286D2315-D9EF-43F6-812A-A483A0CF41A6}"/>
            </a:ext>
          </a:extLst>
        </xdr:cNvPr>
        <xdr:cNvPicPr>
          <a:picLocks noChangeAspect="1"/>
        </xdr:cNvPicPr>
      </xdr:nvPicPr>
      <xdr:blipFill>
        <a:blip xmlns:r="http://schemas.openxmlformats.org/officeDocument/2006/relationships" r:embed="rId3"/>
        <a:stretch>
          <a:fillRect/>
        </a:stretch>
      </xdr:blipFill>
      <xdr:spPr>
        <a:xfrm>
          <a:off x="10310495" y="5671820"/>
          <a:ext cx="5993765" cy="3905885"/>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111" name="图片 110" descr="3f92feda0807e22d3b499bb5677da7d" hidden="1">
          <a:extLst>
            <a:ext uri="{FF2B5EF4-FFF2-40B4-BE49-F238E27FC236}">
              <a16:creationId xmlns:a16="http://schemas.microsoft.com/office/drawing/2014/main" id="{C2C99960-47D3-4A99-8278-B0F3110F6A46}"/>
            </a:ext>
          </a:extLst>
        </xdr:cNvPr>
        <xdr:cNvPicPr>
          <a:picLocks noChangeAspect="1"/>
        </xdr:cNvPicPr>
      </xdr:nvPicPr>
      <xdr:blipFill>
        <a:blip xmlns:r="http://schemas.openxmlformats.org/officeDocument/2006/relationships" r:embed="rId1"/>
        <a:stretch>
          <a:fillRect/>
        </a:stretch>
      </xdr:blipFill>
      <xdr:spPr>
        <a:xfrm>
          <a:off x="13255625" y="1459738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112" name="图片 111">
          <a:extLst>
            <a:ext uri="{FF2B5EF4-FFF2-40B4-BE49-F238E27FC236}">
              <a16:creationId xmlns:a16="http://schemas.microsoft.com/office/drawing/2014/main" id="{41600F8C-9772-4B2E-80B7-E1BDE9BD38C0}"/>
            </a:ext>
          </a:extLst>
        </xdr:cNvPr>
        <xdr:cNvPicPr>
          <a:picLocks noChangeAspect="1"/>
        </xdr:cNvPicPr>
      </xdr:nvPicPr>
      <xdr:blipFill>
        <a:blip xmlns:r="http://schemas.openxmlformats.org/officeDocument/2006/relationships" r:embed="rId2"/>
        <a:stretch>
          <a:fillRect/>
        </a:stretch>
      </xdr:blipFill>
      <xdr:spPr>
        <a:xfrm>
          <a:off x="620395" y="29353510"/>
          <a:ext cx="2644140" cy="438150"/>
        </a:xfrm>
        <a:prstGeom prst="rect">
          <a:avLst/>
        </a:prstGeom>
        <a:noFill/>
        <a:ln w="9525">
          <a:noFill/>
        </a:ln>
      </xdr:spPr>
    </xdr:pic>
    <xdr:clientData/>
  </xdr:twoCellAnchor>
  <xdr:twoCellAnchor editAs="oneCell">
    <xdr:from>
      <xdr:col>7</xdr:col>
      <xdr:colOff>13970</xdr:colOff>
      <xdr:row>31</xdr:row>
      <xdr:rowOff>61595</xdr:rowOff>
    </xdr:from>
    <xdr:to>
      <xdr:col>13</xdr:col>
      <xdr:colOff>759460</xdr:colOff>
      <xdr:row>54</xdr:row>
      <xdr:rowOff>24130</xdr:rowOff>
    </xdr:to>
    <xdr:pic>
      <xdr:nvPicPr>
        <xdr:cNvPr id="113" name="图片 112">
          <a:extLst>
            <a:ext uri="{FF2B5EF4-FFF2-40B4-BE49-F238E27FC236}">
              <a16:creationId xmlns:a16="http://schemas.microsoft.com/office/drawing/2014/main" id="{4EE9F820-4491-495A-BDA1-DF01BAEA66A3}"/>
            </a:ext>
          </a:extLst>
        </xdr:cNvPr>
        <xdr:cNvPicPr>
          <a:picLocks noChangeAspect="1"/>
        </xdr:cNvPicPr>
      </xdr:nvPicPr>
      <xdr:blipFill>
        <a:blip xmlns:r="http://schemas.openxmlformats.org/officeDocument/2006/relationships" r:embed="rId3"/>
        <a:stretch>
          <a:fillRect/>
        </a:stretch>
      </xdr:blipFill>
      <xdr:spPr>
        <a:xfrm>
          <a:off x="10310495" y="5671820"/>
          <a:ext cx="5993765" cy="3905885"/>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114" name="图片 113" descr="3f92feda0807e22d3b499bb5677da7d" hidden="1">
          <a:extLst>
            <a:ext uri="{FF2B5EF4-FFF2-40B4-BE49-F238E27FC236}">
              <a16:creationId xmlns:a16="http://schemas.microsoft.com/office/drawing/2014/main" id="{4E11DF94-27FF-4581-B87D-C322DD74F79A}"/>
            </a:ext>
          </a:extLst>
        </xdr:cNvPr>
        <xdr:cNvPicPr>
          <a:picLocks noChangeAspect="1"/>
        </xdr:cNvPicPr>
      </xdr:nvPicPr>
      <xdr:blipFill>
        <a:blip xmlns:r="http://schemas.openxmlformats.org/officeDocument/2006/relationships" r:embed="rId1"/>
        <a:stretch>
          <a:fillRect/>
        </a:stretch>
      </xdr:blipFill>
      <xdr:spPr>
        <a:xfrm>
          <a:off x="13255625" y="1459738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115" name="图片 114">
          <a:extLst>
            <a:ext uri="{FF2B5EF4-FFF2-40B4-BE49-F238E27FC236}">
              <a16:creationId xmlns:a16="http://schemas.microsoft.com/office/drawing/2014/main" id="{E386151C-F1E5-4655-84AA-81FE68FFB72C}"/>
            </a:ext>
          </a:extLst>
        </xdr:cNvPr>
        <xdr:cNvPicPr>
          <a:picLocks noChangeAspect="1"/>
        </xdr:cNvPicPr>
      </xdr:nvPicPr>
      <xdr:blipFill>
        <a:blip xmlns:r="http://schemas.openxmlformats.org/officeDocument/2006/relationships" r:embed="rId2"/>
        <a:stretch>
          <a:fillRect/>
        </a:stretch>
      </xdr:blipFill>
      <xdr:spPr>
        <a:xfrm>
          <a:off x="620395" y="29353510"/>
          <a:ext cx="2644140" cy="438150"/>
        </a:xfrm>
        <a:prstGeom prst="rect">
          <a:avLst/>
        </a:prstGeom>
        <a:noFill/>
        <a:ln w="9525">
          <a:noFill/>
        </a:ln>
      </xdr:spPr>
    </xdr:pic>
    <xdr:clientData/>
  </xdr:twoCellAnchor>
  <xdr:twoCellAnchor editAs="oneCell">
    <xdr:from>
      <xdr:col>7</xdr:col>
      <xdr:colOff>13970</xdr:colOff>
      <xdr:row>31</xdr:row>
      <xdr:rowOff>61595</xdr:rowOff>
    </xdr:from>
    <xdr:to>
      <xdr:col>13</xdr:col>
      <xdr:colOff>759460</xdr:colOff>
      <xdr:row>54</xdr:row>
      <xdr:rowOff>24130</xdr:rowOff>
    </xdr:to>
    <xdr:pic>
      <xdr:nvPicPr>
        <xdr:cNvPr id="116" name="图片 115">
          <a:extLst>
            <a:ext uri="{FF2B5EF4-FFF2-40B4-BE49-F238E27FC236}">
              <a16:creationId xmlns:a16="http://schemas.microsoft.com/office/drawing/2014/main" id="{E755D349-5F4B-414B-8B80-4D1C41055443}"/>
            </a:ext>
          </a:extLst>
        </xdr:cNvPr>
        <xdr:cNvPicPr>
          <a:picLocks noChangeAspect="1"/>
        </xdr:cNvPicPr>
      </xdr:nvPicPr>
      <xdr:blipFill>
        <a:blip xmlns:r="http://schemas.openxmlformats.org/officeDocument/2006/relationships" r:embed="rId3"/>
        <a:stretch>
          <a:fillRect/>
        </a:stretch>
      </xdr:blipFill>
      <xdr:spPr>
        <a:xfrm>
          <a:off x="10310495" y="5671820"/>
          <a:ext cx="5993765" cy="3905885"/>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117" name="图片 116" descr="3f92feda0807e22d3b499bb5677da7d" hidden="1">
          <a:extLst>
            <a:ext uri="{FF2B5EF4-FFF2-40B4-BE49-F238E27FC236}">
              <a16:creationId xmlns:a16="http://schemas.microsoft.com/office/drawing/2014/main" id="{62A3B797-43B6-46D4-BBB7-4B0B831DCDC9}"/>
            </a:ext>
          </a:extLst>
        </xdr:cNvPr>
        <xdr:cNvPicPr>
          <a:picLocks noChangeAspect="1"/>
        </xdr:cNvPicPr>
      </xdr:nvPicPr>
      <xdr:blipFill>
        <a:blip xmlns:r="http://schemas.openxmlformats.org/officeDocument/2006/relationships" r:embed="rId1"/>
        <a:stretch>
          <a:fillRect/>
        </a:stretch>
      </xdr:blipFill>
      <xdr:spPr>
        <a:xfrm>
          <a:off x="13255625" y="1459738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118" name="图片 117">
          <a:extLst>
            <a:ext uri="{FF2B5EF4-FFF2-40B4-BE49-F238E27FC236}">
              <a16:creationId xmlns:a16="http://schemas.microsoft.com/office/drawing/2014/main" id="{5079F959-4BFB-48C2-B408-68B2DA1DCF0A}"/>
            </a:ext>
          </a:extLst>
        </xdr:cNvPr>
        <xdr:cNvPicPr>
          <a:picLocks noChangeAspect="1"/>
        </xdr:cNvPicPr>
      </xdr:nvPicPr>
      <xdr:blipFill>
        <a:blip xmlns:r="http://schemas.openxmlformats.org/officeDocument/2006/relationships" r:embed="rId2"/>
        <a:stretch>
          <a:fillRect/>
        </a:stretch>
      </xdr:blipFill>
      <xdr:spPr>
        <a:xfrm>
          <a:off x="620395" y="2935351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119" name="图片 118" descr="3f92feda0807e22d3b499bb5677da7d" hidden="1">
          <a:extLst>
            <a:ext uri="{FF2B5EF4-FFF2-40B4-BE49-F238E27FC236}">
              <a16:creationId xmlns:a16="http://schemas.microsoft.com/office/drawing/2014/main" id="{3A638D5E-DD76-4A26-80CB-EDD09A951AA0}"/>
            </a:ext>
          </a:extLst>
        </xdr:cNvPr>
        <xdr:cNvPicPr>
          <a:picLocks noChangeAspect="1"/>
        </xdr:cNvPicPr>
      </xdr:nvPicPr>
      <xdr:blipFill>
        <a:blip xmlns:r="http://schemas.openxmlformats.org/officeDocument/2006/relationships" r:embed="rId1"/>
        <a:stretch>
          <a:fillRect/>
        </a:stretch>
      </xdr:blipFill>
      <xdr:spPr>
        <a:xfrm>
          <a:off x="13255625" y="1459738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120" name="图片 119">
          <a:extLst>
            <a:ext uri="{FF2B5EF4-FFF2-40B4-BE49-F238E27FC236}">
              <a16:creationId xmlns:a16="http://schemas.microsoft.com/office/drawing/2014/main" id="{AAF41B90-1CEC-4D34-940D-0BD33DD44839}"/>
            </a:ext>
          </a:extLst>
        </xdr:cNvPr>
        <xdr:cNvPicPr>
          <a:picLocks noChangeAspect="1"/>
        </xdr:cNvPicPr>
      </xdr:nvPicPr>
      <xdr:blipFill>
        <a:blip xmlns:r="http://schemas.openxmlformats.org/officeDocument/2006/relationships" r:embed="rId2"/>
        <a:stretch>
          <a:fillRect/>
        </a:stretch>
      </xdr:blipFill>
      <xdr:spPr>
        <a:xfrm>
          <a:off x="620395" y="2935351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121" name="图片 120" descr="3f92feda0807e22d3b499bb5677da7d" hidden="1">
          <a:extLst>
            <a:ext uri="{FF2B5EF4-FFF2-40B4-BE49-F238E27FC236}">
              <a16:creationId xmlns:a16="http://schemas.microsoft.com/office/drawing/2014/main" id="{96A4472D-F6C7-46C3-8E0E-E226D94731C2}"/>
            </a:ext>
          </a:extLst>
        </xdr:cNvPr>
        <xdr:cNvPicPr>
          <a:picLocks noChangeAspect="1"/>
        </xdr:cNvPicPr>
      </xdr:nvPicPr>
      <xdr:blipFill>
        <a:blip xmlns:r="http://schemas.openxmlformats.org/officeDocument/2006/relationships" r:embed="rId1"/>
        <a:stretch>
          <a:fillRect/>
        </a:stretch>
      </xdr:blipFill>
      <xdr:spPr>
        <a:xfrm>
          <a:off x="13379450" y="1459738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122" name="图片 121">
          <a:extLst>
            <a:ext uri="{FF2B5EF4-FFF2-40B4-BE49-F238E27FC236}">
              <a16:creationId xmlns:a16="http://schemas.microsoft.com/office/drawing/2014/main" id="{B549BECD-3E5C-4B63-BA7A-A6A2F58C0B9F}"/>
            </a:ext>
          </a:extLst>
        </xdr:cNvPr>
        <xdr:cNvPicPr>
          <a:picLocks noChangeAspect="1"/>
        </xdr:cNvPicPr>
      </xdr:nvPicPr>
      <xdr:blipFill>
        <a:blip xmlns:r="http://schemas.openxmlformats.org/officeDocument/2006/relationships" r:embed="rId2"/>
        <a:stretch>
          <a:fillRect/>
        </a:stretch>
      </xdr:blipFill>
      <xdr:spPr>
        <a:xfrm>
          <a:off x="620395" y="2935351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123" name="图片 122" descr="3f92feda0807e22d3b499bb5677da7d" hidden="1">
          <a:extLst>
            <a:ext uri="{FF2B5EF4-FFF2-40B4-BE49-F238E27FC236}">
              <a16:creationId xmlns:a16="http://schemas.microsoft.com/office/drawing/2014/main" id="{69DE30FD-4D8A-4DB6-A253-EFB7B7160B12}"/>
            </a:ext>
          </a:extLst>
        </xdr:cNvPr>
        <xdr:cNvPicPr>
          <a:picLocks noChangeAspect="1"/>
        </xdr:cNvPicPr>
      </xdr:nvPicPr>
      <xdr:blipFill>
        <a:blip xmlns:r="http://schemas.openxmlformats.org/officeDocument/2006/relationships" r:embed="rId1"/>
        <a:stretch>
          <a:fillRect/>
        </a:stretch>
      </xdr:blipFill>
      <xdr:spPr>
        <a:xfrm>
          <a:off x="13379450" y="1459738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124" name="图片 123">
          <a:extLst>
            <a:ext uri="{FF2B5EF4-FFF2-40B4-BE49-F238E27FC236}">
              <a16:creationId xmlns:a16="http://schemas.microsoft.com/office/drawing/2014/main" id="{C83BF0B6-7BE0-4FB2-851B-A532416FCAC2}"/>
            </a:ext>
          </a:extLst>
        </xdr:cNvPr>
        <xdr:cNvPicPr>
          <a:picLocks noChangeAspect="1"/>
        </xdr:cNvPicPr>
      </xdr:nvPicPr>
      <xdr:blipFill>
        <a:blip xmlns:r="http://schemas.openxmlformats.org/officeDocument/2006/relationships" r:embed="rId2"/>
        <a:stretch>
          <a:fillRect/>
        </a:stretch>
      </xdr:blipFill>
      <xdr:spPr>
        <a:xfrm>
          <a:off x="620395" y="2935351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125" name="图片 124" descr="3f92feda0807e22d3b499bb5677da7d" hidden="1">
          <a:extLst>
            <a:ext uri="{FF2B5EF4-FFF2-40B4-BE49-F238E27FC236}">
              <a16:creationId xmlns:a16="http://schemas.microsoft.com/office/drawing/2014/main" id="{B70724BB-F90D-47EB-AC3A-B57C69008E85}"/>
            </a:ext>
          </a:extLst>
        </xdr:cNvPr>
        <xdr:cNvPicPr>
          <a:picLocks noChangeAspect="1"/>
        </xdr:cNvPicPr>
      </xdr:nvPicPr>
      <xdr:blipFill>
        <a:blip xmlns:r="http://schemas.openxmlformats.org/officeDocument/2006/relationships" r:embed="rId1"/>
        <a:stretch>
          <a:fillRect/>
        </a:stretch>
      </xdr:blipFill>
      <xdr:spPr>
        <a:xfrm>
          <a:off x="13379450" y="1459738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126" name="图片 125">
          <a:extLst>
            <a:ext uri="{FF2B5EF4-FFF2-40B4-BE49-F238E27FC236}">
              <a16:creationId xmlns:a16="http://schemas.microsoft.com/office/drawing/2014/main" id="{0760FADF-90DC-4497-A8E8-FFF85AF4EFF3}"/>
            </a:ext>
          </a:extLst>
        </xdr:cNvPr>
        <xdr:cNvPicPr>
          <a:picLocks noChangeAspect="1"/>
        </xdr:cNvPicPr>
      </xdr:nvPicPr>
      <xdr:blipFill>
        <a:blip xmlns:r="http://schemas.openxmlformats.org/officeDocument/2006/relationships" r:embed="rId2"/>
        <a:stretch>
          <a:fillRect/>
        </a:stretch>
      </xdr:blipFill>
      <xdr:spPr>
        <a:xfrm>
          <a:off x="620395" y="2935351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127" name="图片 126" descr="3f92feda0807e22d3b499bb5677da7d" hidden="1">
          <a:extLst>
            <a:ext uri="{FF2B5EF4-FFF2-40B4-BE49-F238E27FC236}">
              <a16:creationId xmlns:a16="http://schemas.microsoft.com/office/drawing/2014/main" id="{A396AA69-8933-49C7-BD2E-900AEEEFD01C}"/>
            </a:ext>
          </a:extLst>
        </xdr:cNvPr>
        <xdr:cNvPicPr>
          <a:picLocks noChangeAspect="1"/>
        </xdr:cNvPicPr>
      </xdr:nvPicPr>
      <xdr:blipFill>
        <a:blip xmlns:r="http://schemas.openxmlformats.org/officeDocument/2006/relationships" r:embed="rId1"/>
        <a:stretch>
          <a:fillRect/>
        </a:stretch>
      </xdr:blipFill>
      <xdr:spPr>
        <a:xfrm>
          <a:off x="13379450" y="1459738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128" name="图片 127">
          <a:extLst>
            <a:ext uri="{FF2B5EF4-FFF2-40B4-BE49-F238E27FC236}">
              <a16:creationId xmlns:a16="http://schemas.microsoft.com/office/drawing/2014/main" id="{97151C98-B88F-4899-B7C7-8F358A13A984}"/>
            </a:ext>
          </a:extLst>
        </xdr:cNvPr>
        <xdr:cNvPicPr>
          <a:picLocks noChangeAspect="1"/>
        </xdr:cNvPicPr>
      </xdr:nvPicPr>
      <xdr:blipFill>
        <a:blip xmlns:r="http://schemas.openxmlformats.org/officeDocument/2006/relationships" r:embed="rId2"/>
        <a:stretch>
          <a:fillRect/>
        </a:stretch>
      </xdr:blipFill>
      <xdr:spPr>
        <a:xfrm>
          <a:off x="620395" y="29353510"/>
          <a:ext cx="2644140" cy="438150"/>
        </a:xfrm>
        <a:prstGeom prst="rect">
          <a:avLst/>
        </a:prstGeom>
        <a:noFill/>
        <a:ln w="9525">
          <a:noFill/>
        </a:ln>
      </xdr:spPr>
    </xdr:pic>
    <xdr:clientData/>
  </xdr:twoCellAnchor>
  <xdr:twoCellAnchor editAs="oneCell">
    <xdr:from>
      <xdr:col>10</xdr:col>
      <xdr:colOff>149225</xdr:colOff>
      <xdr:row>80</xdr:row>
      <xdr:rowOff>128905</xdr:rowOff>
    </xdr:from>
    <xdr:to>
      <xdr:col>11</xdr:col>
      <xdr:colOff>719455</xdr:colOff>
      <xdr:row>89</xdr:row>
      <xdr:rowOff>47625</xdr:rowOff>
    </xdr:to>
    <xdr:pic>
      <xdr:nvPicPr>
        <xdr:cNvPr id="129" name="图片 128" descr="3f92feda0807e22d3b499bb5677da7d" hidden="1">
          <a:extLst>
            <a:ext uri="{FF2B5EF4-FFF2-40B4-BE49-F238E27FC236}">
              <a16:creationId xmlns:a16="http://schemas.microsoft.com/office/drawing/2014/main" id="{F4EC42E5-0292-481E-B30C-BA415D8FA194}"/>
            </a:ext>
          </a:extLst>
        </xdr:cNvPr>
        <xdr:cNvPicPr>
          <a:picLocks noChangeAspect="1"/>
        </xdr:cNvPicPr>
      </xdr:nvPicPr>
      <xdr:blipFill>
        <a:blip xmlns:r="http://schemas.openxmlformats.org/officeDocument/2006/relationships" r:embed="rId1"/>
        <a:stretch>
          <a:fillRect/>
        </a:stretch>
      </xdr:blipFill>
      <xdr:spPr>
        <a:xfrm>
          <a:off x="13379450" y="14597380"/>
          <a:ext cx="1351280" cy="1461770"/>
        </a:xfrm>
        <a:prstGeom prst="rect">
          <a:avLst/>
        </a:prstGeom>
      </xdr:spPr>
    </xdr:pic>
    <xdr:clientData/>
  </xdr:twoCellAnchor>
  <xdr:twoCellAnchor editAs="oneCell">
    <xdr:from>
      <xdr:col>1</xdr:col>
      <xdr:colOff>267970</xdr:colOff>
      <xdr:row>162</xdr:row>
      <xdr:rowOff>6985</xdr:rowOff>
    </xdr:from>
    <xdr:to>
      <xdr:col>3</xdr:col>
      <xdr:colOff>64135</xdr:colOff>
      <xdr:row>164</xdr:row>
      <xdr:rowOff>83185</xdr:rowOff>
    </xdr:to>
    <xdr:pic>
      <xdr:nvPicPr>
        <xdr:cNvPr id="130" name="图片 129">
          <a:extLst>
            <a:ext uri="{FF2B5EF4-FFF2-40B4-BE49-F238E27FC236}">
              <a16:creationId xmlns:a16="http://schemas.microsoft.com/office/drawing/2014/main" id="{E46A5117-4EBF-4C32-8665-9A43BB5CB875}"/>
            </a:ext>
          </a:extLst>
        </xdr:cNvPr>
        <xdr:cNvPicPr>
          <a:picLocks noChangeAspect="1"/>
        </xdr:cNvPicPr>
      </xdr:nvPicPr>
      <xdr:blipFill>
        <a:blip xmlns:r="http://schemas.openxmlformats.org/officeDocument/2006/relationships" r:embed="rId2"/>
        <a:stretch>
          <a:fillRect/>
        </a:stretch>
      </xdr:blipFill>
      <xdr:spPr>
        <a:xfrm>
          <a:off x="620395" y="29353510"/>
          <a:ext cx="2644140" cy="438150"/>
        </a:xfrm>
        <a:prstGeom prst="rect">
          <a:avLst/>
        </a:prstGeom>
        <a:noFill/>
        <a:ln w="9525">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10</xdr:col>
      <xdr:colOff>12656</xdr:colOff>
      <xdr:row>2</xdr:row>
      <xdr:rowOff>652766</xdr:rowOff>
    </xdr:from>
    <xdr:to>
      <xdr:col>21</xdr:col>
      <xdr:colOff>277999</xdr:colOff>
      <xdr:row>8</xdr:row>
      <xdr:rowOff>207820</xdr:rowOff>
    </xdr:to>
    <xdr:pic>
      <xdr:nvPicPr>
        <xdr:cNvPr id="2" name="图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16385540" y="2452370"/>
          <a:ext cx="12133580" cy="6623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20</xdr:col>
      <xdr:colOff>533400</xdr:colOff>
      <xdr:row>1</xdr:row>
      <xdr:rowOff>161925</xdr:rowOff>
    </xdr:from>
    <xdr:to>
      <xdr:col>32</xdr:col>
      <xdr:colOff>85725</xdr:colOff>
      <xdr:row>1</xdr:row>
      <xdr:rowOff>285750</xdr:rowOff>
    </xdr:to>
    <xdr:pic>
      <xdr:nvPicPr>
        <xdr:cNvPr id="2" name="Picture 3" descr="NJ BORACS &amp; Co 21KB">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8935700" y="55753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533400</xdr:colOff>
      <xdr:row>1</xdr:row>
      <xdr:rowOff>161925</xdr:rowOff>
    </xdr:from>
    <xdr:to>
      <xdr:col>32</xdr:col>
      <xdr:colOff>85725</xdr:colOff>
      <xdr:row>1</xdr:row>
      <xdr:rowOff>285750</xdr:rowOff>
    </xdr:to>
    <xdr:pic>
      <xdr:nvPicPr>
        <xdr:cNvPr id="3" name="Picture 3" descr="NJ BORACS &amp; Co 21KB">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8935700" y="55753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533400</xdr:colOff>
      <xdr:row>1</xdr:row>
      <xdr:rowOff>161925</xdr:rowOff>
    </xdr:from>
    <xdr:to>
      <xdr:col>32</xdr:col>
      <xdr:colOff>85725</xdr:colOff>
      <xdr:row>1</xdr:row>
      <xdr:rowOff>285750</xdr:rowOff>
    </xdr:to>
    <xdr:pic>
      <xdr:nvPicPr>
        <xdr:cNvPr id="4" name="Picture 3" descr="NJ BORACS &amp; Co 21KB">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8935700" y="55753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533400</xdr:colOff>
      <xdr:row>1</xdr:row>
      <xdr:rowOff>161925</xdr:rowOff>
    </xdr:from>
    <xdr:to>
      <xdr:col>32</xdr:col>
      <xdr:colOff>85725</xdr:colOff>
      <xdr:row>1</xdr:row>
      <xdr:rowOff>285750</xdr:rowOff>
    </xdr:to>
    <xdr:pic>
      <xdr:nvPicPr>
        <xdr:cNvPr id="5" name="Picture 3" descr="NJ BORACS &amp; Co 21KB">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8935700" y="55753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533400</xdr:colOff>
      <xdr:row>1</xdr:row>
      <xdr:rowOff>161925</xdr:rowOff>
    </xdr:from>
    <xdr:to>
      <xdr:col>32</xdr:col>
      <xdr:colOff>85725</xdr:colOff>
      <xdr:row>1</xdr:row>
      <xdr:rowOff>285750</xdr:rowOff>
    </xdr:to>
    <xdr:pic>
      <xdr:nvPicPr>
        <xdr:cNvPr id="6" name="Picture 3" descr="NJ BORACS &amp; Co 21KB">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8935700" y="55753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533400</xdr:colOff>
      <xdr:row>1</xdr:row>
      <xdr:rowOff>161925</xdr:rowOff>
    </xdr:from>
    <xdr:to>
      <xdr:col>32</xdr:col>
      <xdr:colOff>85725</xdr:colOff>
      <xdr:row>1</xdr:row>
      <xdr:rowOff>285750</xdr:rowOff>
    </xdr:to>
    <xdr:pic>
      <xdr:nvPicPr>
        <xdr:cNvPr id="7" name="Picture 3" descr="NJ BORACS &amp; Co 21KB">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8935700" y="55753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533400</xdr:colOff>
      <xdr:row>1</xdr:row>
      <xdr:rowOff>161925</xdr:rowOff>
    </xdr:from>
    <xdr:to>
      <xdr:col>32</xdr:col>
      <xdr:colOff>85725</xdr:colOff>
      <xdr:row>1</xdr:row>
      <xdr:rowOff>285750</xdr:rowOff>
    </xdr:to>
    <xdr:pic>
      <xdr:nvPicPr>
        <xdr:cNvPr id="8" name="Picture 3" descr="NJ BORACS &amp; Co 21KB">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8935700" y="55753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533400</xdr:colOff>
      <xdr:row>1</xdr:row>
      <xdr:rowOff>161925</xdr:rowOff>
    </xdr:from>
    <xdr:to>
      <xdr:col>32</xdr:col>
      <xdr:colOff>85725</xdr:colOff>
      <xdr:row>1</xdr:row>
      <xdr:rowOff>285750</xdr:rowOff>
    </xdr:to>
    <xdr:pic>
      <xdr:nvPicPr>
        <xdr:cNvPr id="9" name="Picture 3" descr="NJ BORACS &amp; Co 21KB">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8935700" y="55753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533400</xdr:colOff>
      <xdr:row>1</xdr:row>
      <xdr:rowOff>161925</xdr:rowOff>
    </xdr:from>
    <xdr:to>
      <xdr:col>30</xdr:col>
      <xdr:colOff>85725</xdr:colOff>
      <xdr:row>1</xdr:row>
      <xdr:rowOff>285750</xdr:rowOff>
    </xdr:to>
    <xdr:pic>
      <xdr:nvPicPr>
        <xdr:cNvPr id="10" name="Picture 3" descr="NJ BORACS &amp; Co 21KB">
          <a:extLst>
            <a:ext uri="{FF2B5EF4-FFF2-40B4-BE49-F238E27FC236}">
              <a16:creationId xmlns:a16="http://schemas.microsoft.com/office/drawing/2014/main" id="{04D93EB0-FFBD-4C4B-83A7-21EE3D433D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21425" y="55245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18</xdr:col>
      <xdr:colOff>533400</xdr:colOff>
      <xdr:row>1</xdr:row>
      <xdr:rowOff>161925</xdr:rowOff>
    </xdr:from>
    <xdr:to>
      <xdr:col>30</xdr:col>
      <xdr:colOff>85725</xdr:colOff>
      <xdr:row>1</xdr:row>
      <xdr:rowOff>285750</xdr:rowOff>
    </xdr:to>
    <xdr:pic>
      <xdr:nvPicPr>
        <xdr:cNvPr id="2" name="Picture 3" descr="NJ BORACS &amp; Co 21KB">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7002125" y="55753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533400</xdr:colOff>
      <xdr:row>1</xdr:row>
      <xdr:rowOff>161925</xdr:rowOff>
    </xdr:from>
    <xdr:to>
      <xdr:col>30</xdr:col>
      <xdr:colOff>85725</xdr:colOff>
      <xdr:row>1</xdr:row>
      <xdr:rowOff>285750</xdr:rowOff>
    </xdr:to>
    <xdr:pic>
      <xdr:nvPicPr>
        <xdr:cNvPr id="3" name="Picture 3" descr="NJ BORACS &amp; Co 21KB">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7002125" y="55753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533400</xdr:colOff>
      <xdr:row>1</xdr:row>
      <xdr:rowOff>161925</xdr:rowOff>
    </xdr:from>
    <xdr:to>
      <xdr:col>30</xdr:col>
      <xdr:colOff>85725</xdr:colOff>
      <xdr:row>1</xdr:row>
      <xdr:rowOff>285750</xdr:rowOff>
    </xdr:to>
    <xdr:pic>
      <xdr:nvPicPr>
        <xdr:cNvPr id="4" name="Picture 3" descr="NJ BORACS &amp; Co 21KB">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7002125" y="55753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533400</xdr:colOff>
      <xdr:row>1</xdr:row>
      <xdr:rowOff>161925</xdr:rowOff>
    </xdr:from>
    <xdr:to>
      <xdr:col>30</xdr:col>
      <xdr:colOff>85725</xdr:colOff>
      <xdr:row>1</xdr:row>
      <xdr:rowOff>285750</xdr:rowOff>
    </xdr:to>
    <xdr:pic>
      <xdr:nvPicPr>
        <xdr:cNvPr id="5" name="Picture 3" descr="NJ BORACS &amp; Co 21KB">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7002125" y="55753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533400</xdr:colOff>
      <xdr:row>1</xdr:row>
      <xdr:rowOff>161925</xdr:rowOff>
    </xdr:from>
    <xdr:to>
      <xdr:col>30</xdr:col>
      <xdr:colOff>85725</xdr:colOff>
      <xdr:row>1</xdr:row>
      <xdr:rowOff>285750</xdr:rowOff>
    </xdr:to>
    <xdr:pic>
      <xdr:nvPicPr>
        <xdr:cNvPr id="6" name="Picture 3" descr="NJ BORACS &amp; Co 21KB">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7002125" y="55753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533400</xdr:colOff>
      <xdr:row>1</xdr:row>
      <xdr:rowOff>161925</xdr:rowOff>
    </xdr:from>
    <xdr:to>
      <xdr:col>30</xdr:col>
      <xdr:colOff>85725</xdr:colOff>
      <xdr:row>1</xdr:row>
      <xdr:rowOff>285750</xdr:rowOff>
    </xdr:to>
    <xdr:pic>
      <xdr:nvPicPr>
        <xdr:cNvPr id="7" name="Picture 3" descr="NJ BORACS &amp; Co 21KB">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7002125" y="55753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533400</xdr:colOff>
      <xdr:row>1</xdr:row>
      <xdr:rowOff>161925</xdr:rowOff>
    </xdr:from>
    <xdr:to>
      <xdr:col>30</xdr:col>
      <xdr:colOff>85725</xdr:colOff>
      <xdr:row>1</xdr:row>
      <xdr:rowOff>285750</xdr:rowOff>
    </xdr:to>
    <xdr:pic>
      <xdr:nvPicPr>
        <xdr:cNvPr id="8" name="Picture 3" descr="NJ BORACS &amp; Co 21KB">
          <a:extLst>
            <a:ext uri="{FF2B5EF4-FFF2-40B4-BE49-F238E27FC236}">
              <a16:creationId xmlns:a16="http://schemas.microsoft.com/office/drawing/2014/main" id="{00000000-0008-0000-11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7002125" y="55753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533400</xdr:colOff>
      <xdr:row>1</xdr:row>
      <xdr:rowOff>161925</xdr:rowOff>
    </xdr:from>
    <xdr:to>
      <xdr:col>30</xdr:col>
      <xdr:colOff>85725</xdr:colOff>
      <xdr:row>1</xdr:row>
      <xdr:rowOff>285750</xdr:rowOff>
    </xdr:to>
    <xdr:pic>
      <xdr:nvPicPr>
        <xdr:cNvPr id="9" name="Picture 3" descr="NJ BORACS &amp; Co 21KB">
          <a:extLst>
            <a:ext uri="{FF2B5EF4-FFF2-40B4-BE49-F238E27FC236}">
              <a16:creationId xmlns:a16="http://schemas.microsoft.com/office/drawing/2014/main" id="{00000000-0008-0000-11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7002125" y="55753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533400</xdr:colOff>
      <xdr:row>1</xdr:row>
      <xdr:rowOff>161925</xdr:rowOff>
    </xdr:from>
    <xdr:to>
      <xdr:col>30</xdr:col>
      <xdr:colOff>85725</xdr:colOff>
      <xdr:row>1</xdr:row>
      <xdr:rowOff>285750</xdr:rowOff>
    </xdr:to>
    <xdr:pic>
      <xdr:nvPicPr>
        <xdr:cNvPr id="10" name="Picture 3" descr="NJ BORACS &amp; Co 21KB">
          <a:extLst>
            <a:ext uri="{FF2B5EF4-FFF2-40B4-BE49-F238E27FC236}">
              <a16:creationId xmlns:a16="http://schemas.microsoft.com/office/drawing/2014/main" id="{00000000-0008-0000-11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7002125" y="55753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533400</xdr:colOff>
      <xdr:row>1</xdr:row>
      <xdr:rowOff>161925</xdr:rowOff>
    </xdr:from>
    <xdr:to>
      <xdr:col>30</xdr:col>
      <xdr:colOff>85725</xdr:colOff>
      <xdr:row>1</xdr:row>
      <xdr:rowOff>285750</xdr:rowOff>
    </xdr:to>
    <xdr:pic>
      <xdr:nvPicPr>
        <xdr:cNvPr id="11" name="Picture 3" descr="NJ BORACS &amp; Co 21KB">
          <a:extLst>
            <a:ext uri="{FF2B5EF4-FFF2-40B4-BE49-F238E27FC236}">
              <a16:creationId xmlns:a16="http://schemas.microsoft.com/office/drawing/2014/main" id="{424615E6-C121-4A8E-837A-A9BD0B9871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002125" y="552450"/>
          <a:ext cx="778192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21</xdr:col>
      <xdr:colOff>449580</xdr:colOff>
      <xdr:row>92</xdr:row>
      <xdr:rowOff>15240</xdr:rowOff>
    </xdr:from>
    <xdr:to>
      <xdr:col>31</xdr:col>
      <xdr:colOff>6985</xdr:colOff>
      <xdr:row>132</xdr:row>
      <xdr:rowOff>133985</xdr:rowOff>
    </xdr:to>
    <xdr:pic>
      <xdr:nvPicPr>
        <xdr:cNvPr id="10" name="图片 3">
          <a:extLst>
            <a:ext uri="{FF2B5EF4-FFF2-40B4-BE49-F238E27FC236}">
              <a16:creationId xmlns:a16="http://schemas.microsoft.com/office/drawing/2014/main" id="{00000000-0008-0000-1200-00000A000000}"/>
            </a:ext>
          </a:extLst>
        </xdr:cNvPr>
        <xdr:cNvPicPr>
          <a:picLocks noChangeAspect="1"/>
        </xdr:cNvPicPr>
      </xdr:nvPicPr>
      <xdr:blipFill>
        <a:blip xmlns:r="http://schemas.openxmlformats.org/officeDocument/2006/relationships" r:embed="rId1"/>
        <a:stretch>
          <a:fillRect/>
        </a:stretch>
      </xdr:blipFill>
      <xdr:spPr>
        <a:xfrm>
          <a:off x="20671155" y="20882610"/>
          <a:ext cx="6415405" cy="9262745"/>
        </a:xfrm>
        <a:prstGeom prst="rect">
          <a:avLst/>
        </a:prstGeom>
        <a:noFill/>
        <a:ln w="9525">
          <a:noFill/>
        </a:ln>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23458;&#25143;&#30456;&#20851;\&#25253;&#20215;\&#22823;&#27915;&#27954;\&#26032;&#35199;&#20848;\Capital\Boracs-CPJ-Cantilever-price%20list%20260227\&#25104;&#26412;-CPJ-Cantilever-price%20list%20260227.xlsm" TargetMode="External"/><Relationship Id="rId1" Type="http://schemas.openxmlformats.org/officeDocument/2006/relationships/externalLinkPath" Target="file:///D:\&#23458;&#25143;&#30456;&#20851;\&#25253;&#20215;\&#22823;&#27915;&#27954;\&#26032;&#35199;&#20848;\Capital\Boracs-CPJ-Cantilever-price%20list%20260227\&#25104;&#26412;-CPJ-Cantilever-price%20list%20260227.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D:\&#23458;&#25143;&#30456;&#20851;\&#25253;&#20215;\&#32654;&#27954;\Dura%20rack\Boracs-MHJ-Pallet%20racking-price%20list%20251215\&#25104;&#26412;-MHJ-Pallet%20racking-price%20list%20251215.xlsm" TargetMode="External"/><Relationship Id="rId1" Type="http://schemas.openxmlformats.org/officeDocument/2006/relationships/externalLinkPath" Target="file:///D:\&#23458;&#25143;&#30456;&#20851;\&#25253;&#20215;\&#32654;&#27954;\Dura%20rack\Boracs-MHJ-Pallet%20racking-price%20list%20251215\&#25104;&#26412;-MHJ-Pallet%20racking-price%20list%20251215.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D:\&#23458;&#25143;&#30456;&#20851;\&#23458;&#25143;&#28165;&#21333;.xlsx" TargetMode="External"/><Relationship Id="rId1" Type="http://schemas.openxmlformats.org/officeDocument/2006/relationships/externalLinkPath" Target="file:///D:\&#23458;&#25143;&#30456;&#20851;\&#23458;&#25143;&#28165;&#2133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 price 恒鑫荣"/>
      <sheetName val="SaleOrder Management"/>
      <sheetName val="Price PDF"/>
      <sheetName val="设计清单"/>
      <sheetName val="报价辅助计算"/>
      <sheetName val="报价辅助计算模板"/>
      <sheetName val="常规材料表"/>
      <sheetName val="Sheet1"/>
      <sheetName val="下拉菜单"/>
      <sheetName val="材料信息更新"/>
      <sheetName val="部件清单"/>
      <sheetName val="历史价格"/>
      <sheetName val="客户清单"/>
      <sheetName val="柱片老表"/>
      <sheetName val="横斜撑"/>
      <sheetName val="标准件价格"/>
      <sheetName val="穿梭板部件价格"/>
      <sheetName val="美式P梁价格"/>
      <sheetName val="标准件 每周更新"/>
    </sheetNames>
    <sheetDataSet>
      <sheetData sheetId="0"/>
      <sheetData sheetId="1"/>
      <sheetData sheetId="2"/>
      <sheetData sheetId="3"/>
      <sheetData sheetId="4"/>
      <sheetData sheetId="5"/>
      <sheetData sheetId="6">
        <row r="1">
          <cell r="A1" t="str">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D1">
            <v>30</v>
          </cell>
        </row>
        <row r="2">
          <cell r="A2" t="str">
            <v>Product</v>
          </cell>
          <cell r="B2" t="str">
            <v>产品 (2021年4月）</v>
          </cell>
          <cell r="C2" t="str">
            <v>重量 kg</v>
          </cell>
          <cell r="D2" t="str">
            <v>面积 m2</v>
          </cell>
          <cell r="E2" t="str">
            <v>预镀锌单价</v>
          </cell>
          <cell r="F2" t="str">
            <v>厚度 mm</v>
          </cell>
          <cell r="G2" t="str">
            <v>料宽 mm</v>
          </cell>
          <cell r="H2" t="str">
            <v>L1 mm</v>
          </cell>
          <cell r="I2" t="str">
            <v>L2 mm</v>
          </cell>
          <cell r="J2" t="str">
            <v>热卷单价</v>
          </cell>
          <cell r="K2" t="str">
            <v>工费单价</v>
          </cell>
          <cell r="L2" t="str">
            <v>喷塑</v>
          </cell>
          <cell r="M2" t="str">
            <v>热镀锌</v>
          </cell>
          <cell r="N2" t="str">
            <v>预镀锌包装费</v>
          </cell>
          <cell r="O2" t="str">
            <v>冷镀锌</v>
          </cell>
          <cell r="P2" t="str">
            <v>额外成本</v>
          </cell>
          <cell r="Q2" t="str">
            <v>配件1</v>
          </cell>
          <cell r="R2" t="str">
            <v>配件1数量</v>
          </cell>
          <cell r="S2" t="str">
            <v>配件2</v>
          </cell>
          <cell r="T2" t="str">
            <v>配件2数量</v>
          </cell>
          <cell r="U2" t="str">
            <v>配件3</v>
          </cell>
          <cell r="V2" t="str">
            <v>配件3数量</v>
          </cell>
          <cell r="W2" t="str">
            <v>热卷单价搜索词</v>
          </cell>
          <cell r="X2" t="str">
            <v>预镀锌单价搜索词</v>
          </cell>
          <cell r="Y2" t="str">
            <v>Q355镀锌卷</v>
          </cell>
          <cell r="Z2" t="str">
            <v>产品类型</v>
          </cell>
          <cell r="AA2" t="str">
            <v>报价描述 中文</v>
          </cell>
          <cell r="AB2" t="str">
            <v>报价描述</v>
          </cell>
          <cell r="AC2" t="str">
            <v>Q355黑卷单价</v>
          </cell>
          <cell r="AD2" t="str">
            <v>Q355预镀锌单价</v>
          </cell>
          <cell r="AE2" t="str">
            <v>边距</v>
          </cell>
        </row>
        <row r="3">
          <cell r="A3" t="str">
            <v>中型黑卷立柱</v>
          </cell>
          <cell r="AE3" t="str">
            <v>待完善</v>
          </cell>
        </row>
        <row r="4">
          <cell r="A4" t="str">
            <v>L5547-15</v>
          </cell>
          <cell r="B4" t="str">
            <v>AB不带小边148MM展开</v>
          </cell>
          <cell r="C4">
            <v>1.754475</v>
          </cell>
          <cell r="D4">
            <v>0.29799999999999999</v>
          </cell>
          <cell r="E4">
            <v>4.07</v>
          </cell>
          <cell r="F4">
            <v>1.5</v>
          </cell>
          <cell r="G4">
            <v>149</v>
          </cell>
          <cell r="H4">
            <v>372.5</v>
          </cell>
          <cell r="J4">
            <v>3.69</v>
          </cell>
          <cell r="K4">
            <v>1.8</v>
          </cell>
          <cell r="L4">
            <v>9</v>
          </cell>
          <cell r="N4">
            <v>0.2</v>
          </cell>
          <cell r="W4" t="str">
            <v>热卷 1.5t</v>
          </cell>
          <cell r="X4" t="str">
            <v>镀锌卷 1.5t</v>
          </cell>
          <cell r="Z4" t="str">
            <v>中型黑卷立柱</v>
          </cell>
          <cell r="AB4" t="str">
            <v>55*47*1.5 mm,</v>
          </cell>
          <cell r="AC4">
            <v>3.94</v>
          </cell>
          <cell r="AD4">
            <v>4.57</v>
          </cell>
          <cell r="AE4">
            <v>38.5</v>
          </cell>
        </row>
        <row r="5">
          <cell r="A5" t="str">
            <v>L5547-18</v>
          </cell>
          <cell r="C5">
            <v>2.1053700000000002</v>
          </cell>
          <cell r="D5">
            <v>0.29799999999999999</v>
          </cell>
          <cell r="E5">
            <v>3.99</v>
          </cell>
          <cell r="F5">
            <v>1.8</v>
          </cell>
          <cell r="G5">
            <v>149</v>
          </cell>
          <cell r="H5">
            <v>372.5</v>
          </cell>
          <cell r="J5">
            <v>3.67</v>
          </cell>
          <cell r="K5">
            <v>1.8</v>
          </cell>
          <cell r="L5">
            <v>9</v>
          </cell>
          <cell r="N5">
            <v>0.2</v>
          </cell>
          <cell r="W5" t="str">
            <v>热卷 1.8t</v>
          </cell>
          <cell r="X5" t="str">
            <v>镀锌卷 1.8t</v>
          </cell>
          <cell r="Y5" t="str">
            <v>Q355镀锌卷 1.8t</v>
          </cell>
          <cell r="Z5" t="str">
            <v>中型黑卷立柱</v>
          </cell>
          <cell r="AB5" t="str">
            <v>55*47*1.8 mm,</v>
          </cell>
          <cell r="AC5">
            <v>3.92</v>
          </cell>
          <cell r="AD5">
            <v>4.49</v>
          </cell>
          <cell r="AE5">
            <v>38.5</v>
          </cell>
        </row>
        <row r="6">
          <cell r="A6" t="str">
            <v>L55C47RF-15</v>
          </cell>
          <cell r="B6" t="str">
            <v>AB带小边161MM展开</v>
          </cell>
          <cell r="C6">
            <v>1.9075500000000001</v>
          </cell>
          <cell r="D6">
            <v>0.32400000000000001</v>
          </cell>
          <cell r="E6">
            <v>4.07</v>
          </cell>
          <cell r="F6">
            <v>1.5</v>
          </cell>
          <cell r="G6">
            <v>162</v>
          </cell>
          <cell r="H6">
            <v>405</v>
          </cell>
          <cell r="J6">
            <v>3.69</v>
          </cell>
          <cell r="K6">
            <v>1.8</v>
          </cell>
          <cell r="L6">
            <v>9</v>
          </cell>
          <cell r="N6">
            <v>0.2</v>
          </cell>
          <cell r="W6" t="str">
            <v>热卷 1.5t</v>
          </cell>
          <cell r="X6" t="str">
            <v>镀锌卷 1.5t</v>
          </cell>
          <cell r="Z6" t="str">
            <v>中型黑卷立柱</v>
          </cell>
          <cell r="AB6" t="str">
            <v>55*47*1.5 mm,</v>
          </cell>
          <cell r="AC6">
            <v>3.94</v>
          </cell>
          <cell r="AD6">
            <v>4.57</v>
          </cell>
          <cell r="AE6">
            <v>38.5</v>
          </cell>
        </row>
        <row r="7">
          <cell r="A7" t="str">
            <v>L55C47RF-18</v>
          </cell>
          <cell r="B7" t="str">
            <v>C不带小边161MM展开</v>
          </cell>
          <cell r="C7">
            <v>2.2890600000000001</v>
          </cell>
          <cell r="D7">
            <v>0.32400000000000001</v>
          </cell>
          <cell r="E7">
            <v>3.99</v>
          </cell>
          <cell r="F7">
            <v>1.8</v>
          </cell>
          <cell r="G7">
            <v>162</v>
          </cell>
          <cell r="H7">
            <v>405</v>
          </cell>
          <cell r="J7">
            <v>3.67</v>
          </cell>
          <cell r="K7">
            <v>1.8</v>
          </cell>
          <cell r="L7">
            <v>9</v>
          </cell>
          <cell r="N7">
            <v>0.2</v>
          </cell>
          <cell r="W7" t="str">
            <v>热卷 1.8t</v>
          </cell>
          <cell r="X7" t="str">
            <v>镀锌卷 1.8t</v>
          </cell>
          <cell r="Y7" t="str">
            <v>Q355镀锌卷 1.8t</v>
          </cell>
          <cell r="Z7" t="str">
            <v>中型黑卷立柱</v>
          </cell>
          <cell r="AB7" t="str">
            <v>55*47*1.8 mm,</v>
          </cell>
          <cell r="AC7">
            <v>3.92</v>
          </cell>
          <cell r="AD7">
            <v>4.49</v>
          </cell>
          <cell r="AE7">
            <v>38.5</v>
          </cell>
        </row>
        <row r="8">
          <cell r="A8" t="str">
            <v>L5549-15</v>
          </cell>
          <cell r="C8">
            <v>1.9075500000000001</v>
          </cell>
          <cell r="D8">
            <v>0.32400000000000001</v>
          </cell>
          <cell r="E8">
            <v>4.07</v>
          </cell>
          <cell r="F8">
            <v>1.5</v>
          </cell>
          <cell r="G8">
            <v>162</v>
          </cell>
          <cell r="H8">
            <v>405</v>
          </cell>
          <cell r="J8">
            <v>3.69</v>
          </cell>
          <cell r="K8">
            <v>1.8</v>
          </cell>
          <cell r="L8">
            <v>9</v>
          </cell>
          <cell r="N8">
            <v>0.2</v>
          </cell>
          <cell r="W8" t="str">
            <v>热卷 1.5t</v>
          </cell>
          <cell r="X8" t="str">
            <v>镀锌卷 1.5t</v>
          </cell>
          <cell r="Z8" t="str">
            <v>中型黑卷立柱</v>
          </cell>
          <cell r="AB8" t="str">
            <v>55*49*1.5 mm,</v>
          </cell>
          <cell r="AC8">
            <v>3.94</v>
          </cell>
          <cell r="AD8">
            <v>4.57</v>
          </cell>
          <cell r="AE8">
            <v>38.5</v>
          </cell>
        </row>
        <row r="9">
          <cell r="A9" t="str">
            <v>L5550RF-15</v>
          </cell>
          <cell r="C9">
            <v>1.9075500000000001</v>
          </cell>
          <cell r="D9">
            <v>0.32400000000000001</v>
          </cell>
          <cell r="E9">
            <v>4.07</v>
          </cell>
          <cell r="F9">
            <v>1.5</v>
          </cell>
          <cell r="G9">
            <v>162</v>
          </cell>
          <cell r="H9">
            <v>405</v>
          </cell>
          <cell r="J9">
            <v>3.69</v>
          </cell>
          <cell r="K9">
            <v>1.8</v>
          </cell>
          <cell r="L9">
            <v>9</v>
          </cell>
          <cell r="N9">
            <v>0.2</v>
          </cell>
          <cell r="W9" t="str">
            <v>热卷 1.5t</v>
          </cell>
          <cell r="X9" t="str">
            <v>镀锌卷 1.5t</v>
          </cell>
          <cell r="Z9" t="str">
            <v>中型黑卷立柱</v>
          </cell>
          <cell r="AB9" t="str">
            <v>55*50*1.5 mm,</v>
          </cell>
          <cell r="AC9">
            <v>3.94</v>
          </cell>
          <cell r="AD9">
            <v>4.57</v>
          </cell>
          <cell r="AE9">
            <v>38.5</v>
          </cell>
        </row>
        <row r="10">
          <cell r="A10" t="str">
            <v>L5550RF-18</v>
          </cell>
          <cell r="B10" t="str">
            <v>C带小边175MM展开</v>
          </cell>
          <cell r="C10">
            <v>2.2890600000000001</v>
          </cell>
          <cell r="D10">
            <v>0.32400000000000001</v>
          </cell>
          <cell r="E10">
            <v>3.99</v>
          </cell>
          <cell r="F10">
            <v>1.8</v>
          </cell>
          <cell r="G10">
            <v>162</v>
          </cell>
          <cell r="H10">
            <v>405</v>
          </cell>
          <cell r="J10">
            <v>3.67</v>
          </cell>
          <cell r="K10">
            <v>1.8</v>
          </cell>
          <cell r="L10">
            <v>9</v>
          </cell>
          <cell r="N10">
            <v>0.2</v>
          </cell>
          <cell r="W10" t="str">
            <v>热卷 1.8t</v>
          </cell>
          <cell r="X10" t="str">
            <v>镀锌卷 1.8t</v>
          </cell>
          <cell r="Y10" t="str">
            <v>Q355镀锌卷 1.8t</v>
          </cell>
          <cell r="Z10" t="str">
            <v>中型黑卷立柱</v>
          </cell>
          <cell r="AB10" t="str">
            <v>55*50*1.8 mm,</v>
          </cell>
          <cell r="AC10">
            <v>3.92</v>
          </cell>
          <cell r="AD10">
            <v>4.49</v>
          </cell>
          <cell r="AE10">
            <v>38.5</v>
          </cell>
        </row>
        <row r="11">
          <cell r="A11" t="str">
            <v>L6050-15</v>
          </cell>
          <cell r="C11">
            <v>1.9782</v>
          </cell>
          <cell r="D11">
            <v>0.33600000000000002</v>
          </cell>
          <cell r="E11">
            <v>4.07</v>
          </cell>
          <cell r="F11">
            <v>1.5</v>
          </cell>
          <cell r="G11">
            <v>168</v>
          </cell>
          <cell r="H11">
            <v>420</v>
          </cell>
          <cell r="J11">
            <v>3.69</v>
          </cell>
          <cell r="K11">
            <v>0</v>
          </cell>
          <cell r="L11">
            <v>9</v>
          </cell>
          <cell r="N11">
            <v>0.2</v>
          </cell>
          <cell r="W11" t="str">
            <v>热卷 1.5t</v>
          </cell>
          <cell r="X11" t="str">
            <v>镀锌卷 1.5t</v>
          </cell>
          <cell r="AB11" t="str">
            <v>60*50*1.5 mm,</v>
          </cell>
          <cell r="AC11">
            <v>3.94</v>
          </cell>
          <cell r="AD11">
            <v>4.57</v>
          </cell>
          <cell r="AE11">
            <v>38.5</v>
          </cell>
        </row>
        <row r="12">
          <cell r="A12" t="str">
            <v>L6050-18</v>
          </cell>
          <cell r="C12">
            <v>2.37384</v>
          </cell>
          <cell r="D12">
            <v>0.33600000000000002</v>
          </cell>
          <cell r="E12">
            <v>4.07</v>
          </cell>
          <cell r="F12">
            <v>1.8</v>
          </cell>
          <cell r="G12">
            <v>168</v>
          </cell>
          <cell r="H12">
            <v>420</v>
          </cell>
          <cell r="J12">
            <v>3.69</v>
          </cell>
          <cell r="K12">
            <v>0</v>
          </cell>
          <cell r="L12">
            <v>9</v>
          </cell>
          <cell r="N12">
            <v>0.2</v>
          </cell>
          <cell r="W12" t="str">
            <v>热卷 1.5t</v>
          </cell>
          <cell r="X12" t="str">
            <v>镀锌卷 1.5t</v>
          </cell>
          <cell r="AB12" t="str">
            <v>60*50*1.8 mm,</v>
          </cell>
          <cell r="AC12">
            <v>3.94</v>
          </cell>
          <cell r="AD12">
            <v>4.57</v>
          </cell>
          <cell r="AE12">
            <v>38.5</v>
          </cell>
        </row>
        <row r="18">
          <cell r="A18" t="str">
            <v>重型立柱</v>
          </cell>
        </row>
        <row r="19">
          <cell r="A19" t="str">
            <v>8060-20</v>
          </cell>
          <cell r="C19">
            <v>3.14</v>
          </cell>
          <cell r="D19">
            <v>0.4</v>
          </cell>
          <cell r="E19">
            <v>3.96</v>
          </cell>
          <cell r="F19">
            <v>2</v>
          </cell>
          <cell r="G19">
            <v>200</v>
          </cell>
          <cell r="H19">
            <v>500</v>
          </cell>
          <cell r="J19">
            <v>3.6</v>
          </cell>
          <cell r="K19">
            <v>2.2000000000000002</v>
          </cell>
          <cell r="L19">
            <v>9</v>
          </cell>
          <cell r="M19" t="str">
            <v>待定</v>
          </cell>
          <cell r="N19">
            <v>0.4</v>
          </cell>
          <cell r="O19" t="str">
            <v>待定</v>
          </cell>
          <cell r="P19">
            <v>0.2</v>
          </cell>
          <cell r="W19" t="str">
            <v>热卷 2.0t</v>
          </cell>
          <cell r="X19" t="str">
            <v>镀锌卷 2.0t</v>
          </cell>
          <cell r="Y19" t="str">
            <v>Q355镀锌卷 2.0t</v>
          </cell>
          <cell r="AB19" t="str">
            <v>80*60*2 mm,</v>
          </cell>
          <cell r="AC19">
            <v>3.9</v>
          </cell>
          <cell r="AD19">
            <v>4.76</v>
          </cell>
          <cell r="AE19">
            <v>54</v>
          </cell>
        </row>
        <row r="20">
          <cell r="A20" t="str">
            <v>9068-18</v>
          </cell>
          <cell r="C20">
            <v>3.2781600000000002</v>
          </cell>
          <cell r="D20">
            <v>0.46400000000000002</v>
          </cell>
          <cell r="E20">
            <v>3.99</v>
          </cell>
          <cell r="F20">
            <v>1.8</v>
          </cell>
          <cell r="G20">
            <v>232</v>
          </cell>
          <cell r="H20">
            <v>580</v>
          </cell>
          <cell r="J20">
            <v>3.67</v>
          </cell>
          <cell r="K20">
            <v>2.2000000000000002</v>
          </cell>
          <cell r="L20">
            <v>9</v>
          </cell>
          <cell r="M20" t="str">
            <v>待定</v>
          </cell>
          <cell r="N20">
            <v>0.4</v>
          </cell>
          <cell r="O20" t="str">
            <v>待定</v>
          </cell>
          <cell r="P20">
            <v>0.2</v>
          </cell>
          <cell r="W20" t="str">
            <v>热卷 1.8t</v>
          </cell>
          <cell r="X20" t="str">
            <v>镀锌卷 1.8t</v>
          </cell>
          <cell r="Y20" t="str">
            <v>Q355镀锌卷 1.8t</v>
          </cell>
          <cell r="AB20" t="str">
            <v>90*68*1.8 mm,</v>
          </cell>
          <cell r="AC20">
            <v>3.9699999999999998</v>
          </cell>
          <cell r="AD20">
            <v>4.79</v>
          </cell>
          <cell r="AE20">
            <v>54</v>
          </cell>
        </row>
        <row r="21">
          <cell r="A21" t="str">
            <v>9068-20</v>
          </cell>
          <cell r="C21">
            <v>3.6423999999999999</v>
          </cell>
          <cell r="D21">
            <v>0.46400000000000002</v>
          </cell>
          <cell r="E21">
            <v>3.96</v>
          </cell>
          <cell r="F21">
            <v>2</v>
          </cell>
          <cell r="G21">
            <v>232</v>
          </cell>
          <cell r="H21">
            <v>580</v>
          </cell>
          <cell r="J21">
            <v>3.6</v>
          </cell>
          <cell r="K21">
            <v>2.2000000000000002</v>
          </cell>
          <cell r="L21">
            <v>9</v>
          </cell>
          <cell r="M21" t="str">
            <v>待定</v>
          </cell>
          <cell r="N21">
            <v>0.4</v>
          </cell>
          <cell r="O21" t="str">
            <v>待定</v>
          </cell>
          <cell r="P21">
            <v>0.2</v>
          </cell>
          <cell r="W21" t="str">
            <v>热卷 2.0t</v>
          </cell>
          <cell r="X21" t="str">
            <v>镀锌卷 2.0t</v>
          </cell>
          <cell r="Y21" t="str">
            <v>Q355镀锌卷 2.0t</v>
          </cell>
          <cell r="AB21" t="str">
            <v>90*68*2 mm,</v>
          </cell>
          <cell r="AC21">
            <v>3.9</v>
          </cell>
          <cell r="AD21">
            <v>4.76</v>
          </cell>
          <cell r="AE21">
            <v>54</v>
          </cell>
        </row>
        <row r="22">
          <cell r="A22" t="str">
            <v>9070-18</v>
          </cell>
          <cell r="C22">
            <v>3.51837</v>
          </cell>
          <cell r="D22">
            <v>0.498</v>
          </cell>
          <cell r="E22">
            <v>3.99</v>
          </cell>
          <cell r="F22">
            <v>1.8</v>
          </cell>
          <cell r="G22">
            <v>249</v>
          </cell>
          <cell r="H22">
            <v>622.5</v>
          </cell>
          <cell r="J22">
            <v>3.67</v>
          </cell>
          <cell r="K22">
            <v>2.2000000000000002</v>
          </cell>
          <cell r="L22">
            <v>9</v>
          </cell>
          <cell r="M22" t="str">
            <v>待定</v>
          </cell>
          <cell r="N22">
            <v>0.4</v>
          </cell>
          <cell r="O22" t="str">
            <v>待定</v>
          </cell>
          <cell r="P22">
            <v>0.2</v>
          </cell>
          <cell r="W22" t="str">
            <v>热卷 1.8t</v>
          </cell>
          <cell r="X22" t="str">
            <v>镀锌卷 1.8t</v>
          </cell>
          <cell r="Y22" t="str">
            <v>Q355镀锌卷 1.8t</v>
          </cell>
          <cell r="AB22" t="str">
            <v>90*70*1.8 mm,</v>
          </cell>
          <cell r="AC22">
            <v>3.9699999999999998</v>
          </cell>
          <cell r="AD22">
            <v>4.79</v>
          </cell>
          <cell r="AE22">
            <v>54</v>
          </cell>
        </row>
        <row r="23">
          <cell r="A23" t="str">
            <v>9070-20</v>
          </cell>
          <cell r="C23">
            <v>3.9093</v>
          </cell>
          <cell r="D23">
            <v>0.498</v>
          </cell>
          <cell r="E23">
            <v>3.96</v>
          </cell>
          <cell r="F23">
            <v>2</v>
          </cell>
          <cell r="G23">
            <v>249</v>
          </cell>
          <cell r="H23">
            <v>622.5</v>
          </cell>
          <cell r="J23">
            <v>3.6</v>
          </cell>
          <cell r="K23">
            <v>2.2000000000000002</v>
          </cell>
          <cell r="L23">
            <v>9</v>
          </cell>
          <cell r="M23" t="str">
            <v>待定</v>
          </cell>
          <cell r="N23">
            <v>0.4</v>
          </cell>
          <cell r="O23" t="str">
            <v>待定</v>
          </cell>
          <cell r="P23">
            <v>0.2</v>
          </cell>
          <cell r="W23" t="str">
            <v>热卷 2.0t</v>
          </cell>
          <cell r="X23" t="str">
            <v>镀锌卷 2.0t</v>
          </cell>
          <cell r="Y23" t="str">
            <v>Q355镀锌卷 2.0t</v>
          </cell>
          <cell r="AB23" t="str">
            <v>90*70*2 mm,</v>
          </cell>
          <cell r="AC23">
            <v>3.9</v>
          </cell>
          <cell r="AD23">
            <v>4.76</v>
          </cell>
          <cell r="AE23">
            <v>54</v>
          </cell>
        </row>
        <row r="24">
          <cell r="A24" t="str">
            <v>9070-23</v>
          </cell>
          <cell r="C24">
            <v>4.4956950000000004</v>
          </cell>
          <cell r="D24">
            <v>0.498</v>
          </cell>
          <cell r="E24">
            <v>3.96</v>
          </cell>
          <cell r="F24">
            <v>2.2999999999999998</v>
          </cell>
          <cell r="G24">
            <v>249</v>
          </cell>
          <cell r="H24">
            <v>622.5</v>
          </cell>
          <cell r="J24">
            <v>3.7</v>
          </cell>
          <cell r="K24">
            <v>2.2000000000000002</v>
          </cell>
          <cell r="L24">
            <v>9</v>
          </cell>
          <cell r="M24" t="str">
            <v>待定</v>
          </cell>
          <cell r="N24">
            <v>0.4</v>
          </cell>
          <cell r="O24" t="str">
            <v>待定</v>
          </cell>
          <cell r="P24">
            <v>0.2</v>
          </cell>
          <cell r="W24" t="str">
            <v>热卷 2.3t</v>
          </cell>
          <cell r="X24" t="str">
            <v>镀锌卷 2.3t</v>
          </cell>
          <cell r="AB24" t="str">
            <v>90*70*2.3 mm,</v>
          </cell>
          <cell r="AC24">
            <v>4</v>
          </cell>
          <cell r="AD24">
            <v>4.76</v>
          </cell>
          <cell r="AE24">
            <v>54</v>
          </cell>
        </row>
        <row r="25">
          <cell r="A25" t="str">
            <v>10070-20</v>
          </cell>
          <cell r="C25">
            <v>4.2389999999999999</v>
          </cell>
          <cell r="D25">
            <v>0.54</v>
          </cell>
          <cell r="E25">
            <v>3.96</v>
          </cell>
          <cell r="F25">
            <v>2</v>
          </cell>
          <cell r="G25">
            <v>270</v>
          </cell>
          <cell r="H25">
            <v>675</v>
          </cell>
          <cell r="J25">
            <v>3.6</v>
          </cell>
          <cell r="K25">
            <v>2.2000000000000002</v>
          </cell>
          <cell r="L25">
            <v>9</v>
          </cell>
          <cell r="M25" t="str">
            <v>待定</v>
          </cell>
          <cell r="N25">
            <v>0.6</v>
          </cell>
          <cell r="O25" t="str">
            <v>待定</v>
          </cell>
          <cell r="P25">
            <v>0.2</v>
          </cell>
          <cell r="W25" t="str">
            <v>热卷 2.0t</v>
          </cell>
          <cell r="X25" t="str">
            <v>镀锌卷 2.0t</v>
          </cell>
          <cell r="Y25" t="str">
            <v>Q355镀锌卷 2.0t</v>
          </cell>
          <cell r="AB25" t="str">
            <v>100*70*2 mm,</v>
          </cell>
          <cell r="AC25">
            <v>3.9</v>
          </cell>
          <cell r="AD25">
            <v>4.76</v>
          </cell>
          <cell r="AE25">
            <v>54</v>
          </cell>
        </row>
        <row r="26">
          <cell r="A26" t="str">
            <v>10070-23</v>
          </cell>
          <cell r="C26">
            <v>4.8748500000000003</v>
          </cell>
          <cell r="D26">
            <v>0.54</v>
          </cell>
          <cell r="E26">
            <v>3.96</v>
          </cell>
          <cell r="F26">
            <v>2.2999999999999998</v>
          </cell>
          <cell r="G26">
            <v>270</v>
          </cell>
          <cell r="H26">
            <v>675</v>
          </cell>
          <cell r="J26">
            <v>3.7</v>
          </cell>
          <cell r="K26">
            <v>2.2000000000000002</v>
          </cell>
          <cell r="L26">
            <v>9</v>
          </cell>
          <cell r="M26" t="str">
            <v>待定</v>
          </cell>
          <cell r="N26">
            <v>0.6</v>
          </cell>
          <cell r="O26" t="str">
            <v>待定</v>
          </cell>
          <cell r="P26">
            <v>0.2</v>
          </cell>
          <cell r="W26" t="str">
            <v>热卷 2.3t</v>
          </cell>
          <cell r="X26" t="str">
            <v>镀锌卷 2.3t</v>
          </cell>
          <cell r="AB26" t="str">
            <v>100*70*2.3 mm,</v>
          </cell>
          <cell r="AC26">
            <v>4</v>
          </cell>
          <cell r="AD26">
            <v>4.76</v>
          </cell>
          <cell r="AE26">
            <v>54</v>
          </cell>
        </row>
        <row r="27">
          <cell r="A27" t="str">
            <v>10070-25</v>
          </cell>
          <cell r="C27">
            <v>5.2987500000000001</v>
          </cell>
          <cell r="D27">
            <v>0.54</v>
          </cell>
          <cell r="E27">
            <v>3.96</v>
          </cell>
          <cell r="F27">
            <v>2.5</v>
          </cell>
          <cell r="G27">
            <v>270</v>
          </cell>
          <cell r="H27">
            <v>675</v>
          </cell>
          <cell r="J27">
            <v>3.52</v>
          </cell>
          <cell r="K27">
            <v>2.2000000000000002</v>
          </cell>
          <cell r="L27">
            <v>9</v>
          </cell>
          <cell r="M27" t="str">
            <v>待定</v>
          </cell>
          <cell r="N27">
            <v>0.6</v>
          </cell>
          <cell r="O27" t="str">
            <v>待定</v>
          </cell>
          <cell r="P27">
            <v>0.2</v>
          </cell>
          <cell r="W27" t="str">
            <v>热卷 2.5t</v>
          </cell>
          <cell r="X27" t="str">
            <v>镀锌卷 2.5t</v>
          </cell>
          <cell r="Y27" t="str">
            <v>Q355镀锌卷 2.5t</v>
          </cell>
          <cell r="AB27" t="str">
            <v>100*70*2.5 mm,</v>
          </cell>
          <cell r="AC27">
            <v>3.82</v>
          </cell>
          <cell r="AD27">
            <v>4.76</v>
          </cell>
          <cell r="AE27">
            <v>54</v>
          </cell>
        </row>
        <row r="28">
          <cell r="A28" t="str">
            <v>10070-275</v>
          </cell>
          <cell r="C28">
            <v>5.8286249999999997</v>
          </cell>
          <cell r="D28">
            <v>0.54</v>
          </cell>
          <cell r="E28">
            <v>3.96</v>
          </cell>
          <cell r="F28">
            <v>2.75</v>
          </cell>
          <cell r="G28">
            <v>270</v>
          </cell>
          <cell r="H28">
            <v>675</v>
          </cell>
          <cell r="J28">
            <v>3.5</v>
          </cell>
          <cell r="K28">
            <v>2.2000000000000002</v>
          </cell>
          <cell r="L28">
            <v>9</v>
          </cell>
          <cell r="M28" t="str">
            <v>待定</v>
          </cell>
          <cell r="N28">
            <v>0.6</v>
          </cell>
          <cell r="O28" t="str">
            <v>待定</v>
          </cell>
          <cell r="P28">
            <v>0.2</v>
          </cell>
          <cell r="W28" t="str">
            <v>热卷 2.75t</v>
          </cell>
          <cell r="X28" t="str">
            <v>镀锌卷 2.75t</v>
          </cell>
          <cell r="Y28" t="str">
            <v>Q355镀锌卷 2.75t</v>
          </cell>
          <cell r="AB28" t="str">
            <v>100*70*2.75 mm,</v>
          </cell>
          <cell r="AC28">
            <v>3.8</v>
          </cell>
          <cell r="AD28">
            <v>4.76</v>
          </cell>
          <cell r="AE28">
            <v>54</v>
          </cell>
        </row>
        <row r="29">
          <cell r="A29" t="str">
            <v>10075-20</v>
          </cell>
          <cell r="B29" t="str">
            <v>老立柱，有库存</v>
          </cell>
          <cell r="C29">
            <v>4.2704000000000004</v>
          </cell>
          <cell r="D29">
            <v>0.54400000000000004</v>
          </cell>
          <cell r="E29">
            <v>3.96</v>
          </cell>
          <cell r="F29">
            <v>2</v>
          </cell>
          <cell r="G29">
            <v>272</v>
          </cell>
          <cell r="H29">
            <v>680</v>
          </cell>
          <cell r="J29">
            <v>3.6</v>
          </cell>
          <cell r="K29">
            <v>2.2000000000000002</v>
          </cell>
          <cell r="L29">
            <v>9</v>
          </cell>
          <cell r="M29" t="str">
            <v>待定</v>
          </cell>
          <cell r="N29">
            <v>0.6</v>
          </cell>
          <cell r="O29" t="str">
            <v>待定</v>
          </cell>
          <cell r="P29">
            <v>0.2</v>
          </cell>
          <cell r="W29" t="str">
            <v>热卷 2.0t</v>
          </cell>
          <cell r="X29" t="str">
            <v>镀锌卷 2.0t</v>
          </cell>
          <cell r="Y29" t="str">
            <v>Q355镀锌卷 2.0t</v>
          </cell>
          <cell r="AB29" t="str">
            <v>100*75*2 mm,</v>
          </cell>
          <cell r="AC29">
            <v>3.9</v>
          </cell>
          <cell r="AD29">
            <v>4.76</v>
          </cell>
          <cell r="AE29">
            <v>54</v>
          </cell>
        </row>
        <row r="30">
          <cell r="A30" t="str">
            <v>10075-23</v>
          </cell>
          <cell r="B30" t="str">
            <v>老立柱，有库存</v>
          </cell>
          <cell r="C30">
            <v>4.9109600000000002</v>
          </cell>
          <cell r="D30">
            <v>0.54400000000000004</v>
          </cell>
          <cell r="E30">
            <v>3.96</v>
          </cell>
          <cell r="F30">
            <v>2.2999999999999998</v>
          </cell>
          <cell r="G30">
            <v>272</v>
          </cell>
          <cell r="H30">
            <v>680</v>
          </cell>
          <cell r="J30">
            <v>3.7</v>
          </cell>
          <cell r="K30">
            <v>2.2000000000000002</v>
          </cell>
          <cell r="L30">
            <v>9</v>
          </cell>
          <cell r="M30" t="str">
            <v>待定</v>
          </cell>
          <cell r="N30">
            <v>0.6</v>
          </cell>
          <cell r="O30" t="str">
            <v>待定</v>
          </cell>
          <cell r="P30">
            <v>0.2</v>
          </cell>
          <cell r="W30" t="str">
            <v>热卷 2.3t</v>
          </cell>
          <cell r="X30" t="str">
            <v>镀锌卷 2.3t</v>
          </cell>
          <cell r="AB30" t="str">
            <v>100*75*2.3 mm,</v>
          </cell>
          <cell r="AC30">
            <v>4</v>
          </cell>
          <cell r="AD30">
            <v>4.76</v>
          </cell>
          <cell r="AE30">
            <v>54</v>
          </cell>
        </row>
        <row r="31">
          <cell r="A31" t="str">
            <v>10075-25</v>
          </cell>
          <cell r="B31" t="str">
            <v>老立柱，有库存</v>
          </cell>
          <cell r="C31">
            <v>5.3380000000000001</v>
          </cell>
          <cell r="D31">
            <v>0.54400000000000004</v>
          </cell>
          <cell r="E31">
            <v>3.96</v>
          </cell>
          <cell r="F31">
            <v>2.5</v>
          </cell>
          <cell r="G31">
            <v>272</v>
          </cell>
          <cell r="H31">
            <v>680</v>
          </cell>
          <cell r="J31">
            <v>3.52</v>
          </cell>
          <cell r="K31">
            <v>2.2000000000000002</v>
          </cell>
          <cell r="L31">
            <v>9</v>
          </cell>
          <cell r="M31" t="str">
            <v>待定</v>
          </cell>
          <cell r="N31">
            <v>0.6</v>
          </cell>
          <cell r="O31" t="str">
            <v>待定</v>
          </cell>
          <cell r="P31">
            <v>0.2</v>
          </cell>
          <cell r="W31" t="str">
            <v>热卷 2.5t</v>
          </cell>
          <cell r="X31" t="str">
            <v>镀锌卷 2.5t</v>
          </cell>
          <cell r="Y31" t="str">
            <v>Q355镀锌卷 2.5t</v>
          </cell>
          <cell r="AB31" t="str">
            <v>100*75*2.5 mm,</v>
          </cell>
          <cell r="AC31">
            <v>3.82</v>
          </cell>
          <cell r="AD31">
            <v>4.76</v>
          </cell>
          <cell r="AE31">
            <v>54</v>
          </cell>
        </row>
        <row r="32">
          <cell r="A32" t="str">
            <v>10095-20</v>
          </cell>
          <cell r="C32">
            <v>5.0083000000000002</v>
          </cell>
          <cell r="D32">
            <v>0.63800000000000001</v>
          </cell>
          <cell r="E32">
            <v>3.96</v>
          </cell>
          <cell r="F32">
            <v>2</v>
          </cell>
          <cell r="G32">
            <v>319</v>
          </cell>
          <cell r="H32">
            <v>797.5</v>
          </cell>
          <cell r="J32">
            <v>3.6</v>
          </cell>
          <cell r="K32">
            <v>2.2000000000000002</v>
          </cell>
          <cell r="L32">
            <v>9</v>
          </cell>
          <cell r="M32" t="str">
            <v>待定</v>
          </cell>
          <cell r="N32">
            <v>0.85</v>
          </cell>
          <cell r="O32" t="str">
            <v>待定</v>
          </cell>
          <cell r="P32">
            <v>0.2</v>
          </cell>
          <cell r="W32" t="str">
            <v>热卷 2.0t</v>
          </cell>
          <cell r="X32" t="str">
            <v>镀锌卷 2.0t</v>
          </cell>
          <cell r="Y32" t="str">
            <v>Q355镀锌卷 2.0t</v>
          </cell>
          <cell r="AB32" t="str">
            <v>100*95*2 mm,</v>
          </cell>
          <cell r="AC32">
            <v>3.9</v>
          </cell>
          <cell r="AD32">
            <v>4.76</v>
          </cell>
          <cell r="AE32">
            <v>78</v>
          </cell>
        </row>
        <row r="33">
          <cell r="A33" t="str">
            <v>10095-23</v>
          </cell>
          <cell r="C33">
            <v>5.7595450000000001</v>
          </cell>
          <cell r="D33">
            <v>0.63800000000000001</v>
          </cell>
          <cell r="E33">
            <v>3.96</v>
          </cell>
          <cell r="F33">
            <v>2.2999999999999998</v>
          </cell>
          <cell r="G33">
            <v>319</v>
          </cell>
          <cell r="H33">
            <v>797.5</v>
          </cell>
          <cell r="J33">
            <v>3.7</v>
          </cell>
          <cell r="K33">
            <v>2.2000000000000002</v>
          </cell>
          <cell r="L33">
            <v>9</v>
          </cell>
          <cell r="M33" t="str">
            <v>待定</v>
          </cell>
          <cell r="N33">
            <v>0.85</v>
          </cell>
          <cell r="O33" t="str">
            <v>待定</v>
          </cell>
          <cell r="P33">
            <v>0.2</v>
          </cell>
          <cell r="W33" t="str">
            <v>热卷 2.3t</v>
          </cell>
          <cell r="X33" t="str">
            <v>镀锌卷 2.3t</v>
          </cell>
          <cell r="Y33" t="str">
            <v>Q355镀锌卷 2.3t</v>
          </cell>
          <cell r="AB33" t="str">
            <v>100*95*2.3 mm,</v>
          </cell>
          <cell r="AC33">
            <v>4</v>
          </cell>
          <cell r="AD33">
            <v>4.76</v>
          </cell>
          <cell r="AE33">
            <v>78</v>
          </cell>
        </row>
        <row r="34">
          <cell r="A34" t="str">
            <v>10095-25</v>
          </cell>
          <cell r="C34">
            <v>6.2603749999999998</v>
          </cell>
          <cell r="D34">
            <v>0.63800000000000001</v>
          </cell>
          <cell r="E34">
            <v>3.96</v>
          </cell>
          <cell r="F34">
            <v>2.5</v>
          </cell>
          <cell r="G34">
            <v>319</v>
          </cell>
          <cell r="H34">
            <v>797.5</v>
          </cell>
          <cell r="J34">
            <v>3.52</v>
          </cell>
          <cell r="K34">
            <v>2.2000000000000002</v>
          </cell>
          <cell r="L34">
            <v>9</v>
          </cell>
          <cell r="M34" t="str">
            <v>待定</v>
          </cell>
          <cell r="N34">
            <v>0.85</v>
          </cell>
          <cell r="O34" t="str">
            <v>待定</v>
          </cell>
          <cell r="P34">
            <v>0.2</v>
          </cell>
          <cell r="W34" t="str">
            <v>热卷 2.5t</v>
          </cell>
          <cell r="X34" t="str">
            <v>镀锌卷 2.5t</v>
          </cell>
          <cell r="Y34" t="str">
            <v>Q355镀锌卷 2.5t</v>
          </cell>
          <cell r="AB34" t="str">
            <v>100*95*2.5 mm,</v>
          </cell>
          <cell r="AC34">
            <v>3.82</v>
          </cell>
          <cell r="AD34">
            <v>4.76</v>
          </cell>
          <cell r="AE34">
            <v>78</v>
          </cell>
        </row>
        <row r="35">
          <cell r="A35" t="str">
            <v>10095-275</v>
          </cell>
          <cell r="C35">
            <v>6.8864124999999996</v>
          </cell>
          <cell r="D35">
            <v>0.63800000000000001</v>
          </cell>
          <cell r="E35">
            <v>3.96</v>
          </cell>
          <cell r="F35">
            <v>2.75</v>
          </cell>
          <cell r="G35">
            <v>319</v>
          </cell>
          <cell r="H35">
            <v>797.5</v>
          </cell>
          <cell r="J35">
            <v>3.5</v>
          </cell>
          <cell r="K35">
            <v>2.2000000000000002</v>
          </cell>
          <cell r="L35">
            <v>9</v>
          </cell>
          <cell r="M35" t="str">
            <v>待定</v>
          </cell>
          <cell r="N35">
            <v>0.85</v>
          </cell>
          <cell r="O35" t="str">
            <v>待定</v>
          </cell>
          <cell r="P35">
            <v>0.2</v>
          </cell>
          <cell r="W35" t="str">
            <v>热卷 2.75t</v>
          </cell>
          <cell r="X35" t="str">
            <v>镀锌卷 2.75t</v>
          </cell>
          <cell r="Y35" t="str">
            <v>Q355镀锌卷 2.75t</v>
          </cell>
          <cell r="AB35" t="str">
            <v>100*95*2.75 mm,</v>
          </cell>
          <cell r="AC35">
            <v>3.8</v>
          </cell>
          <cell r="AD35">
            <v>4.76</v>
          </cell>
          <cell r="AE35">
            <v>78</v>
          </cell>
        </row>
        <row r="36">
          <cell r="A36" t="str">
            <v>10095-30</v>
          </cell>
          <cell r="C36">
            <v>7.5359999999999996</v>
          </cell>
          <cell r="D36">
            <v>0.64</v>
          </cell>
          <cell r="E36">
            <v>3.96</v>
          </cell>
          <cell r="F36">
            <v>3</v>
          </cell>
          <cell r="G36">
            <v>320</v>
          </cell>
          <cell r="H36">
            <v>800</v>
          </cell>
          <cell r="J36">
            <v>3.47</v>
          </cell>
          <cell r="K36">
            <v>2.2000000000000002</v>
          </cell>
          <cell r="L36">
            <v>9</v>
          </cell>
          <cell r="M36" t="str">
            <v>待定</v>
          </cell>
          <cell r="N36">
            <v>0.85</v>
          </cell>
          <cell r="O36" t="str">
            <v>待定</v>
          </cell>
          <cell r="P36">
            <v>0.2</v>
          </cell>
          <cell r="W36" t="str">
            <v>热卷 3.0t</v>
          </cell>
          <cell r="X36" t="str">
            <v>镀锌卷 3.0t</v>
          </cell>
          <cell r="Y36" t="str">
            <v>Q355镀锌卷 3.0t</v>
          </cell>
          <cell r="AB36" t="str">
            <v>100*95*3 mm,</v>
          </cell>
          <cell r="AC36">
            <v>3.77</v>
          </cell>
          <cell r="AD36">
            <v>4.76</v>
          </cell>
          <cell r="AE36">
            <v>78</v>
          </cell>
        </row>
        <row r="37">
          <cell r="A37" t="str">
            <v>100135-23</v>
          </cell>
          <cell r="C37">
            <v>7.6011550000000003</v>
          </cell>
          <cell r="D37">
            <v>0.84199999999999997</v>
          </cell>
          <cell r="E37">
            <v>3.96</v>
          </cell>
          <cell r="F37">
            <v>2.2999999999999998</v>
          </cell>
          <cell r="G37">
            <v>421</v>
          </cell>
          <cell r="H37">
            <v>1052.5</v>
          </cell>
          <cell r="J37">
            <v>3.7</v>
          </cell>
          <cell r="K37">
            <v>2.2000000000000002</v>
          </cell>
          <cell r="L37">
            <v>9</v>
          </cell>
          <cell r="M37" t="str">
            <v>待定</v>
          </cell>
          <cell r="N37">
            <v>1</v>
          </cell>
          <cell r="O37" t="str">
            <v>待定</v>
          </cell>
          <cell r="P37">
            <v>0.2</v>
          </cell>
          <cell r="W37" t="str">
            <v>热卷 2.3t</v>
          </cell>
          <cell r="X37" t="str">
            <v>镀锌卷 2.3t</v>
          </cell>
          <cell r="Y37" t="str">
            <v>Q355镀锌卷 2.3t</v>
          </cell>
          <cell r="AB37" t="str">
            <v>100*135*2.3 mm,</v>
          </cell>
          <cell r="AC37">
            <v>4</v>
          </cell>
          <cell r="AD37">
            <v>4.76</v>
          </cell>
          <cell r="AE37">
            <v>60</v>
          </cell>
        </row>
        <row r="38">
          <cell r="A38" t="str">
            <v>100135-25</v>
          </cell>
          <cell r="C38">
            <v>8.2621249999999993</v>
          </cell>
          <cell r="D38">
            <v>0.84199999999999997</v>
          </cell>
          <cell r="E38">
            <v>3.96</v>
          </cell>
          <cell r="F38">
            <v>2.5</v>
          </cell>
          <cell r="G38">
            <v>421</v>
          </cell>
          <cell r="H38">
            <v>1052.5</v>
          </cell>
          <cell r="J38">
            <v>3.52</v>
          </cell>
          <cell r="K38">
            <v>2.2000000000000002</v>
          </cell>
          <cell r="L38">
            <v>9</v>
          </cell>
          <cell r="M38" t="str">
            <v>待定</v>
          </cell>
          <cell r="N38">
            <v>1</v>
          </cell>
          <cell r="O38" t="str">
            <v>待定</v>
          </cell>
          <cell r="P38">
            <v>0.2</v>
          </cell>
          <cell r="W38" t="str">
            <v>热卷 2.5t</v>
          </cell>
          <cell r="X38" t="str">
            <v>镀锌卷 2.5t</v>
          </cell>
          <cell r="Y38" t="str">
            <v>Q355镀锌卷 2.5t</v>
          </cell>
          <cell r="AB38" t="str">
            <v>100*135*2.5 mm,</v>
          </cell>
          <cell r="AC38">
            <v>3.82</v>
          </cell>
          <cell r="AD38">
            <v>4.76</v>
          </cell>
          <cell r="AE38">
            <v>60</v>
          </cell>
        </row>
        <row r="39">
          <cell r="A39" t="str">
            <v>100135-275</v>
          </cell>
          <cell r="C39">
            <v>9.0883374999999997</v>
          </cell>
          <cell r="D39">
            <v>0.84199999999999997</v>
          </cell>
          <cell r="E39">
            <v>3.96</v>
          </cell>
          <cell r="F39">
            <v>2.75</v>
          </cell>
          <cell r="G39">
            <v>421</v>
          </cell>
          <cell r="H39">
            <v>1052.5</v>
          </cell>
          <cell r="J39">
            <v>3.5</v>
          </cell>
          <cell r="K39">
            <v>2.2000000000000002</v>
          </cell>
          <cell r="L39">
            <v>9</v>
          </cell>
          <cell r="M39" t="str">
            <v>待定</v>
          </cell>
          <cell r="N39">
            <v>1</v>
          </cell>
          <cell r="O39" t="str">
            <v>待定</v>
          </cell>
          <cell r="P39">
            <v>0.2</v>
          </cell>
          <cell r="W39" t="str">
            <v>热卷 2.75t</v>
          </cell>
          <cell r="X39" t="str">
            <v>镀锌卷 2.75t</v>
          </cell>
          <cell r="Y39" t="str">
            <v>Q355镀锌卷 2.75t</v>
          </cell>
          <cell r="AB39" t="str">
            <v>100*135*2.75 mm,</v>
          </cell>
          <cell r="AC39">
            <v>3.8</v>
          </cell>
          <cell r="AD39">
            <v>4.76</v>
          </cell>
          <cell r="AE39">
            <v>60</v>
          </cell>
        </row>
        <row r="40">
          <cell r="A40" t="str">
            <v>100135-30</v>
          </cell>
          <cell r="C40">
            <v>9.9145500000000002</v>
          </cell>
          <cell r="D40">
            <v>0.84199999999999997</v>
          </cell>
          <cell r="E40">
            <v>3.96</v>
          </cell>
          <cell r="F40">
            <v>3</v>
          </cell>
          <cell r="G40">
            <v>421</v>
          </cell>
          <cell r="H40">
            <v>1052.5</v>
          </cell>
          <cell r="J40">
            <v>3.47</v>
          </cell>
          <cell r="K40">
            <v>2.2000000000000002</v>
          </cell>
          <cell r="L40">
            <v>9</v>
          </cell>
          <cell r="M40" t="str">
            <v>待定</v>
          </cell>
          <cell r="N40">
            <v>1</v>
          </cell>
          <cell r="O40" t="str">
            <v>待定</v>
          </cell>
          <cell r="P40">
            <v>0.2</v>
          </cell>
          <cell r="W40" t="str">
            <v>热卷 3.0t</v>
          </cell>
          <cell r="X40" t="str">
            <v>镀锌卷 3.0t</v>
          </cell>
          <cell r="Y40" t="str">
            <v>Q355镀锌卷 3.0t</v>
          </cell>
          <cell r="AB40" t="str">
            <v>100*135*3 mm,</v>
          </cell>
          <cell r="AC40">
            <v>3.77</v>
          </cell>
          <cell r="AD40">
            <v>4.76</v>
          </cell>
          <cell r="AE40">
            <v>60</v>
          </cell>
        </row>
        <row r="41">
          <cell r="A41" t="str">
            <v>12070-20</v>
          </cell>
          <cell r="C41">
            <v>4.5529999999999999</v>
          </cell>
          <cell r="D41">
            <v>0.57999999999999996</v>
          </cell>
          <cell r="E41">
            <v>3.96</v>
          </cell>
          <cell r="F41">
            <v>2</v>
          </cell>
          <cell r="G41">
            <v>290</v>
          </cell>
          <cell r="H41">
            <v>725</v>
          </cell>
          <cell r="J41">
            <v>3.6</v>
          </cell>
          <cell r="K41">
            <v>2.2000000000000002</v>
          </cell>
          <cell r="L41">
            <v>9</v>
          </cell>
          <cell r="M41" t="str">
            <v>待定</v>
          </cell>
          <cell r="N41">
            <v>1</v>
          </cell>
          <cell r="O41" t="str">
            <v>待定</v>
          </cell>
          <cell r="P41">
            <v>0.2</v>
          </cell>
          <cell r="W41" t="str">
            <v>热卷 2.0t</v>
          </cell>
          <cell r="X41" t="str">
            <v>镀锌卷 2.0t</v>
          </cell>
          <cell r="Y41" t="str">
            <v>Q355镀锌卷 2.0t</v>
          </cell>
          <cell r="AB41" t="str">
            <v>120*70*2 mm,</v>
          </cell>
          <cell r="AC41">
            <v>3.9</v>
          </cell>
          <cell r="AD41">
            <v>4.76</v>
          </cell>
          <cell r="AE41">
            <v>60</v>
          </cell>
        </row>
        <row r="42">
          <cell r="A42" t="str">
            <v>12070-23</v>
          </cell>
          <cell r="C42">
            <v>5.2359499999999999</v>
          </cell>
          <cell r="D42">
            <v>0.57999999999999996</v>
          </cell>
          <cell r="E42">
            <v>3.96</v>
          </cell>
          <cell r="F42">
            <v>2.2999999999999998</v>
          </cell>
          <cell r="G42">
            <v>290</v>
          </cell>
          <cell r="H42">
            <v>725</v>
          </cell>
          <cell r="J42">
            <v>3.7</v>
          </cell>
          <cell r="K42">
            <v>2.2000000000000002</v>
          </cell>
          <cell r="L42">
            <v>9</v>
          </cell>
          <cell r="M42" t="str">
            <v>待定</v>
          </cell>
          <cell r="N42">
            <v>1</v>
          </cell>
          <cell r="O42" t="str">
            <v>待定</v>
          </cell>
          <cell r="P42">
            <v>0.2</v>
          </cell>
          <cell r="W42" t="str">
            <v>热卷 2.3t</v>
          </cell>
          <cell r="X42" t="str">
            <v>镀锌卷 2.3t</v>
          </cell>
          <cell r="Y42" t="str">
            <v>Q355镀锌卷 2.3t</v>
          </cell>
          <cell r="AB42" t="str">
            <v>120*70*2.3 mm,</v>
          </cell>
          <cell r="AC42">
            <v>4</v>
          </cell>
          <cell r="AD42">
            <v>4.76</v>
          </cell>
          <cell r="AE42">
            <v>60</v>
          </cell>
        </row>
        <row r="43">
          <cell r="A43" t="str">
            <v>12070-25</v>
          </cell>
          <cell r="C43">
            <v>5.6912500000000001</v>
          </cell>
          <cell r="D43">
            <v>0.57999999999999996</v>
          </cell>
          <cell r="E43">
            <v>3.96</v>
          </cell>
          <cell r="F43">
            <v>2.5</v>
          </cell>
          <cell r="G43">
            <v>290</v>
          </cell>
          <cell r="H43">
            <v>725</v>
          </cell>
          <cell r="J43">
            <v>3.52</v>
          </cell>
          <cell r="K43">
            <v>2.2000000000000002</v>
          </cell>
          <cell r="L43">
            <v>9</v>
          </cell>
          <cell r="M43" t="str">
            <v>待定</v>
          </cell>
          <cell r="N43">
            <v>1</v>
          </cell>
          <cell r="O43" t="str">
            <v>待定</v>
          </cell>
          <cell r="P43">
            <v>0.2</v>
          </cell>
          <cell r="W43" t="str">
            <v>热卷 2.5t</v>
          </cell>
          <cell r="X43" t="str">
            <v>镀锌卷 2.5t</v>
          </cell>
          <cell r="Y43" t="str">
            <v>Q355镀锌卷 2.5t</v>
          </cell>
          <cell r="AB43" t="str">
            <v>120*70*2.5 mm,</v>
          </cell>
          <cell r="AC43">
            <v>3.82</v>
          </cell>
          <cell r="AD43">
            <v>4.76</v>
          </cell>
          <cell r="AE43">
            <v>60</v>
          </cell>
        </row>
        <row r="44">
          <cell r="A44" t="str">
            <v>12070-275</v>
          </cell>
          <cell r="C44">
            <v>6.2603749999999998</v>
          </cell>
          <cell r="D44">
            <v>0.57999999999999996</v>
          </cell>
          <cell r="E44">
            <v>3.96</v>
          </cell>
          <cell r="F44">
            <v>2.75</v>
          </cell>
          <cell r="G44">
            <v>290</v>
          </cell>
          <cell r="H44">
            <v>725</v>
          </cell>
          <cell r="J44">
            <v>3.5</v>
          </cell>
          <cell r="K44">
            <v>2.2000000000000002</v>
          </cell>
          <cell r="L44">
            <v>9</v>
          </cell>
          <cell r="M44" t="str">
            <v>待定</v>
          </cell>
          <cell r="N44">
            <v>1</v>
          </cell>
          <cell r="O44" t="str">
            <v>待定</v>
          </cell>
          <cell r="P44">
            <v>0.2</v>
          </cell>
          <cell r="W44" t="str">
            <v>热卷 2.75t</v>
          </cell>
          <cell r="X44" t="str">
            <v>镀锌卷 2.75t</v>
          </cell>
          <cell r="Y44" t="str">
            <v>Q355镀锌卷 2.75t</v>
          </cell>
          <cell r="AB44" t="str">
            <v>120*70*2.75 mm,</v>
          </cell>
          <cell r="AC44">
            <v>3.8</v>
          </cell>
          <cell r="AD44">
            <v>4.76</v>
          </cell>
          <cell r="AE44">
            <v>60</v>
          </cell>
        </row>
        <row r="45">
          <cell r="A45" t="str">
            <v>12070-30</v>
          </cell>
          <cell r="C45">
            <v>6.8295000000000003</v>
          </cell>
          <cell r="D45">
            <v>0.57999999999999996</v>
          </cell>
          <cell r="E45">
            <v>3.96</v>
          </cell>
          <cell r="F45">
            <v>3</v>
          </cell>
          <cell r="G45">
            <v>290</v>
          </cell>
          <cell r="H45">
            <v>725</v>
          </cell>
          <cell r="J45">
            <v>3.47</v>
          </cell>
          <cell r="K45">
            <v>2.2000000000000002</v>
          </cell>
          <cell r="L45">
            <v>9</v>
          </cell>
          <cell r="M45" t="str">
            <v>待定</v>
          </cell>
          <cell r="N45">
            <v>1</v>
          </cell>
          <cell r="O45" t="str">
            <v>待定</v>
          </cell>
          <cell r="P45">
            <v>0.2</v>
          </cell>
          <cell r="W45" t="str">
            <v>热卷 3.0t</v>
          </cell>
          <cell r="X45" t="str">
            <v>镀锌卷 3.0t</v>
          </cell>
          <cell r="Y45" t="str">
            <v>Q355镀锌卷 3.0t</v>
          </cell>
          <cell r="AB45" t="str">
            <v>120*70*3 mm,</v>
          </cell>
          <cell r="AC45">
            <v>3.77</v>
          </cell>
          <cell r="AD45">
            <v>4.76</v>
          </cell>
          <cell r="AE45">
            <v>60</v>
          </cell>
        </row>
        <row r="46">
          <cell r="A46" t="str">
            <v>12075-20</v>
          </cell>
          <cell r="B46" t="str">
            <v>老立柱，取消生产</v>
          </cell>
          <cell r="C46">
            <v>4.6315</v>
          </cell>
          <cell r="D46">
            <v>0.59</v>
          </cell>
          <cell r="E46">
            <v>3.96</v>
          </cell>
          <cell r="F46">
            <v>2</v>
          </cell>
          <cell r="G46">
            <v>295</v>
          </cell>
          <cell r="H46">
            <v>737.5</v>
          </cell>
          <cell r="J46">
            <v>3.6</v>
          </cell>
          <cell r="K46">
            <v>2.2000000000000002</v>
          </cell>
          <cell r="L46">
            <v>9</v>
          </cell>
          <cell r="M46" t="str">
            <v>待定</v>
          </cell>
          <cell r="N46">
            <v>1</v>
          </cell>
          <cell r="O46" t="str">
            <v>待定</v>
          </cell>
          <cell r="P46">
            <v>0.2</v>
          </cell>
          <cell r="W46" t="str">
            <v>热卷 2.0t</v>
          </cell>
          <cell r="X46" t="str">
            <v>镀锌卷 2.0t</v>
          </cell>
          <cell r="Y46" t="str">
            <v>Q355镀锌卷 2.0t</v>
          </cell>
          <cell r="AB46" t="str">
            <v>120*75*2 mm,</v>
          </cell>
          <cell r="AC46">
            <v>3.9</v>
          </cell>
          <cell r="AD46">
            <v>4.76</v>
          </cell>
          <cell r="AE46">
            <v>60</v>
          </cell>
        </row>
        <row r="47">
          <cell r="A47" t="str">
            <v>12075-23</v>
          </cell>
          <cell r="B47" t="str">
            <v>老立柱，取消生产</v>
          </cell>
          <cell r="C47">
            <v>5.326225</v>
          </cell>
          <cell r="D47">
            <v>0.59</v>
          </cell>
          <cell r="E47">
            <v>3.96</v>
          </cell>
          <cell r="F47">
            <v>2.2999999999999998</v>
          </cell>
          <cell r="G47">
            <v>295</v>
          </cell>
          <cell r="H47">
            <v>737.5</v>
          </cell>
          <cell r="J47">
            <v>3.7</v>
          </cell>
          <cell r="K47">
            <v>2.2000000000000002</v>
          </cell>
          <cell r="L47">
            <v>9</v>
          </cell>
          <cell r="M47" t="str">
            <v>待定</v>
          </cell>
          <cell r="N47">
            <v>1</v>
          </cell>
          <cell r="O47" t="str">
            <v>待定</v>
          </cell>
          <cell r="P47">
            <v>0.2</v>
          </cell>
          <cell r="W47" t="str">
            <v>热卷 2.3t</v>
          </cell>
          <cell r="X47" t="str">
            <v>镀锌卷 2.3t</v>
          </cell>
          <cell r="Y47" t="str">
            <v>Q355镀锌卷 2.3t</v>
          </cell>
          <cell r="AB47" t="str">
            <v>120*75*2.3 mm,</v>
          </cell>
          <cell r="AC47">
            <v>4</v>
          </cell>
          <cell r="AD47">
            <v>4.76</v>
          </cell>
          <cell r="AE47">
            <v>60</v>
          </cell>
        </row>
        <row r="48">
          <cell r="A48" t="str">
            <v>12075-25</v>
          </cell>
          <cell r="B48" t="str">
            <v>老立柱，取消生产</v>
          </cell>
          <cell r="C48">
            <v>5.7893749999999997</v>
          </cell>
          <cell r="D48">
            <v>0.59</v>
          </cell>
          <cell r="E48">
            <v>3.96</v>
          </cell>
          <cell r="F48">
            <v>2.5</v>
          </cell>
          <cell r="G48">
            <v>295</v>
          </cell>
          <cell r="H48">
            <v>737.5</v>
          </cell>
          <cell r="J48">
            <v>3.52</v>
          </cell>
          <cell r="K48">
            <v>2.2000000000000002</v>
          </cell>
          <cell r="L48">
            <v>9</v>
          </cell>
          <cell r="M48" t="str">
            <v>待定</v>
          </cell>
          <cell r="N48">
            <v>1</v>
          </cell>
          <cell r="O48" t="str">
            <v>待定</v>
          </cell>
          <cell r="P48">
            <v>0.2</v>
          </cell>
          <cell r="W48" t="str">
            <v>热卷 2.5t</v>
          </cell>
          <cell r="X48" t="str">
            <v>镀锌卷 2.5t</v>
          </cell>
          <cell r="Y48" t="str">
            <v>Q355镀锌卷 2.5t</v>
          </cell>
          <cell r="AB48" t="str">
            <v>120*75*2.5 mm,</v>
          </cell>
          <cell r="AC48">
            <v>3.82</v>
          </cell>
          <cell r="AD48">
            <v>4.76</v>
          </cell>
          <cell r="AE48">
            <v>60</v>
          </cell>
        </row>
        <row r="49">
          <cell r="A49" t="str">
            <v>12095-23</v>
          </cell>
          <cell r="C49">
            <v>6.1206449999999997</v>
          </cell>
          <cell r="D49">
            <v>0.67800000000000005</v>
          </cell>
          <cell r="E49">
            <v>3.96</v>
          </cell>
          <cell r="F49">
            <v>2.2999999999999998</v>
          </cell>
          <cell r="G49">
            <v>339</v>
          </cell>
          <cell r="H49">
            <v>779.7</v>
          </cell>
          <cell r="J49">
            <v>3.7</v>
          </cell>
          <cell r="K49">
            <v>2.2000000000000002</v>
          </cell>
          <cell r="L49">
            <v>9</v>
          </cell>
          <cell r="M49" t="str">
            <v>待定</v>
          </cell>
          <cell r="N49">
            <v>1</v>
          </cell>
          <cell r="O49" t="str">
            <v>待定</v>
          </cell>
          <cell r="P49">
            <v>0.2</v>
          </cell>
          <cell r="W49" t="str">
            <v>热卷 2.3t</v>
          </cell>
          <cell r="X49" t="str">
            <v>镀锌卷 2.3t</v>
          </cell>
          <cell r="Y49" t="str">
            <v>Q355镀锌卷 2.3t</v>
          </cell>
          <cell r="AB49" t="str">
            <v>120*95*2.3 mm,</v>
          </cell>
          <cell r="AC49">
            <v>4</v>
          </cell>
          <cell r="AD49">
            <v>4.76</v>
          </cell>
          <cell r="AE49">
            <v>60</v>
          </cell>
        </row>
        <row r="50">
          <cell r="A50" t="str">
            <v>12095-25</v>
          </cell>
          <cell r="C50">
            <v>6.6528749999999999</v>
          </cell>
          <cell r="D50">
            <v>0.67800000000000005</v>
          </cell>
          <cell r="E50">
            <v>3.96</v>
          </cell>
          <cell r="F50">
            <v>2.5</v>
          </cell>
          <cell r="G50">
            <v>339</v>
          </cell>
          <cell r="H50">
            <v>779.7</v>
          </cell>
          <cell r="J50">
            <v>3.52</v>
          </cell>
          <cell r="K50">
            <v>2.2000000000000002</v>
          </cell>
          <cell r="L50">
            <v>9</v>
          </cell>
          <cell r="M50" t="str">
            <v>待定</v>
          </cell>
          <cell r="N50">
            <v>1</v>
          </cell>
          <cell r="O50" t="str">
            <v>待定</v>
          </cell>
          <cell r="P50">
            <v>0.2</v>
          </cell>
          <cell r="W50" t="str">
            <v>热卷 2.5t</v>
          </cell>
          <cell r="X50" t="str">
            <v>镀锌卷 2.5t</v>
          </cell>
          <cell r="Y50" t="str">
            <v>Q355镀锌卷 2.5t</v>
          </cell>
          <cell r="AB50" t="str">
            <v>120*95*2.5 mm,</v>
          </cell>
          <cell r="AC50">
            <v>3.82</v>
          </cell>
          <cell r="AD50">
            <v>4.76</v>
          </cell>
          <cell r="AE50">
            <v>60</v>
          </cell>
        </row>
        <row r="51">
          <cell r="A51" t="str">
            <v>12095-275</v>
          </cell>
          <cell r="C51">
            <v>7.3181624999999997</v>
          </cell>
          <cell r="D51">
            <v>0.67800000000000005</v>
          </cell>
          <cell r="E51">
            <v>3.96</v>
          </cell>
          <cell r="F51">
            <v>2.75</v>
          </cell>
          <cell r="G51">
            <v>339</v>
          </cell>
          <cell r="H51">
            <v>847.5</v>
          </cell>
          <cell r="J51">
            <v>3.5</v>
          </cell>
          <cell r="K51">
            <v>2.2000000000000002</v>
          </cell>
          <cell r="L51">
            <v>9</v>
          </cell>
          <cell r="M51" t="str">
            <v>待定</v>
          </cell>
          <cell r="N51">
            <v>1</v>
          </cell>
          <cell r="O51" t="str">
            <v>待定</v>
          </cell>
          <cell r="P51">
            <v>0.2</v>
          </cell>
          <cell r="W51" t="str">
            <v>热卷 2.75t</v>
          </cell>
          <cell r="X51" t="str">
            <v>镀锌卷 2.75t</v>
          </cell>
          <cell r="Y51" t="str">
            <v>Q355镀锌卷 2.75t</v>
          </cell>
          <cell r="AB51" t="str">
            <v>120*95*2.75 mm,</v>
          </cell>
          <cell r="AC51">
            <v>3.8</v>
          </cell>
          <cell r="AD51">
            <v>4.76</v>
          </cell>
          <cell r="AE51">
            <v>60</v>
          </cell>
        </row>
        <row r="52">
          <cell r="A52" t="str">
            <v>12095-30</v>
          </cell>
          <cell r="C52">
            <v>7.9834500000000004</v>
          </cell>
          <cell r="D52">
            <v>0.67800000000000005</v>
          </cell>
          <cell r="E52">
            <v>3.96</v>
          </cell>
          <cell r="F52">
            <v>3</v>
          </cell>
          <cell r="G52">
            <v>339</v>
          </cell>
          <cell r="H52">
            <v>847.5</v>
          </cell>
          <cell r="J52">
            <v>3.47</v>
          </cell>
          <cell r="K52">
            <v>2.2000000000000002</v>
          </cell>
          <cell r="L52">
            <v>9</v>
          </cell>
          <cell r="M52" t="str">
            <v>待定</v>
          </cell>
          <cell r="N52">
            <v>1</v>
          </cell>
          <cell r="O52" t="str">
            <v>待定</v>
          </cell>
          <cell r="P52">
            <v>0.2</v>
          </cell>
          <cell r="W52" t="str">
            <v>热卷 3.0t</v>
          </cell>
          <cell r="X52" t="str">
            <v>镀锌卷 3.0t</v>
          </cell>
          <cell r="Y52" t="str">
            <v>Q355镀锌卷 3.0t</v>
          </cell>
          <cell r="AB52" t="str">
            <v>120*95*3 mm,</v>
          </cell>
          <cell r="AC52">
            <v>3.77</v>
          </cell>
          <cell r="AD52">
            <v>4.76</v>
          </cell>
          <cell r="AE52">
            <v>60</v>
          </cell>
        </row>
        <row r="53">
          <cell r="A53" t="str">
            <v>120135-23</v>
          </cell>
          <cell r="C53">
            <v>7.6011550000000003</v>
          </cell>
          <cell r="D53">
            <v>0.84199999999999997</v>
          </cell>
          <cell r="E53">
            <v>3.96</v>
          </cell>
          <cell r="F53">
            <v>2.2999999999999998</v>
          </cell>
          <cell r="G53">
            <v>421</v>
          </cell>
          <cell r="H53">
            <v>968.3</v>
          </cell>
          <cell r="J53">
            <v>3.7</v>
          </cell>
          <cell r="K53">
            <v>2.2000000000000002</v>
          </cell>
          <cell r="L53">
            <v>9</v>
          </cell>
          <cell r="M53" t="str">
            <v>待定</v>
          </cell>
          <cell r="N53">
            <v>1</v>
          </cell>
          <cell r="O53" t="str">
            <v>待定</v>
          </cell>
          <cell r="P53">
            <v>0.2</v>
          </cell>
          <cell r="W53" t="str">
            <v>热卷 2.3t</v>
          </cell>
          <cell r="X53" t="str">
            <v>镀锌卷 2.3t</v>
          </cell>
          <cell r="Y53" t="str">
            <v>Q355镀锌卷 2.3t</v>
          </cell>
          <cell r="AB53" t="str">
            <v>120*135*2.3 mm,</v>
          </cell>
          <cell r="AC53">
            <v>4</v>
          </cell>
          <cell r="AD53">
            <v>4.76</v>
          </cell>
        </row>
        <row r="54">
          <cell r="A54" t="str">
            <v>120135-25</v>
          </cell>
          <cell r="C54">
            <v>8.2621249999999993</v>
          </cell>
          <cell r="D54">
            <v>0.84199999999999997</v>
          </cell>
          <cell r="E54">
            <v>3.96</v>
          </cell>
          <cell r="F54">
            <v>2.5</v>
          </cell>
          <cell r="G54">
            <v>421</v>
          </cell>
          <cell r="H54">
            <v>968.3</v>
          </cell>
          <cell r="J54">
            <v>3.52</v>
          </cell>
          <cell r="K54">
            <v>2.2000000000000002</v>
          </cell>
          <cell r="L54">
            <v>9</v>
          </cell>
          <cell r="M54" t="str">
            <v>待定</v>
          </cell>
          <cell r="N54">
            <v>1</v>
          </cell>
          <cell r="O54" t="str">
            <v>待定</v>
          </cell>
          <cell r="P54">
            <v>0.2</v>
          </cell>
          <cell r="W54" t="str">
            <v>热卷 2.5t</v>
          </cell>
          <cell r="X54" t="str">
            <v>镀锌卷 2.5t</v>
          </cell>
          <cell r="Y54" t="str">
            <v>Q355镀锌卷 2.5t</v>
          </cell>
          <cell r="AB54" t="str">
            <v>120*135*2.5 mm,</v>
          </cell>
          <cell r="AC54">
            <v>3.82</v>
          </cell>
          <cell r="AD54">
            <v>4.76</v>
          </cell>
        </row>
        <row r="55">
          <cell r="A55" t="str">
            <v>120135-275</v>
          </cell>
          <cell r="C55">
            <v>9.0883374999999997</v>
          </cell>
          <cell r="D55">
            <v>0.84199999999999997</v>
          </cell>
          <cell r="E55">
            <v>3.96</v>
          </cell>
          <cell r="F55">
            <v>2.75</v>
          </cell>
          <cell r="G55">
            <v>421</v>
          </cell>
          <cell r="H55">
            <v>968.3</v>
          </cell>
          <cell r="J55">
            <v>3.5</v>
          </cell>
          <cell r="K55">
            <v>2.2000000000000002</v>
          </cell>
          <cell r="L55">
            <v>9</v>
          </cell>
          <cell r="M55" t="str">
            <v>待定</v>
          </cell>
          <cell r="N55">
            <v>1</v>
          </cell>
          <cell r="O55" t="str">
            <v>待定</v>
          </cell>
          <cell r="P55">
            <v>0.2</v>
          </cell>
          <cell r="W55" t="str">
            <v>热卷 2.75t</v>
          </cell>
          <cell r="X55" t="str">
            <v>镀锌卷 2.75t</v>
          </cell>
          <cell r="Y55" t="str">
            <v>Q355镀锌卷 2.75t</v>
          </cell>
          <cell r="AB55" t="str">
            <v>120*135*2.75 mm,</v>
          </cell>
          <cell r="AC55">
            <v>3.8</v>
          </cell>
          <cell r="AD55">
            <v>4.76</v>
          </cell>
        </row>
        <row r="56">
          <cell r="A56" t="str">
            <v>120135-30</v>
          </cell>
          <cell r="C56">
            <v>9.9145500000000002</v>
          </cell>
          <cell r="D56">
            <v>0.84199999999999997</v>
          </cell>
          <cell r="E56">
            <v>3.96</v>
          </cell>
          <cell r="F56">
            <v>3</v>
          </cell>
          <cell r="G56">
            <v>421</v>
          </cell>
          <cell r="H56">
            <v>968.3</v>
          </cell>
          <cell r="J56">
            <v>3.47</v>
          </cell>
          <cell r="K56">
            <v>2.2000000000000002</v>
          </cell>
          <cell r="L56">
            <v>9</v>
          </cell>
          <cell r="M56" t="str">
            <v>待定</v>
          </cell>
          <cell r="N56">
            <v>1</v>
          </cell>
          <cell r="O56" t="str">
            <v>待定</v>
          </cell>
          <cell r="P56">
            <v>0.2</v>
          </cell>
          <cell r="W56" t="str">
            <v>热卷 3.0t</v>
          </cell>
          <cell r="X56" t="str">
            <v>镀锌卷 3.0t</v>
          </cell>
          <cell r="Y56" t="str">
            <v>Q355镀锌卷 3.0t</v>
          </cell>
          <cell r="AB56" t="str">
            <v>120*135*3 mm,</v>
          </cell>
          <cell r="AC56">
            <v>3.77</v>
          </cell>
          <cell r="AD56">
            <v>4.76</v>
          </cell>
        </row>
        <row r="57">
          <cell r="A57" t="str">
            <v>140135-23</v>
          </cell>
          <cell r="C57">
            <v>7.9622549999999999</v>
          </cell>
          <cell r="D57">
            <v>0.88200000000000001</v>
          </cell>
          <cell r="E57">
            <v>3.96</v>
          </cell>
          <cell r="F57">
            <v>2.2999999999999998</v>
          </cell>
          <cell r="G57">
            <v>441</v>
          </cell>
          <cell r="H57">
            <v>1014.3</v>
          </cell>
          <cell r="J57">
            <v>3.7</v>
          </cell>
          <cell r="K57">
            <v>2.2000000000000002</v>
          </cell>
          <cell r="L57">
            <v>9</v>
          </cell>
          <cell r="M57" t="str">
            <v>待定</v>
          </cell>
          <cell r="N57">
            <v>1</v>
          </cell>
          <cell r="O57" t="str">
            <v>待定</v>
          </cell>
          <cell r="P57">
            <v>0.2</v>
          </cell>
          <cell r="W57" t="str">
            <v>热卷 2.3t</v>
          </cell>
          <cell r="X57" t="str">
            <v>镀锌卷 2.3t</v>
          </cell>
          <cell r="Y57" t="str">
            <v>Q355镀锌卷 2.3t</v>
          </cell>
          <cell r="AB57" t="str">
            <v>140*135*2.3 mm,</v>
          </cell>
          <cell r="AC57">
            <v>4</v>
          </cell>
          <cell r="AD57">
            <v>4.76</v>
          </cell>
        </row>
        <row r="58">
          <cell r="A58" t="str">
            <v>140135-25</v>
          </cell>
          <cell r="C58">
            <v>8.6546249999999993</v>
          </cell>
          <cell r="D58">
            <v>0.88200000000000001</v>
          </cell>
          <cell r="E58">
            <v>3.96</v>
          </cell>
          <cell r="F58">
            <v>2.5</v>
          </cell>
          <cell r="G58">
            <v>441</v>
          </cell>
          <cell r="H58">
            <v>1014.3</v>
          </cell>
          <cell r="J58">
            <v>3.52</v>
          </cell>
          <cell r="K58">
            <v>2.2000000000000002</v>
          </cell>
          <cell r="L58">
            <v>9</v>
          </cell>
          <cell r="M58" t="str">
            <v>待定</v>
          </cell>
          <cell r="N58">
            <v>1</v>
          </cell>
          <cell r="O58" t="str">
            <v>待定</v>
          </cell>
          <cell r="P58">
            <v>0.2</v>
          </cell>
          <cell r="W58" t="str">
            <v>热卷 2.5t</v>
          </cell>
          <cell r="X58" t="str">
            <v>镀锌卷 2.5t</v>
          </cell>
          <cell r="Y58" t="str">
            <v>Q355镀锌卷 2.5t</v>
          </cell>
          <cell r="AB58" t="str">
            <v>140*135*2.5 mm,</v>
          </cell>
          <cell r="AC58">
            <v>3.82</v>
          </cell>
          <cell r="AD58">
            <v>4.76</v>
          </cell>
        </row>
        <row r="59">
          <cell r="A59" t="str">
            <v>140135-275</v>
          </cell>
          <cell r="C59">
            <v>9.5200875000000007</v>
          </cell>
          <cell r="D59">
            <v>0.88200000000000001</v>
          </cell>
          <cell r="E59">
            <v>3.96</v>
          </cell>
          <cell r="F59">
            <v>2.75</v>
          </cell>
          <cell r="G59">
            <v>441</v>
          </cell>
          <cell r="H59">
            <v>1014.3</v>
          </cell>
          <cell r="J59">
            <v>3.5</v>
          </cell>
          <cell r="K59">
            <v>2.2000000000000002</v>
          </cell>
          <cell r="L59">
            <v>9</v>
          </cell>
          <cell r="M59" t="str">
            <v>待定</v>
          </cell>
          <cell r="N59">
            <v>1</v>
          </cell>
          <cell r="O59" t="str">
            <v>待定</v>
          </cell>
          <cell r="P59">
            <v>0.2</v>
          </cell>
          <cell r="W59" t="str">
            <v>热卷 2.75t</v>
          </cell>
          <cell r="X59" t="str">
            <v>镀锌卷 2.75t</v>
          </cell>
          <cell r="Y59" t="str">
            <v>Q355镀锌卷 2.75t</v>
          </cell>
          <cell r="AB59" t="str">
            <v>140*135*2.75 mm,</v>
          </cell>
          <cell r="AC59">
            <v>3.8</v>
          </cell>
          <cell r="AD59">
            <v>4.76</v>
          </cell>
        </row>
        <row r="60">
          <cell r="A60" t="str">
            <v>140135-30</v>
          </cell>
          <cell r="C60">
            <v>10.38555</v>
          </cell>
          <cell r="D60">
            <v>0.88200000000000001</v>
          </cell>
          <cell r="E60">
            <v>3.96</v>
          </cell>
          <cell r="F60">
            <v>3</v>
          </cell>
          <cell r="G60">
            <v>441</v>
          </cell>
          <cell r="H60">
            <v>1014.3</v>
          </cell>
          <cell r="J60">
            <v>3.47</v>
          </cell>
          <cell r="K60">
            <v>2.2000000000000002</v>
          </cell>
          <cell r="L60">
            <v>9</v>
          </cell>
          <cell r="M60" t="str">
            <v>待定</v>
          </cell>
          <cell r="N60">
            <v>1</v>
          </cell>
          <cell r="O60" t="str">
            <v>待定</v>
          </cell>
          <cell r="P60">
            <v>0.2</v>
          </cell>
          <cell r="W60" t="str">
            <v>热卷 3.0t</v>
          </cell>
          <cell r="X60" t="str">
            <v>镀锌卷 3.0t</v>
          </cell>
          <cell r="Y60" t="str">
            <v>Q355镀锌卷 3.0t</v>
          </cell>
          <cell r="AB60" t="str">
            <v>140*135*3 mm,</v>
          </cell>
          <cell r="AC60">
            <v>3.77</v>
          </cell>
          <cell r="AD60">
            <v>4.76</v>
          </cell>
        </row>
        <row r="65">
          <cell r="A65" t="str">
            <v>横斜撑</v>
          </cell>
        </row>
        <row r="66">
          <cell r="A66" t="str">
            <v>90.Br2435.14</v>
          </cell>
          <cell r="C66">
            <v>0.96711999999999998</v>
          </cell>
          <cell r="D66">
            <v>0.17599999999999999</v>
          </cell>
          <cell r="E66">
            <v>4.08</v>
          </cell>
          <cell r="F66">
            <v>1.4</v>
          </cell>
          <cell r="G66">
            <v>88</v>
          </cell>
          <cell r="H66">
            <v>88</v>
          </cell>
          <cell r="J66">
            <v>3.69</v>
          </cell>
          <cell r="K66">
            <v>0.11</v>
          </cell>
          <cell r="L66">
            <v>9</v>
          </cell>
          <cell r="M66" t="str">
            <v>待定</v>
          </cell>
          <cell r="N66">
            <v>0.09</v>
          </cell>
          <cell r="O66" t="str">
            <v>待定</v>
          </cell>
          <cell r="Q66" t="str">
            <v>M10.L65.Socket.Wz</v>
          </cell>
          <cell r="R66">
            <v>1</v>
          </cell>
          <cell r="S66" t="str">
            <v>Spacer.90.φ14.L47</v>
          </cell>
          <cell r="T66">
            <v>1</v>
          </cell>
          <cell r="W66" t="str">
            <v>热卷 1.4t</v>
          </cell>
          <cell r="X66" t="str">
            <v>镀锌卷 1.4t</v>
          </cell>
          <cell r="AB66" t="str">
            <v>24*35*1.4 mm,</v>
          </cell>
        </row>
        <row r="67">
          <cell r="A67" t="str">
            <v>90.Br2440.12</v>
          </cell>
          <cell r="C67">
            <v>0.87605999999999995</v>
          </cell>
          <cell r="D67">
            <v>0.186</v>
          </cell>
          <cell r="E67">
            <v>4.21</v>
          </cell>
          <cell r="F67">
            <v>1.2</v>
          </cell>
          <cell r="G67">
            <v>93</v>
          </cell>
          <cell r="H67">
            <v>93</v>
          </cell>
          <cell r="J67">
            <v>3.74</v>
          </cell>
          <cell r="K67">
            <v>0.11</v>
          </cell>
          <cell r="L67">
            <v>9</v>
          </cell>
          <cell r="M67" t="str">
            <v>待定</v>
          </cell>
          <cell r="N67">
            <v>0.09</v>
          </cell>
          <cell r="O67" t="str">
            <v>待定</v>
          </cell>
          <cell r="Q67" t="str">
            <v>M10.L65.Socket.Wz</v>
          </cell>
          <cell r="R67">
            <v>1</v>
          </cell>
          <cell r="S67" t="str">
            <v>Spacer.90.φ14.L47</v>
          </cell>
          <cell r="T67">
            <v>1</v>
          </cell>
          <cell r="W67" t="str">
            <v>热卷 1.2t</v>
          </cell>
          <cell r="X67" t="str">
            <v>镀锌卷 1.2t</v>
          </cell>
          <cell r="AB67" t="str">
            <v>24*40*1.2 mm,</v>
          </cell>
        </row>
        <row r="68">
          <cell r="A68" t="str">
            <v>90.Br2440.14</v>
          </cell>
          <cell r="C68">
            <v>1.02207</v>
          </cell>
          <cell r="D68">
            <v>0.186</v>
          </cell>
          <cell r="E68">
            <v>4.08</v>
          </cell>
          <cell r="F68">
            <v>1.4</v>
          </cell>
          <cell r="G68">
            <v>93</v>
          </cell>
          <cell r="H68">
            <v>93</v>
          </cell>
          <cell r="J68">
            <v>3.69</v>
          </cell>
          <cell r="K68">
            <v>0.11</v>
          </cell>
          <cell r="L68">
            <v>9</v>
          </cell>
          <cell r="M68" t="str">
            <v>待定</v>
          </cell>
          <cell r="N68">
            <v>0.09</v>
          </cell>
          <cell r="O68" t="str">
            <v>待定</v>
          </cell>
          <cell r="Q68" t="str">
            <v>M10.L65.Socket.Wz</v>
          </cell>
          <cell r="R68">
            <v>1</v>
          </cell>
          <cell r="S68" t="str">
            <v>Spacer.90.φ14.L47</v>
          </cell>
          <cell r="T68">
            <v>1</v>
          </cell>
          <cell r="W68" t="str">
            <v>热卷 1.4t</v>
          </cell>
          <cell r="X68" t="str">
            <v>镀锌卷 1.4t</v>
          </cell>
          <cell r="AB68" t="str">
            <v>24*40*1.4 mm,</v>
          </cell>
        </row>
        <row r="69">
          <cell r="A69" t="str">
            <v>90.Br2440.15</v>
          </cell>
          <cell r="C69">
            <v>1.095075</v>
          </cell>
          <cell r="D69">
            <v>0.186</v>
          </cell>
          <cell r="E69">
            <v>4.07</v>
          </cell>
          <cell r="F69">
            <v>1.5</v>
          </cell>
          <cell r="G69">
            <v>93</v>
          </cell>
          <cell r="H69">
            <v>93</v>
          </cell>
          <cell r="J69">
            <v>3.69</v>
          </cell>
          <cell r="K69">
            <v>0.11</v>
          </cell>
          <cell r="L69">
            <v>9</v>
          </cell>
          <cell r="M69" t="str">
            <v>待定</v>
          </cell>
          <cell r="N69">
            <v>0.09</v>
          </cell>
          <cell r="O69" t="str">
            <v>待定</v>
          </cell>
          <cell r="Q69" t="str">
            <v>M10.L65.Socket.Wz</v>
          </cell>
          <cell r="R69">
            <v>1</v>
          </cell>
          <cell r="S69" t="str">
            <v>Spacer.90.φ14.L47</v>
          </cell>
          <cell r="T69">
            <v>1</v>
          </cell>
          <cell r="W69" t="str">
            <v>热卷 1.5t</v>
          </cell>
          <cell r="X69" t="str">
            <v>镀锌卷 1.5t</v>
          </cell>
          <cell r="AB69" t="str">
            <v>24*40*1.5 mm,</v>
          </cell>
        </row>
        <row r="70">
          <cell r="A70" t="str">
            <v>90.Br2440.18</v>
          </cell>
          <cell r="C70">
            <v>1.31409</v>
          </cell>
          <cell r="D70">
            <v>0.186</v>
          </cell>
          <cell r="E70">
            <v>3.99</v>
          </cell>
          <cell r="F70">
            <v>1.8</v>
          </cell>
          <cell r="G70">
            <v>93</v>
          </cell>
          <cell r="H70">
            <v>93</v>
          </cell>
          <cell r="J70">
            <v>3.67</v>
          </cell>
          <cell r="K70">
            <v>0.11</v>
          </cell>
          <cell r="L70">
            <v>9</v>
          </cell>
          <cell r="M70" t="str">
            <v>待定</v>
          </cell>
          <cell r="N70">
            <v>0.09</v>
          </cell>
          <cell r="O70" t="str">
            <v>待定</v>
          </cell>
          <cell r="Q70" t="str">
            <v>M10.L65.Socket.Wz</v>
          </cell>
          <cell r="R70">
            <v>1</v>
          </cell>
          <cell r="S70" t="str">
            <v>Spacer.90.φ14.L47</v>
          </cell>
          <cell r="T70">
            <v>1</v>
          </cell>
          <cell r="W70" t="str">
            <v>热卷 1.8t</v>
          </cell>
          <cell r="X70" t="str">
            <v>镀锌卷 1.8t</v>
          </cell>
          <cell r="AB70" t="str">
            <v>24*40*1.8 mm,</v>
          </cell>
        </row>
        <row r="71">
          <cell r="A71" t="str">
            <v>100.Br3040.12</v>
          </cell>
          <cell r="C71">
            <v>0.96084000000000003</v>
          </cell>
          <cell r="D71">
            <v>0.20399999999999999</v>
          </cell>
          <cell r="E71">
            <v>4.21</v>
          </cell>
          <cell r="F71">
            <v>1.2</v>
          </cell>
          <cell r="G71">
            <v>102</v>
          </cell>
          <cell r="H71">
            <v>102</v>
          </cell>
          <cell r="J71">
            <v>3.74</v>
          </cell>
          <cell r="K71">
            <v>0.11</v>
          </cell>
          <cell r="L71">
            <v>9</v>
          </cell>
          <cell r="M71" t="str">
            <v>待定</v>
          </cell>
          <cell r="N71">
            <v>0.09</v>
          </cell>
          <cell r="O71" t="str">
            <v>待定</v>
          </cell>
          <cell r="Q71" t="str">
            <v>M10.L75.Socket.Wz</v>
          </cell>
          <cell r="R71">
            <v>1</v>
          </cell>
          <cell r="S71" t="str">
            <v>Spacer.100.φ14.L57</v>
          </cell>
          <cell r="T71">
            <v>1</v>
          </cell>
          <cell r="W71" t="str">
            <v>热卷 1.2t</v>
          </cell>
          <cell r="X71" t="str">
            <v>镀锌卷 1.2t</v>
          </cell>
          <cell r="AB71" t="str">
            <v>30*40*1.2 mm,</v>
          </cell>
        </row>
        <row r="72">
          <cell r="A72" t="str">
            <v>100.Br3040.14</v>
          </cell>
          <cell r="C72">
            <v>1.1209800000000001</v>
          </cell>
          <cell r="D72">
            <v>0.20399999999999999</v>
          </cell>
          <cell r="E72">
            <v>4.08</v>
          </cell>
          <cell r="F72">
            <v>1.4</v>
          </cell>
          <cell r="G72">
            <v>102</v>
          </cell>
          <cell r="H72">
            <v>102</v>
          </cell>
          <cell r="J72">
            <v>3.69</v>
          </cell>
          <cell r="K72">
            <v>0.11</v>
          </cell>
          <cell r="L72">
            <v>9</v>
          </cell>
          <cell r="M72" t="str">
            <v>待定</v>
          </cell>
          <cell r="N72">
            <v>0.09</v>
          </cell>
          <cell r="O72" t="str">
            <v>待定</v>
          </cell>
          <cell r="Q72" t="str">
            <v>M10.L75.Socket.Wz</v>
          </cell>
          <cell r="R72">
            <v>1</v>
          </cell>
          <cell r="S72" t="str">
            <v>Spacer.100.φ14.L57</v>
          </cell>
          <cell r="T72">
            <v>1</v>
          </cell>
          <cell r="W72" t="str">
            <v>热卷 1.4t</v>
          </cell>
          <cell r="X72" t="str">
            <v>镀锌卷 1.4t</v>
          </cell>
          <cell r="AB72" t="str">
            <v>30*40*1.4 mm,</v>
          </cell>
        </row>
        <row r="73">
          <cell r="A73" t="str">
            <v>100.Br3040.15</v>
          </cell>
          <cell r="C73">
            <v>1.20105</v>
          </cell>
          <cell r="D73">
            <v>0.20399999999999999</v>
          </cell>
          <cell r="E73">
            <v>4.07</v>
          </cell>
          <cell r="F73">
            <v>1.5</v>
          </cell>
          <cell r="G73">
            <v>102</v>
          </cell>
          <cell r="H73">
            <v>102</v>
          </cell>
          <cell r="J73">
            <v>3.69</v>
          </cell>
          <cell r="K73">
            <v>0.11</v>
          </cell>
          <cell r="L73">
            <v>9</v>
          </cell>
          <cell r="M73" t="str">
            <v>待定</v>
          </cell>
          <cell r="N73">
            <v>0.09</v>
          </cell>
          <cell r="O73" t="str">
            <v>待定</v>
          </cell>
          <cell r="Q73" t="str">
            <v>M10.L75.Socket.Wz</v>
          </cell>
          <cell r="R73">
            <v>1</v>
          </cell>
          <cell r="S73" t="str">
            <v>Spacer.100.φ14.L57</v>
          </cell>
          <cell r="T73">
            <v>1</v>
          </cell>
          <cell r="W73" t="str">
            <v>热卷 1.5t</v>
          </cell>
          <cell r="X73" t="str">
            <v>镀锌卷 1.5t</v>
          </cell>
          <cell r="AB73" t="str">
            <v>30*40*1.5 mm,</v>
          </cell>
        </row>
        <row r="74">
          <cell r="A74" t="str">
            <v>100.Br3040.18</v>
          </cell>
          <cell r="C74">
            <v>1.44126</v>
          </cell>
          <cell r="D74">
            <v>0.20399999999999999</v>
          </cell>
          <cell r="E74">
            <v>3.99</v>
          </cell>
          <cell r="F74">
            <v>1.8</v>
          </cell>
          <cell r="G74">
            <v>102</v>
          </cell>
          <cell r="H74">
            <v>102</v>
          </cell>
          <cell r="J74">
            <v>3.67</v>
          </cell>
          <cell r="K74">
            <v>0.11</v>
          </cell>
          <cell r="L74">
            <v>9</v>
          </cell>
          <cell r="M74" t="str">
            <v>待定</v>
          </cell>
          <cell r="N74">
            <v>0.09</v>
          </cell>
          <cell r="O74" t="str">
            <v>待定</v>
          </cell>
          <cell r="Q74" t="str">
            <v>M10.L75.Socket.Wz</v>
          </cell>
          <cell r="R74">
            <v>1</v>
          </cell>
          <cell r="S74" t="str">
            <v>Spacer.100.φ14.L57</v>
          </cell>
          <cell r="T74">
            <v>1</v>
          </cell>
          <cell r="W74" t="str">
            <v>热卷 1.8t</v>
          </cell>
          <cell r="X74" t="str">
            <v>镀锌卷 1.8t</v>
          </cell>
          <cell r="AB74" t="str">
            <v>30*40*1.8 mm,</v>
          </cell>
        </row>
        <row r="75">
          <cell r="A75" t="str">
            <v>120.Br4040.14</v>
          </cell>
          <cell r="C75">
            <v>1.36276</v>
          </cell>
          <cell r="D75">
            <v>0.248</v>
          </cell>
          <cell r="E75">
            <v>4.08</v>
          </cell>
          <cell r="F75">
            <v>1.4</v>
          </cell>
          <cell r="G75">
            <v>124</v>
          </cell>
          <cell r="H75">
            <v>124</v>
          </cell>
          <cell r="J75">
            <v>3.69</v>
          </cell>
          <cell r="K75">
            <v>0.11</v>
          </cell>
          <cell r="L75">
            <v>9</v>
          </cell>
          <cell r="M75" t="str">
            <v>待定</v>
          </cell>
          <cell r="N75">
            <v>0.09</v>
          </cell>
          <cell r="O75" t="str">
            <v>待定</v>
          </cell>
          <cell r="Q75" t="str">
            <v>M10.L95.Socket.Wz</v>
          </cell>
          <cell r="R75">
            <v>1</v>
          </cell>
          <cell r="S75" t="str">
            <v>Spacer.120.φ14.L77</v>
          </cell>
          <cell r="T75">
            <v>1</v>
          </cell>
          <cell r="W75" t="str">
            <v>热卷 1.4t</v>
          </cell>
          <cell r="X75" t="str">
            <v>镀锌卷 1.4t</v>
          </cell>
          <cell r="AB75" t="str">
            <v>40*40*1.4 mm,</v>
          </cell>
        </row>
        <row r="76">
          <cell r="A76" t="str">
            <v>120.Br4040.15</v>
          </cell>
          <cell r="C76">
            <v>1.4601</v>
          </cell>
          <cell r="D76">
            <v>0.248</v>
          </cell>
          <cell r="E76">
            <v>4.07</v>
          </cell>
          <cell r="F76">
            <v>1.5</v>
          </cell>
          <cell r="G76">
            <v>124</v>
          </cell>
          <cell r="H76">
            <v>124</v>
          </cell>
          <cell r="J76">
            <v>3.69</v>
          </cell>
          <cell r="K76">
            <v>0.11</v>
          </cell>
          <cell r="L76">
            <v>9</v>
          </cell>
          <cell r="M76" t="str">
            <v>待定</v>
          </cell>
          <cell r="N76">
            <v>0.09</v>
          </cell>
          <cell r="O76" t="str">
            <v>待定</v>
          </cell>
          <cell r="Q76" t="str">
            <v>M10.L95.Socket.Wz</v>
          </cell>
          <cell r="R76">
            <v>1</v>
          </cell>
          <cell r="S76" t="str">
            <v>Spacer.120.φ14.L77</v>
          </cell>
          <cell r="T76">
            <v>1</v>
          </cell>
          <cell r="W76" t="str">
            <v>热卷 1.5t</v>
          </cell>
          <cell r="X76" t="str">
            <v>镀锌卷 1.5t</v>
          </cell>
          <cell r="AB76" t="str">
            <v>40*40*1.5 mm,</v>
          </cell>
        </row>
        <row r="77">
          <cell r="A77" t="str">
            <v>120.Br4040.12</v>
          </cell>
          <cell r="C77">
            <v>1.16808</v>
          </cell>
          <cell r="D77">
            <v>0.248</v>
          </cell>
          <cell r="E77">
            <v>4.21</v>
          </cell>
          <cell r="F77">
            <v>1.2</v>
          </cell>
          <cell r="G77">
            <v>124</v>
          </cell>
          <cell r="H77">
            <v>124</v>
          </cell>
          <cell r="J77">
            <v>3.74</v>
          </cell>
          <cell r="K77">
            <v>0.11</v>
          </cell>
          <cell r="L77">
            <v>9</v>
          </cell>
          <cell r="M77" t="str">
            <v>待定</v>
          </cell>
          <cell r="N77">
            <v>0.09</v>
          </cell>
          <cell r="O77" t="str">
            <v>待定</v>
          </cell>
          <cell r="Q77" t="str">
            <v>M10.L95.Socket.Wz</v>
          </cell>
          <cell r="R77">
            <v>1</v>
          </cell>
          <cell r="S77" t="str">
            <v>Spacer.120.φ14.L77</v>
          </cell>
          <cell r="T77">
            <v>1</v>
          </cell>
          <cell r="W77" t="str">
            <v>热卷 1.2t</v>
          </cell>
          <cell r="X77" t="str">
            <v>镀锌卷 1.2t</v>
          </cell>
          <cell r="AB77" t="str">
            <v>40*40*1.2 mm,</v>
          </cell>
        </row>
        <row r="78">
          <cell r="A78" t="str">
            <v>55.Br1830.12</v>
          </cell>
          <cell r="C78">
            <v>0.63114000000000003</v>
          </cell>
          <cell r="D78">
            <v>0.13400000000000001</v>
          </cell>
          <cell r="E78">
            <v>4.21</v>
          </cell>
          <cell r="F78">
            <v>1.2</v>
          </cell>
          <cell r="G78">
            <v>67</v>
          </cell>
          <cell r="H78">
            <v>67</v>
          </cell>
          <cell r="J78">
            <v>3.74</v>
          </cell>
          <cell r="K78">
            <v>0.1</v>
          </cell>
          <cell r="L78">
            <v>9</v>
          </cell>
          <cell r="M78" t="str">
            <v>待定</v>
          </cell>
          <cell r="N78">
            <v>0.09</v>
          </cell>
          <cell r="O78" t="str">
            <v>待定</v>
          </cell>
          <cell r="Q78" t="str">
            <v>M8.L45 Socket</v>
          </cell>
          <cell r="R78">
            <v>1</v>
          </cell>
          <cell r="S78" t="str">
            <v>Spacer.L55.φ14.L33</v>
          </cell>
          <cell r="T78">
            <v>1</v>
          </cell>
          <cell r="W78" t="str">
            <v>热卷 1.2t</v>
          </cell>
          <cell r="X78" t="str">
            <v>镀锌卷 1.2t</v>
          </cell>
          <cell r="AB78" t="str">
            <v>18*30*1.2 mm,</v>
          </cell>
        </row>
        <row r="79">
          <cell r="A79" t="str">
            <v>55.Br1830.13</v>
          </cell>
          <cell r="C79">
            <v>0.68373499999999998</v>
          </cell>
          <cell r="D79">
            <v>0.13400000000000001</v>
          </cell>
          <cell r="F79">
            <v>1.3</v>
          </cell>
          <cell r="G79">
            <v>67</v>
          </cell>
          <cell r="H79">
            <v>67</v>
          </cell>
          <cell r="J79">
            <v>0</v>
          </cell>
          <cell r="K79">
            <v>0.1</v>
          </cell>
          <cell r="L79">
            <v>9</v>
          </cell>
          <cell r="M79" t="str">
            <v>待定</v>
          </cell>
          <cell r="N79">
            <v>0.09</v>
          </cell>
          <cell r="O79" t="str">
            <v>待定</v>
          </cell>
          <cell r="Q79" t="str">
            <v>M8.L45 Socket</v>
          </cell>
          <cell r="R79">
            <v>1</v>
          </cell>
          <cell r="S79" t="str">
            <v>Spacer.L55.φ14.L33</v>
          </cell>
          <cell r="T79">
            <v>1</v>
          </cell>
          <cell r="W79" t="str">
            <v>热卷 1.3t</v>
          </cell>
          <cell r="AB79" t="str">
            <v>18*30*1.3 mm,</v>
          </cell>
        </row>
        <row r="80">
          <cell r="A80" t="str">
            <v xml:space="preserve">55.Br2530.13 </v>
          </cell>
          <cell r="C80">
            <v>0.83681000000000005</v>
          </cell>
          <cell r="D80">
            <v>0.16400000000000001</v>
          </cell>
          <cell r="F80">
            <v>1.3</v>
          </cell>
          <cell r="G80">
            <v>82</v>
          </cell>
          <cell r="H80">
            <v>82</v>
          </cell>
          <cell r="J80">
            <v>0</v>
          </cell>
          <cell r="K80">
            <v>0.1</v>
          </cell>
          <cell r="L80">
            <v>9</v>
          </cell>
          <cell r="M80" t="str">
            <v>待定</v>
          </cell>
          <cell r="N80">
            <v>0.09</v>
          </cell>
          <cell r="O80" t="str">
            <v>待定</v>
          </cell>
          <cell r="Q80" t="str">
            <v>M8.L40 Socket</v>
          </cell>
          <cell r="R80">
            <v>1</v>
          </cell>
          <cell r="W80" t="str">
            <v>热卷 1.3t</v>
          </cell>
          <cell r="AB80" t="str">
            <v>25*30*1.3 mm,</v>
          </cell>
        </row>
        <row r="81">
          <cell r="A81" t="str">
            <v>60.Br1830.12</v>
          </cell>
          <cell r="C81">
            <v>0.63114000000000003</v>
          </cell>
          <cell r="D81">
            <v>0.13400000000000001</v>
          </cell>
          <cell r="E81">
            <v>4.21</v>
          </cell>
          <cell r="F81">
            <v>1.2</v>
          </cell>
          <cell r="G81">
            <v>67</v>
          </cell>
          <cell r="H81">
            <v>67</v>
          </cell>
          <cell r="J81">
            <v>3.74</v>
          </cell>
          <cell r="K81">
            <v>0.1</v>
          </cell>
          <cell r="L81">
            <v>9</v>
          </cell>
          <cell r="M81" t="str">
            <v>待定</v>
          </cell>
          <cell r="N81">
            <v>0.09</v>
          </cell>
          <cell r="O81" t="str">
            <v>待定</v>
          </cell>
          <cell r="Q81" t="str">
            <v>M6.L45 Socket</v>
          </cell>
          <cell r="R81">
            <v>1</v>
          </cell>
          <cell r="S81" t="str">
            <v>Spacer.L55.φ14.L33</v>
          </cell>
          <cell r="T81">
            <v>1</v>
          </cell>
          <cell r="W81" t="str">
            <v>热卷 1.2t</v>
          </cell>
          <cell r="X81" t="str">
            <v>镀锌卷 1.2t</v>
          </cell>
          <cell r="AB81" t="str">
            <v>18*30*1.2 mm,</v>
          </cell>
        </row>
        <row r="88">
          <cell r="A88" t="str">
            <v>K抱梁</v>
          </cell>
          <cell r="R88" t="str">
            <v>大货架柱卡面宽</v>
          </cell>
        </row>
        <row r="89">
          <cell r="A89" t="str">
            <v>B8050.15</v>
          </cell>
          <cell r="C89">
            <v>4.3096500000000004</v>
          </cell>
          <cell r="D89">
            <v>0.26</v>
          </cell>
          <cell r="F89">
            <v>1.5</v>
          </cell>
          <cell r="G89">
            <v>183</v>
          </cell>
          <cell r="H89">
            <v>80</v>
          </cell>
          <cell r="I89">
            <v>50</v>
          </cell>
          <cell r="J89">
            <v>3.69</v>
          </cell>
          <cell r="K89">
            <v>2.6</v>
          </cell>
          <cell r="L89">
            <v>9.1999999999999993</v>
          </cell>
          <cell r="M89" t="str">
            <v>待定</v>
          </cell>
          <cell r="O89" t="str">
            <v>待定</v>
          </cell>
          <cell r="R89">
            <v>60</v>
          </cell>
          <cell r="W89" t="str">
            <v>热卷 1.5t</v>
          </cell>
          <cell r="AB89" t="str">
            <v>B80*50*1.5 mm,</v>
          </cell>
          <cell r="AC89">
            <v>3.94</v>
          </cell>
        </row>
        <row r="90">
          <cell r="A90" t="str">
            <v>B9050.15</v>
          </cell>
          <cell r="C90">
            <v>4.5451499999999996</v>
          </cell>
          <cell r="D90">
            <v>0.28000000000000003</v>
          </cell>
          <cell r="F90">
            <v>1.5</v>
          </cell>
          <cell r="G90">
            <v>193</v>
          </cell>
          <cell r="H90">
            <v>90</v>
          </cell>
          <cell r="I90">
            <v>50</v>
          </cell>
          <cell r="J90">
            <v>3.69</v>
          </cell>
          <cell r="K90">
            <v>2.6</v>
          </cell>
          <cell r="L90">
            <v>9.1999999999999993</v>
          </cell>
          <cell r="M90" t="str">
            <v>待定</v>
          </cell>
          <cell r="O90" t="str">
            <v>待定</v>
          </cell>
          <cell r="R90">
            <v>60</v>
          </cell>
          <cell r="W90" t="str">
            <v>热卷 1.5t</v>
          </cell>
          <cell r="AB90" t="str">
            <v>B90*50*1.5 mm,</v>
          </cell>
          <cell r="AC90">
            <v>3.94</v>
          </cell>
        </row>
        <row r="91">
          <cell r="A91" t="str">
            <v>B10050.15</v>
          </cell>
          <cell r="C91">
            <v>4.82775</v>
          </cell>
          <cell r="D91">
            <v>0.3</v>
          </cell>
          <cell r="F91">
            <v>1.5</v>
          </cell>
          <cell r="G91">
            <v>205</v>
          </cell>
          <cell r="H91">
            <v>100</v>
          </cell>
          <cell r="I91">
            <v>50</v>
          </cell>
          <cell r="J91">
            <v>3.69</v>
          </cell>
          <cell r="K91">
            <v>2.6</v>
          </cell>
          <cell r="L91">
            <v>9.1999999999999993</v>
          </cell>
          <cell r="M91" t="str">
            <v>待定</v>
          </cell>
          <cell r="O91" t="str">
            <v>待定</v>
          </cell>
          <cell r="R91">
            <v>60</v>
          </cell>
          <cell r="W91" t="str">
            <v>热卷 1.5t</v>
          </cell>
          <cell r="AB91" t="str">
            <v>B100*50*1.5 mm,</v>
          </cell>
          <cell r="AC91">
            <v>3.94</v>
          </cell>
        </row>
        <row r="92">
          <cell r="A92" t="str">
            <v>B11050.15</v>
          </cell>
          <cell r="C92">
            <v>5.06325</v>
          </cell>
          <cell r="D92">
            <v>0.32</v>
          </cell>
          <cell r="F92">
            <v>1.5</v>
          </cell>
          <cell r="G92">
            <v>215</v>
          </cell>
          <cell r="H92">
            <v>110</v>
          </cell>
          <cell r="I92">
            <v>50</v>
          </cell>
          <cell r="J92">
            <v>3.69</v>
          </cell>
          <cell r="K92">
            <v>2.6</v>
          </cell>
          <cell r="L92">
            <v>9.1999999999999993</v>
          </cell>
          <cell r="M92" t="str">
            <v>待定</v>
          </cell>
          <cell r="O92" t="str">
            <v>待定</v>
          </cell>
          <cell r="R92">
            <v>60</v>
          </cell>
          <cell r="W92" t="str">
            <v>热卷 1.5t</v>
          </cell>
          <cell r="AB92" t="str">
            <v>B110*50*1.5 mm,</v>
          </cell>
          <cell r="AC92">
            <v>3.94</v>
          </cell>
        </row>
        <row r="93">
          <cell r="A93" t="str">
            <v>B12050.15</v>
          </cell>
          <cell r="B93">
            <v>15.3804</v>
          </cell>
          <cell r="C93">
            <v>5.2987500000000001</v>
          </cell>
          <cell r="D93">
            <v>0.34</v>
          </cell>
          <cell r="F93">
            <v>1.5</v>
          </cell>
          <cell r="G93">
            <v>225</v>
          </cell>
          <cell r="H93">
            <v>120</v>
          </cell>
          <cell r="I93">
            <v>50</v>
          </cell>
          <cell r="J93">
            <v>3.69</v>
          </cell>
          <cell r="K93">
            <v>2.6</v>
          </cell>
          <cell r="L93">
            <v>9.1999999999999993</v>
          </cell>
          <cell r="M93" t="str">
            <v>待定</v>
          </cell>
          <cell r="O93" t="str">
            <v>待定</v>
          </cell>
          <cell r="R93">
            <v>60</v>
          </cell>
          <cell r="W93" t="str">
            <v>热卷 1.5t</v>
          </cell>
          <cell r="AB93" t="str">
            <v>B120*50*1.5 mm,</v>
          </cell>
          <cell r="AC93">
            <v>3.94</v>
          </cell>
        </row>
        <row r="94">
          <cell r="A94" t="str">
            <v>B13050.15</v>
          </cell>
          <cell r="C94">
            <v>5.5342500000000001</v>
          </cell>
          <cell r="D94">
            <v>0.36</v>
          </cell>
          <cell r="F94">
            <v>1.5</v>
          </cell>
          <cell r="G94">
            <v>235</v>
          </cell>
          <cell r="H94">
            <v>130</v>
          </cell>
          <cell r="I94">
            <v>50</v>
          </cell>
          <cell r="J94">
            <v>3.69</v>
          </cell>
          <cell r="K94">
            <v>3</v>
          </cell>
          <cell r="L94">
            <v>9.1999999999999993</v>
          </cell>
          <cell r="M94" t="str">
            <v>待定</v>
          </cell>
          <cell r="O94" t="str">
            <v>待定</v>
          </cell>
          <cell r="R94">
            <v>60</v>
          </cell>
          <cell r="W94" t="str">
            <v>热卷 1.5t</v>
          </cell>
          <cell r="AB94" t="str">
            <v>B130*50*1.5 mm,</v>
          </cell>
          <cell r="AC94">
            <v>3.94</v>
          </cell>
        </row>
        <row r="95">
          <cell r="A95" t="str">
            <v>B14050.15</v>
          </cell>
          <cell r="C95">
            <v>5.7697500000000002</v>
          </cell>
          <cell r="D95">
            <v>0.38</v>
          </cell>
          <cell r="F95">
            <v>1.5</v>
          </cell>
          <cell r="G95">
            <v>245</v>
          </cell>
          <cell r="H95">
            <v>140</v>
          </cell>
          <cell r="I95">
            <v>50</v>
          </cell>
          <cell r="J95">
            <v>3.69</v>
          </cell>
          <cell r="K95">
            <v>3</v>
          </cell>
          <cell r="L95">
            <v>9.1999999999999993</v>
          </cell>
          <cell r="M95" t="str">
            <v>待定</v>
          </cell>
          <cell r="O95" t="str">
            <v>待定</v>
          </cell>
          <cell r="R95">
            <v>60</v>
          </cell>
          <cell r="W95" t="str">
            <v>热卷 1.5t</v>
          </cell>
          <cell r="AB95" t="str">
            <v>B140*50*1.5 mm,</v>
          </cell>
          <cell r="AC95">
            <v>3.94</v>
          </cell>
        </row>
        <row r="96">
          <cell r="A96" t="str">
            <v>B15050.15</v>
          </cell>
          <cell r="C96">
            <v>6.0052500000000002</v>
          </cell>
          <cell r="D96">
            <v>0.4</v>
          </cell>
          <cell r="F96">
            <v>1.5</v>
          </cell>
          <cell r="G96">
            <v>255</v>
          </cell>
          <cell r="H96">
            <v>150</v>
          </cell>
          <cell r="I96">
            <v>50</v>
          </cell>
          <cell r="J96">
            <v>3.69</v>
          </cell>
          <cell r="K96">
            <v>3</v>
          </cell>
          <cell r="L96">
            <v>9.1999999999999993</v>
          </cell>
          <cell r="M96" t="str">
            <v>待定</v>
          </cell>
          <cell r="O96" t="str">
            <v>待定</v>
          </cell>
          <cell r="R96">
            <v>60</v>
          </cell>
          <cell r="W96" t="str">
            <v>热卷 1.5t</v>
          </cell>
          <cell r="AB96" t="str">
            <v>B150*50*1.5 mm,</v>
          </cell>
          <cell r="AC96">
            <v>3.94</v>
          </cell>
        </row>
        <row r="97">
          <cell r="A97" t="str">
            <v>B15550.15</v>
          </cell>
          <cell r="C97">
            <v>6.1230000000000002</v>
          </cell>
          <cell r="D97">
            <v>0.41</v>
          </cell>
          <cell r="F97">
            <v>1.5</v>
          </cell>
          <cell r="G97">
            <v>260</v>
          </cell>
          <cell r="H97">
            <v>155</v>
          </cell>
          <cell r="I97">
            <v>50</v>
          </cell>
          <cell r="J97">
            <v>3.69</v>
          </cell>
          <cell r="K97">
            <v>3.2</v>
          </cell>
          <cell r="L97">
            <v>9.1999999999999993</v>
          </cell>
          <cell r="M97" t="str">
            <v>待定</v>
          </cell>
          <cell r="O97" t="str">
            <v>待定</v>
          </cell>
          <cell r="R97">
            <v>60</v>
          </cell>
          <cell r="W97" t="str">
            <v>热卷 1.5t</v>
          </cell>
          <cell r="AB97" t="str">
            <v>B155*50*1.5 mm,</v>
          </cell>
          <cell r="AC97">
            <v>3.94</v>
          </cell>
        </row>
        <row r="98">
          <cell r="A98" t="str">
            <v>B16050.15</v>
          </cell>
          <cell r="C98">
            <v>6.2407500000000002</v>
          </cell>
          <cell r="D98">
            <v>0.42</v>
          </cell>
          <cell r="F98">
            <v>1.5</v>
          </cell>
          <cell r="G98">
            <v>265</v>
          </cell>
          <cell r="H98">
            <v>160</v>
          </cell>
          <cell r="I98">
            <v>50</v>
          </cell>
          <cell r="J98">
            <v>3.69</v>
          </cell>
          <cell r="K98">
            <v>3.4</v>
          </cell>
          <cell r="L98">
            <v>9.1999999999999993</v>
          </cell>
          <cell r="M98" t="str">
            <v>待定</v>
          </cell>
          <cell r="O98" t="str">
            <v>待定</v>
          </cell>
          <cell r="R98">
            <v>60</v>
          </cell>
          <cell r="W98" t="str">
            <v>热卷 1.5t</v>
          </cell>
          <cell r="AB98" t="str">
            <v>B160*50*1.5 mm,</v>
          </cell>
          <cell r="AC98">
            <v>3.94</v>
          </cell>
        </row>
        <row r="99">
          <cell r="A99" t="str">
            <v>B18050.15</v>
          </cell>
          <cell r="C99">
            <v>6.7117500000000003</v>
          </cell>
          <cell r="D99">
            <v>0.46</v>
          </cell>
          <cell r="F99">
            <v>1.5</v>
          </cell>
          <cell r="G99">
            <v>285</v>
          </cell>
          <cell r="H99">
            <v>180</v>
          </cell>
          <cell r="I99">
            <v>50</v>
          </cell>
          <cell r="J99">
            <v>3.69</v>
          </cell>
          <cell r="K99">
            <v>3.7</v>
          </cell>
          <cell r="L99">
            <v>9.1999999999999993</v>
          </cell>
          <cell r="M99" t="str">
            <v>待定</v>
          </cell>
          <cell r="O99" t="str">
            <v>待定</v>
          </cell>
          <cell r="R99">
            <v>60</v>
          </cell>
          <cell r="W99" t="str">
            <v>热卷 1.5t</v>
          </cell>
          <cell r="AB99" t="str">
            <v>B180*50*1.5 mm,</v>
          </cell>
          <cell r="AC99">
            <v>3.94</v>
          </cell>
        </row>
        <row r="100">
          <cell r="A100" t="str">
            <v>B12050.18</v>
          </cell>
          <cell r="B100">
            <v>15.3804</v>
          </cell>
          <cell r="C100">
            <v>6.3585000000000003</v>
          </cell>
          <cell r="D100">
            <v>0.34</v>
          </cell>
          <cell r="F100">
            <v>1.8</v>
          </cell>
          <cell r="G100">
            <v>225</v>
          </cell>
          <cell r="H100">
            <v>120</v>
          </cell>
          <cell r="I100">
            <v>50</v>
          </cell>
          <cell r="J100">
            <v>3.67</v>
          </cell>
          <cell r="K100">
            <v>2.6</v>
          </cell>
          <cell r="L100">
            <v>9.1999999999999993</v>
          </cell>
          <cell r="M100" t="str">
            <v>待定</v>
          </cell>
          <cell r="O100" t="str">
            <v>待定</v>
          </cell>
          <cell r="R100">
            <v>60</v>
          </cell>
          <cell r="W100" t="str">
            <v>热卷 1.8t</v>
          </cell>
          <cell r="AB100" t="str">
            <v>B120*50*1.8 mm,</v>
          </cell>
          <cell r="AC100">
            <v>3.92</v>
          </cell>
        </row>
        <row r="101">
          <cell r="A101" t="str">
            <v>B15550.18</v>
          </cell>
          <cell r="C101">
            <v>7.3475999999999999</v>
          </cell>
          <cell r="D101">
            <v>0.41</v>
          </cell>
          <cell r="F101">
            <v>1.8</v>
          </cell>
          <cell r="G101">
            <v>260</v>
          </cell>
          <cell r="H101">
            <v>155</v>
          </cell>
          <cell r="I101">
            <v>50</v>
          </cell>
          <cell r="J101">
            <v>3.67</v>
          </cell>
          <cell r="K101">
            <v>3.2</v>
          </cell>
          <cell r="L101">
            <v>9.1999999999999993</v>
          </cell>
          <cell r="M101" t="str">
            <v>待定</v>
          </cell>
          <cell r="O101" t="str">
            <v>待定</v>
          </cell>
          <cell r="R101">
            <v>60</v>
          </cell>
          <cell r="W101" t="str">
            <v>热卷 1.8t</v>
          </cell>
          <cell r="AB101" t="str">
            <v>B155*50*1.8 mm,</v>
          </cell>
          <cell r="AC101">
            <v>3.92</v>
          </cell>
        </row>
        <row r="102">
          <cell r="A102" t="str">
            <v>B16050.18</v>
          </cell>
          <cell r="C102">
            <v>7.4889000000000001</v>
          </cell>
          <cell r="D102">
            <v>0.42</v>
          </cell>
          <cell r="F102">
            <v>1.8</v>
          </cell>
          <cell r="G102">
            <v>265</v>
          </cell>
          <cell r="H102">
            <v>160</v>
          </cell>
          <cell r="I102">
            <v>50</v>
          </cell>
          <cell r="J102">
            <v>3.67</v>
          </cell>
          <cell r="K102">
            <v>3.4</v>
          </cell>
          <cell r="L102">
            <v>9.1999999999999993</v>
          </cell>
          <cell r="M102" t="str">
            <v>待定</v>
          </cell>
          <cell r="O102" t="str">
            <v>待定</v>
          </cell>
          <cell r="R102">
            <v>60</v>
          </cell>
          <cell r="W102" t="str">
            <v>热卷 1.8t</v>
          </cell>
          <cell r="AB102" t="str">
            <v>B160*50*1.8 mm,</v>
          </cell>
          <cell r="AC102">
            <v>3.92</v>
          </cell>
        </row>
        <row r="103">
          <cell r="A103" t="str">
            <v>B18050.18</v>
          </cell>
          <cell r="C103">
            <v>8.0541</v>
          </cell>
          <cell r="D103">
            <v>0.46</v>
          </cell>
          <cell r="F103">
            <v>1.8</v>
          </cell>
          <cell r="G103">
            <v>285</v>
          </cell>
          <cell r="H103">
            <v>180</v>
          </cell>
          <cell r="I103">
            <v>50</v>
          </cell>
          <cell r="J103">
            <v>3.67</v>
          </cell>
          <cell r="K103">
            <v>3.7</v>
          </cell>
          <cell r="L103">
            <v>9.1999999999999993</v>
          </cell>
          <cell r="M103" t="str">
            <v>待定</v>
          </cell>
          <cell r="O103" t="str">
            <v>待定</v>
          </cell>
          <cell r="R103">
            <v>60</v>
          </cell>
          <cell r="W103" t="str">
            <v>热卷 1.8t</v>
          </cell>
          <cell r="AB103" t="str">
            <v>B180*50*1.8 mm,</v>
          </cell>
          <cell r="AC103">
            <v>3.92</v>
          </cell>
        </row>
        <row r="104">
          <cell r="A104" t="str">
            <v>B12050.20</v>
          </cell>
          <cell r="B104">
            <v>15.3804</v>
          </cell>
          <cell r="C104">
            <v>7.0650000000000004</v>
          </cell>
          <cell r="D104">
            <v>0.34</v>
          </cell>
          <cell r="F104">
            <v>2</v>
          </cell>
          <cell r="G104">
            <v>225</v>
          </cell>
          <cell r="H104">
            <v>120</v>
          </cell>
          <cell r="I104">
            <v>50</v>
          </cell>
          <cell r="J104">
            <v>3.6</v>
          </cell>
          <cell r="K104">
            <v>2.6</v>
          </cell>
          <cell r="L104">
            <v>9.1999999999999993</v>
          </cell>
          <cell r="M104" t="str">
            <v>待定</v>
          </cell>
          <cell r="O104" t="str">
            <v>待定</v>
          </cell>
          <cell r="R104">
            <v>60</v>
          </cell>
          <cell r="W104" t="str">
            <v>热卷 2.0t</v>
          </cell>
          <cell r="AB104" t="str">
            <v>B120*50*2 mm,</v>
          </cell>
          <cell r="AC104">
            <v>3.85</v>
          </cell>
        </row>
        <row r="105">
          <cell r="A105" t="str">
            <v>B16050.20</v>
          </cell>
          <cell r="C105">
            <v>8.3209999999999997</v>
          </cell>
          <cell r="D105">
            <v>0.42</v>
          </cell>
          <cell r="F105">
            <v>2</v>
          </cell>
          <cell r="G105">
            <v>265</v>
          </cell>
          <cell r="H105">
            <v>160</v>
          </cell>
          <cell r="I105">
            <v>50</v>
          </cell>
          <cell r="J105">
            <v>3.6</v>
          </cell>
          <cell r="K105">
            <v>3.4</v>
          </cell>
          <cell r="L105">
            <v>9.1999999999999993</v>
          </cell>
          <cell r="M105" t="str">
            <v>待定</v>
          </cell>
          <cell r="O105" t="str">
            <v>待定</v>
          </cell>
          <cell r="R105">
            <v>60</v>
          </cell>
          <cell r="W105" t="str">
            <v>热卷 2.0t</v>
          </cell>
          <cell r="AB105" t="str">
            <v>B160*50*2 mm,</v>
          </cell>
          <cell r="AC105">
            <v>3.85</v>
          </cell>
        </row>
        <row r="106">
          <cell r="A106" t="str">
            <v>B18050.20</v>
          </cell>
          <cell r="C106">
            <v>8.9489999999999998</v>
          </cell>
          <cell r="D106">
            <v>0.46</v>
          </cell>
          <cell r="F106">
            <v>2</v>
          </cell>
          <cell r="G106">
            <v>285</v>
          </cell>
          <cell r="H106">
            <v>180</v>
          </cell>
          <cell r="I106">
            <v>50</v>
          </cell>
          <cell r="J106">
            <v>3.6</v>
          </cell>
          <cell r="K106">
            <v>3.7</v>
          </cell>
          <cell r="L106">
            <v>9.1999999999999993</v>
          </cell>
          <cell r="M106" t="str">
            <v>待定</v>
          </cell>
          <cell r="O106" t="str">
            <v>待定</v>
          </cell>
          <cell r="R106">
            <v>60</v>
          </cell>
          <cell r="W106" t="str">
            <v>热卷 2.0t</v>
          </cell>
          <cell r="AB106" t="str">
            <v>B180*50*2 mm,</v>
          </cell>
          <cell r="AC106">
            <v>3.85</v>
          </cell>
        </row>
        <row r="107">
          <cell r="A107" t="str">
            <v>B8050.14</v>
          </cell>
          <cell r="C107">
            <v>4.0223399999999998</v>
          </cell>
          <cell r="D107">
            <v>0.26</v>
          </cell>
          <cell r="F107">
            <v>1.4</v>
          </cell>
          <cell r="G107">
            <v>183</v>
          </cell>
          <cell r="H107">
            <v>80</v>
          </cell>
          <cell r="I107">
            <v>50</v>
          </cell>
          <cell r="J107">
            <v>3.69</v>
          </cell>
          <cell r="K107">
            <v>2.6</v>
          </cell>
          <cell r="L107">
            <v>9.1999999999999993</v>
          </cell>
          <cell r="M107" t="str">
            <v>待定</v>
          </cell>
          <cell r="O107" t="str">
            <v>待定</v>
          </cell>
          <cell r="R107">
            <v>60</v>
          </cell>
          <cell r="W107" t="str">
            <v>热卷 1.4t</v>
          </cell>
          <cell r="AB107" t="str">
            <v>B80*50*1.4 mm,</v>
          </cell>
          <cell r="AC107">
            <v>3.94</v>
          </cell>
        </row>
        <row r="108">
          <cell r="A108" t="str">
            <v>B10050.13</v>
          </cell>
          <cell r="C108">
            <v>4.18405</v>
          </cell>
          <cell r="D108">
            <v>0.3</v>
          </cell>
          <cell r="F108">
            <v>1.3</v>
          </cell>
          <cell r="G108">
            <v>205</v>
          </cell>
          <cell r="H108">
            <v>100</v>
          </cell>
          <cell r="I108">
            <v>50</v>
          </cell>
          <cell r="J108">
            <v>0</v>
          </cell>
          <cell r="K108">
            <v>2.6</v>
          </cell>
          <cell r="L108">
            <v>9.1999999999999993</v>
          </cell>
          <cell r="M108" t="str">
            <v>待定</v>
          </cell>
          <cell r="O108" t="str">
            <v>待定</v>
          </cell>
          <cell r="R108">
            <v>60</v>
          </cell>
          <cell r="W108" t="str">
            <v>热卷 1.3t</v>
          </cell>
          <cell r="AB108" t="str">
            <v>B100*50*1.3 mm,</v>
          </cell>
          <cell r="AC108">
            <v>0.25</v>
          </cell>
        </row>
        <row r="114">
          <cell r="A114" t="str">
            <v>P-型梁</v>
          </cell>
          <cell r="Q114" t="str">
            <v>中型货架面宽</v>
          </cell>
          <cell r="R114" t="str">
            <v>中型/重型柱卡面宽</v>
          </cell>
        </row>
        <row r="115">
          <cell r="A115" t="str">
            <v>P5030/25.12</v>
          </cell>
          <cell r="C115">
            <v>1.4601</v>
          </cell>
          <cell r="D115">
            <v>0.16</v>
          </cell>
          <cell r="F115">
            <v>1.2</v>
          </cell>
          <cell r="G115">
            <v>155</v>
          </cell>
          <cell r="H115">
            <v>50</v>
          </cell>
          <cell r="I115">
            <v>30</v>
          </cell>
          <cell r="J115">
            <v>4.3099999999999996</v>
          </cell>
          <cell r="K115">
            <v>2</v>
          </cell>
          <cell r="L115">
            <v>9.6999999999999993</v>
          </cell>
          <cell r="Q115">
            <v>50</v>
          </cell>
          <cell r="R115" t="str">
            <v>50/60</v>
          </cell>
          <cell r="W115" t="str">
            <v>P型梁半光亮 1.2t</v>
          </cell>
          <cell r="AB115" t="str">
            <v>P50*30*1.2 mm,</v>
          </cell>
        </row>
        <row r="116">
          <cell r="A116" t="str">
            <v>P5030/25.15</v>
          </cell>
          <cell r="C116">
            <v>1.81335</v>
          </cell>
          <cell r="D116">
            <v>0.16</v>
          </cell>
          <cell r="F116">
            <v>1.5</v>
          </cell>
          <cell r="G116">
            <v>154</v>
          </cell>
          <cell r="H116">
            <v>50</v>
          </cell>
          <cell r="I116">
            <v>30</v>
          </cell>
          <cell r="J116">
            <v>4.3099999999999996</v>
          </cell>
          <cell r="K116">
            <v>2</v>
          </cell>
          <cell r="L116">
            <v>9.6999999999999993</v>
          </cell>
          <cell r="Q116">
            <v>50</v>
          </cell>
          <cell r="R116" t="str">
            <v>50/60</v>
          </cell>
          <cell r="W116" t="str">
            <v>P型梁半光亮 1.5t</v>
          </cell>
          <cell r="AB116" t="str">
            <v>P50*30*1.5 mm,</v>
          </cell>
        </row>
        <row r="117">
          <cell r="A117" t="str">
            <v>P6040/18.12</v>
          </cell>
          <cell r="C117">
            <v>1.8369</v>
          </cell>
          <cell r="D117">
            <v>0.2</v>
          </cell>
          <cell r="F117">
            <v>1.2</v>
          </cell>
          <cell r="G117">
            <v>195</v>
          </cell>
          <cell r="H117">
            <v>60</v>
          </cell>
          <cell r="I117">
            <v>40</v>
          </cell>
          <cell r="J117">
            <v>4.3099999999999996</v>
          </cell>
          <cell r="K117">
            <v>2</v>
          </cell>
          <cell r="L117">
            <v>9.6999999999999993</v>
          </cell>
          <cell r="Q117">
            <v>50</v>
          </cell>
          <cell r="R117" t="str">
            <v>50/60</v>
          </cell>
          <cell r="W117" t="str">
            <v>P型梁半光亮 1.2t</v>
          </cell>
          <cell r="AB117" t="str">
            <v>P60*40*1.2 mm,</v>
          </cell>
        </row>
        <row r="118">
          <cell r="A118" t="str">
            <v>P6040/28.15</v>
          </cell>
          <cell r="C118">
            <v>2.2843499999999999</v>
          </cell>
          <cell r="D118">
            <v>0.2</v>
          </cell>
          <cell r="F118">
            <v>1.5</v>
          </cell>
          <cell r="G118">
            <v>194</v>
          </cell>
          <cell r="H118">
            <v>60</v>
          </cell>
          <cell r="I118">
            <v>40</v>
          </cell>
          <cell r="J118">
            <v>4.3099999999999996</v>
          </cell>
          <cell r="K118">
            <v>2</v>
          </cell>
          <cell r="L118">
            <v>9.6999999999999993</v>
          </cell>
          <cell r="Q118">
            <v>50</v>
          </cell>
          <cell r="R118" t="str">
            <v>50/60</v>
          </cell>
          <cell r="W118" t="str">
            <v>P型梁半光亮 1.5t</v>
          </cell>
          <cell r="AB118" t="str">
            <v>P60*40*1.5 mm,</v>
          </cell>
        </row>
        <row r="119">
          <cell r="A119" t="str">
            <v>P6040/18.20</v>
          </cell>
          <cell r="C119">
            <v>3.0144000000000002</v>
          </cell>
          <cell r="D119">
            <v>0.2</v>
          </cell>
          <cell r="F119">
            <v>2</v>
          </cell>
          <cell r="G119">
            <v>192</v>
          </cell>
          <cell r="H119">
            <v>60</v>
          </cell>
          <cell r="I119">
            <v>40</v>
          </cell>
          <cell r="J119">
            <v>4.3099999999999996</v>
          </cell>
          <cell r="K119">
            <v>2</v>
          </cell>
          <cell r="L119">
            <v>9.6999999999999993</v>
          </cell>
          <cell r="Q119">
            <v>50</v>
          </cell>
          <cell r="R119" t="str">
            <v>50/60</v>
          </cell>
          <cell r="W119" t="str">
            <v>P型梁半光亮 2.0t</v>
          </cell>
          <cell r="AB119" t="str">
            <v>P60*40*2 mm,</v>
          </cell>
        </row>
        <row r="120">
          <cell r="A120" t="str">
            <v>P6040/28.20</v>
          </cell>
          <cell r="C120">
            <v>3.0144000000000002</v>
          </cell>
          <cell r="D120">
            <v>0.2</v>
          </cell>
          <cell r="F120">
            <v>2</v>
          </cell>
          <cell r="G120">
            <v>192</v>
          </cell>
          <cell r="H120">
            <v>60</v>
          </cell>
          <cell r="I120">
            <v>40</v>
          </cell>
          <cell r="J120">
            <v>4.3099999999999996</v>
          </cell>
          <cell r="K120">
            <v>2</v>
          </cell>
          <cell r="L120">
            <v>9.6999999999999993</v>
          </cell>
          <cell r="Q120">
            <v>50</v>
          </cell>
          <cell r="R120" t="str">
            <v>50/60</v>
          </cell>
          <cell r="W120" t="str">
            <v>P型梁半光亮 2.0t</v>
          </cell>
          <cell r="AB120" t="str">
            <v>P60*40*2 mm,</v>
          </cell>
        </row>
        <row r="121">
          <cell r="A121" t="str">
            <v>P8050/28.12</v>
          </cell>
          <cell r="C121">
            <v>2.4039839999999999</v>
          </cell>
          <cell r="D121">
            <v>0.26</v>
          </cell>
          <cell r="F121">
            <v>1.2</v>
          </cell>
          <cell r="G121">
            <v>255.2</v>
          </cell>
          <cell r="H121">
            <v>80</v>
          </cell>
          <cell r="I121">
            <v>50</v>
          </cell>
          <cell r="J121">
            <v>4.3099999999999996</v>
          </cell>
          <cell r="K121">
            <v>2.4</v>
          </cell>
          <cell r="L121">
            <v>9.1999999999999993</v>
          </cell>
          <cell r="Q121">
            <v>60</v>
          </cell>
          <cell r="R121">
            <v>60</v>
          </cell>
          <cell r="W121" t="str">
            <v>P型梁半光亮 1.2t</v>
          </cell>
          <cell r="AB121" t="str">
            <v>P80*50*1.2 mm,</v>
          </cell>
        </row>
        <row r="122">
          <cell r="A122" t="str">
            <v>P8050/28.15</v>
          </cell>
          <cell r="C122">
            <v>2.99085</v>
          </cell>
          <cell r="D122">
            <v>0.26</v>
          </cell>
          <cell r="F122">
            <v>1.5</v>
          </cell>
          <cell r="G122">
            <v>254</v>
          </cell>
          <cell r="H122">
            <v>80</v>
          </cell>
          <cell r="I122">
            <v>50</v>
          </cell>
          <cell r="J122">
            <v>4.3099999999999996</v>
          </cell>
          <cell r="K122">
            <v>2.4</v>
          </cell>
          <cell r="L122">
            <v>9.1999999999999993</v>
          </cell>
          <cell r="Q122">
            <v>60</v>
          </cell>
          <cell r="R122">
            <v>60</v>
          </cell>
          <cell r="W122" t="str">
            <v>P型梁半光亮 1.5t</v>
          </cell>
          <cell r="AB122" t="str">
            <v>P80*50*1.5 mm,</v>
          </cell>
        </row>
        <row r="123">
          <cell r="A123" t="str">
            <v>P8050/28.20</v>
          </cell>
          <cell r="C123">
            <v>3.9563999999999999</v>
          </cell>
          <cell r="D123">
            <v>0.26</v>
          </cell>
          <cell r="F123">
            <v>2</v>
          </cell>
          <cell r="G123">
            <v>252</v>
          </cell>
          <cell r="H123">
            <v>80</v>
          </cell>
          <cell r="I123">
            <v>50</v>
          </cell>
          <cell r="J123">
            <v>4.3099999999999996</v>
          </cell>
          <cell r="K123">
            <v>2.4</v>
          </cell>
          <cell r="L123">
            <v>9.1999999999999993</v>
          </cell>
          <cell r="Q123">
            <v>60</v>
          </cell>
          <cell r="R123">
            <v>60</v>
          </cell>
          <cell r="W123" t="str">
            <v>P型梁半光亮 2.0t</v>
          </cell>
          <cell r="AB123" t="str">
            <v>P80*50*2 mm,</v>
          </cell>
        </row>
        <row r="124">
          <cell r="A124" t="str">
            <v>P11050/28.15</v>
          </cell>
          <cell r="C124">
            <v>3.6973500000000001</v>
          </cell>
          <cell r="D124">
            <v>0.32</v>
          </cell>
          <cell r="F124">
            <v>1.5</v>
          </cell>
          <cell r="G124">
            <v>314</v>
          </cell>
          <cell r="H124">
            <v>110</v>
          </cell>
          <cell r="I124">
            <v>50</v>
          </cell>
          <cell r="J124">
            <v>4.3099999999999996</v>
          </cell>
          <cell r="K124">
            <v>2.6</v>
          </cell>
          <cell r="L124">
            <v>9.1999999999999993</v>
          </cell>
          <cell r="Q124">
            <v>60</v>
          </cell>
          <cell r="R124">
            <v>60</v>
          </cell>
          <cell r="W124" t="str">
            <v>P型梁半光亮 1.5t</v>
          </cell>
          <cell r="AB124" t="str">
            <v>P110*50*1.5 mm,</v>
          </cell>
        </row>
        <row r="125">
          <cell r="A125" t="str">
            <v>P76×63.5/41.3-15</v>
          </cell>
          <cell r="C125">
            <v>3.2616749999999999</v>
          </cell>
          <cell r="D125">
            <v>0.27900000000000003</v>
          </cell>
          <cell r="F125">
            <v>1.5</v>
          </cell>
          <cell r="G125">
            <v>277</v>
          </cell>
          <cell r="H125">
            <v>76</v>
          </cell>
          <cell r="I125">
            <v>63.5</v>
          </cell>
          <cell r="J125">
            <v>4.51</v>
          </cell>
          <cell r="K125">
            <v>2.4</v>
          </cell>
          <cell r="L125">
            <v>9.1999999999999993</v>
          </cell>
          <cell r="P125">
            <v>0.5</v>
          </cell>
          <cell r="Q125">
            <v>75</v>
          </cell>
          <cell r="R125">
            <v>75</v>
          </cell>
          <cell r="W125" t="str">
            <v>P76.2*63.5*1.5</v>
          </cell>
          <cell r="AB125" t="str">
            <v>P76*63.5*1.5 mm,</v>
          </cell>
        </row>
        <row r="126">
          <cell r="A126" t="str">
            <v>P76×63.5/41.3-18</v>
          </cell>
          <cell r="C126">
            <v>3.9140100000000002</v>
          </cell>
          <cell r="D126">
            <v>0.27900000000000003</v>
          </cell>
          <cell r="F126">
            <v>1.8</v>
          </cell>
          <cell r="G126">
            <v>277</v>
          </cell>
          <cell r="H126">
            <v>76</v>
          </cell>
          <cell r="I126">
            <v>63.5</v>
          </cell>
          <cell r="J126">
            <v>4.4000000000000004</v>
          </cell>
          <cell r="K126">
            <v>2.4</v>
          </cell>
          <cell r="L126">
            <v>9.1999999999999993</v>
          </cell>
          <cell r="P126">
            <v>0.5</v>
          </cell>
          <cell r="Q126">
            <v>75</v>
          </cell>
          <cell r="R126">
            <v>75</v>
          </cell>
          <cell r="W126" t="str">
            <v>P76.2*63.5*1.8</v>
          </cell>
          <cell r="AB126" t="str">
            <v>P76*63.5*1.8 mm,</v>
          </cell>
        </row>
        <row r="127">
          <cell r="A127" t="str">
            <v>P88.9×63.5/41.3-18</v>
          </cell>
          <cell r="C127">
            <v>4.2672600000000003</v>
          </cell>
          <cell r="D127">
            <v>0.30480000000000002</v>
          </cell>
          <cell r="F127">
            <v>1.8</v>
          </cell>
          <cell r="G127">
            <v>302</v>
          </cell>
          <cell r="H127">
            <v>88.9</v>
          </cell>
          <cell r="I127">
            <v>63.5</v>
          </cell>
          <cell r="J127">
            <v>4.51</v>
          </cell>
          <cell r="K127">
            <v>2.6</v>
          </cell>
          <cell r="L127">
            <v>9.1999999999999993</v>
          </cell>
          <cell r="P127">
            <v>0.5</v>
          </cell>
          <cell r="Q127">
            <v>75</v>
          </cell>
          <cell r="R127">
            <v>75</v>
          </cell>
          <cell r="W127" t="str">
            <v>P88.9*63.5*1.5</v>
          </cell>
          <cell r="AB127" t="str">
            <v>P88.9*63.5*1.8 mm,</v>
          </cell>
        </row>
        <row r="128">
          <cell r="A128" t="str">
            <v>P88.9×63.5/41.3-18</v>
          </cell>
          <cell r="C128">
            <v>4.2672600000000003</v>
          </cell>
          <cell r="D128">
            <v>0.30480000000000002</v>
          </cell>
          <cell r="F128">
            <v>1.8</v>
          </cell>
          <cell r="G128">
            <v>302</v>
          </cell>
          <cell r="H128">
            <v>88.9</v>
          </cell>
          <cell r="I128">
            <v>63.5</v>
          </cell>
          <cell r="J128">
            <v>4.4000000000000004</v>
          </cell>
          <cell r="K128">
            <v>2.6</v>
          </cell>
          <cell r="L128">
            <v>9.1999999999999993</v>
          </cell>
          <cell r="P128">
            <v>0.5</v>
          </cell>
          <cell r="Q128">
            <v>75</v>
          </cell>
          <cell r="R128">
            <v>75</v>
          </cell>
          <cell r="W128" t="str">
            <v>P88.9*63.5*1.8</v>
          </cell>
          <cell r="AB128" t="str">
            <v>P88.9*63.5*1.8 mm,</v>
          </cell>
        </row>
        <row r="129">
          <cell r="A129" t="str">
            <v>P101.6×63.5/41.3-15</v>
          </cell>
          <cell r="C129">
            <v>3.8622000000000001</v>
          </cell>
          <cell r="D129">
            <v>0.33019999999999999</v>
          </cell>
          <cell r="F129">
            <v>1.5</v>
          </cell>
          <cell r="G129">
            <v>328</v>
          </cell>
          <cell r="H129">
            <v>101.6</v>
          </cell>
          <cell r="I129">
            <v>63.5</v>
          </cell>
          <cell r="J129">
            <v>4.51</v>
          </cell>
          <cell r="K129">
            <v>2.6</v>
          </cell>
          <cell r="L129">
            <v>9.1999999999999993</v>
          </cell>
          <cell r="P129">
            <v>0.5</v>
          </cell>
          <cell r="Q129">
            <v>75</v>
          </cell>
          <cell r="R129">
            <v>75</v>
          </cell>
          <cell r="W129" t="str">
            <v>P101.6*63.5*1.5</v>
          </cell>
          <cell r="AB129" t="str">
            <v>P101.6*63.5*1.5 mm,</v>
          </cell>
        </row>
        <row r="130">
          <cell r="A130" t="str">
            <v>P101.6×63.5/41.3-18</v>
          </cell>
          <cell r="C130">
            <v>4.6346400000000001</v>
          </cell>
          <cell r="D130">
            <v>0.33019999999999999</v>
          </cell>
          <cell r="F130">
            <v>1.8</v>
          </cell>
          <cell r="G130">
            <v>328</v>
          </cell>
          <cell r="H130">
            <v>101.6</v>
          </cell>
          <cell r="I130">
            <v>63.5</v>
          </cell>
          <cell r="J130">
            <v>4.4000000000000004</v>
          </cell>
          <cell r="K130">
            <v>2.6</v>
          </cell>
          <cell r="L130">
            <v>9.1999999999999993</v>
          </cell>
          <cell r="P130">
            <v>0.5</v>
          </cell>
          <cell r="Q130">
            <v>75</v>
          </cell>
          <cell r="R130">
            <v>75</v>
          </cell>
          <cell r="W130" t="str">
            <v>P101.6*63.5*1.8</v>
          </cell>
          <cell r="AB130" t="str">
            <v>P101.6*63.5*1.8 mm,</v>
          </cell>
        </row>
        <row r="131">
          <cell r="A131" t="str">
            <v>P114×63.5/41.3-15</v>
          </cell>
          <cell r="C131">
            <v>4.1448</v>
          </cell>
          <cell r="D131">
            <v>0.35499999999999998</v>
          </cell>
          <cell r="F131">
            <v>1.5</v>
          </cell>
          <cell r="G131">
            <v>352</v>
          </cell>
          <cell r="H131">
            <v>114</v>
          </cell>
          <cell r="I131">
            <v>63.5</v>
          </cell>
          <cell r="J131">
            <v>4.51</v>
          </cell>
          <cell r="K131">
            <v>2.8</v>
          </cell>
          <cell r="L131">
            <v>9.1999999999999993</v>
          </cell>
          <cell r="P131">
            <v>0.5</v>
          </cell>
          <cell r="Q131">
            <v>75</v>
          </cell>
          <cell r="R131">
            <v>75</v>
          </cell>
          <cell r="W131" t="str">
            <v>P114.3*63.5*1.5</v>
          </cell>
          <cell r="AB131" t="str">
            <v>P114*63.5*1.5 mm,</v>
          </cell>
        </row>
        <row r="132">
          <cell r="A132" t="str">
            <v>P114×63.5/41.3-18</v>
          </cell>
          <cell r="C132">
            <v>4.9737600000000004</v>
          </cell>
          <cell r="D132">
            <v>0.35499999999999998</v>
          </cell>
          <cell r="F132">
            <v>1.8</v>
          </cell>
          <cell r="G132">
            <v>352</v>
          </cell>
          <cell r="H132">
            <v>114</v>
          </cell>
          <cell r="I132">
            <v>63.5</v>
          </cell>
          <cell r="J132">
            <v>4.4000000000000004</v>
          </cell>
          <cell r="K132">
            <v>2.8</v>
          </cell>
          <cell r="L132">
            <v>9.1999999999999993</v>
          </cell>
          <cell r="P132">
            <v>0.5</v>
          </cell>
          <cell r="Q132">
            <v>75</v>
          </cell>
          <cell r="R132">
            <v>75</v>
          </cell>
          <cell r="W132" t="str">
            <v>P114.3*63.5*1.8</v>
          </cell>
          <cell r="AB132" t="str">
            <v>P114*63.5*1.8 mm,</v>
          </cell>
        </row>
        <row r="133">
          <cell r="A133" t="str">
            <v>P127×63.5/41.3-18</v>
          </cell>
          <cell r="C133">
            <v>5.3693999999999997</v>
          </cell>
          <cell r="D133">
            <v>0.38100000000000001</v>
          </cell>
          <cell r="F133">
            <v>1.8</v>
          </cell>
          <cell r="G133">
            <v>380</v>
          </cell>
          <cell r="H133">
            <v>127</v>
          </cell>
          <cell r="I133">
            <v>63.5</v>
          </cell>
          <cell r="J133">
            <v>4.4000000000000004</v>
          </cell>
          <cell r="K133">
            <v>3</v>
          </cell>
          <cell r="L133">
            <v>9.1999999999999993</v>
          </cell>
          <cell r="P133">
            <v>0.5</v>
          </cell>
          <cell r="Q133">
            <v>75</v>
          </cell>
          <cell r="R133">
            <v>75</v>
          </cell>
          <cell r="W133" t="str">
            <v>P127*63.5*1.8</v>
          </cell>
          <cell r="AB133" t="str">
            <v>P127*63.5*1.8 mm,</v>
          </cell>
        </row>
        <row r="134">
          <cell r="A134" t="str">
            <v>P127×63.5/41.3-20</v>
          </cell>
          <cell r="C134">
            <v>5.9660000000000002</v>
          </cell>
          <cell r="D134">
            <v>0.38100000000000001</v>
          </cell>
          <cell r="F134">
            <v>2</v>
          </cell>
          <cell r="G134">
            <v>380</v>
          </cell>
          <cell r="H134">
            <v>127</v>
          </cell>
          <cell r="I134">
            <v>63.5</v>
          </cell>
          <cell r="J134">
            <v>4.3899999999999997</v>
          </cell>
          <cell r="K134">
            <v>3</v>
          </cell>
          <cell r="L134">
            <v>9.1999999999999993</v>
          </cell>
          <cell r="P134">
            <v>0.5</v>
          </cell>
          <cell r="Q134">
            <v>75</v>
          </cell>
          <cell r="R134">
            <v>75</v>
          </cell>
          <cell r="W134" t="str">
            <v>P127*63.5*2.0</v>
          </cell>
          <cell r="AB134" t="str">
            <v>P127*63.5*2 mm,</v>
          </cell>
        </row>
        <row r="135">
          <cell r="A135" t="str">
            <v>P127×63.5/41.3-25</v>
          </cell>
          <cell r="B135" t="str">
            <v>单价参照2.0</v>
          </cell>
          <cell r="C135">
            <v>7.4574999999999996</v>
          </cell>
          <cell r="D135">
            <v>0.38100000000000001</v>
          </cell>
          <cell r="F135">
            <v>2.5</v>
          </cell>
          <cell r="G135">
            <v>380</v>
          </cell>
          <cell r="H135">
            <v>127</v>
          </cell>
          <cell r="I135">
            <v>63.5</v>
          </cell>
          <cell r="J135">
            <v>4.3899999999999997</v>
          </cell>
          <cell r="K135">
            <v>3</v>
          </cell>
          <cell r="L135">
            <v>9.1999999999999993</v>
          </cell>
          <cell r="P135">
            <v>0.5</v>
          </cell>
          <cell r="Q135">
            <v>75</v>
          </cell>
          <cell r="R135">
            <v>75</v>
          </cell>
          <cell r="W135" t="str">
            <v>P127*63.5*2.0</v>
          </cell>
          <cell r="AB135" t="str">
            <v>P127*63.5*2.5 mm,</v>
          </cell>
        </row>
        <row r="136">
          <cell r="A136" t="str">
            <v>P139.7×63.5/41.3-18</v>
          </cell>
          <cell r="C136">
            <v>5.6943900000000003</v>
          </cell>
          <cell r="D136">
            <v>0.40639999999999998</v>
          </cell>
          <cell r="F136">
            <v>1.8</v>
          </cell>
          <cell r="G136">
            <v>403</v>
          </cell>
          <cell r="H136">
            <v>139.69999999999999</v>
          </cell>
          <cell r="I136">
            <v>63.5</v>
          </cell>
          <cell r="J136">
            <v>4.4000000000000004</v>
          </cell>
          <cell r="K136">
            <v>3.3</v>
          </cell>
          <cell r="L136">
            <v>9.1999999999999993</v>
          </cell>
          <cell r="P136">
            <v>0.5</v>
          </cell>
          <cell r="Q136">
            <v>75</v>
          </cell>
          <cell r="R136">
            <v>75</v>
          </cell>
          <cell r="W136" t="str">
            <v>P139.7*63.5*1.8</v>
          </cell>
          <cell r="AB136" t="str">
            <v>P139.7*63.5*1.8 mm,</v>
          </cell>
        </row>
        <row r="137">
          <cell r="A137" t="str">
            <v>P139.7×63.5/41.3-20</v>
          </cell>
          <cell r="C137">
            <v>6.3270999999999997</v>
          </cell>
          <cell r="D137">
            <v>0.40639999999999998</v>
          </cell>
          <cell r="F137">
            <v>2</v>
          </cell>
          <cell r="G137">
            <v>403</v>
          </cell>
          <cell r="H137">
            <v>139.69999999999999</v>
          </cell>
          <cell r="I137">
            <v>63.5</v>
          </cell>
          <cell r="J137">
            <v>4.3899999999999997</v>
          </cell>
          <cell r="K137">
            <v>3.3</v>
          </cell>
          <cell r="L137">
            <v>9.1999999999999993</v>
          </cell>
          <cell r="P137">
            <v>0.5</v>
          </cell>
          <cell r="Q137">
            <v>75</v>
          </cell>
          <cell r="R137">
            <v>75</v>
          </cell>
          <cell r="W137" t="str">
            <v>P139.7*63.5*2.0</v>
          </cell>
          <cell r="AB137" t="str">
            <v>P139.7*63.5*2 mm,</v>
          </cell>
        </row>
        <row r="138">
          <cell r="A138" t="str">
            <v>P139.7×63.5/41.3-25</v>
          </cell>
          <cell r="B138" t="str">
            <v>单价参照2.0</v>
          </cell>
          <cell r="C138">
            <v>7.9088750000000001</v>
          </cell>
          <cell r="D138">
            <v>0.40639999999999998</v>
          </cell>
          <cell r="F138">
            <v>2.5</v>
          </cell>
          <cell r="G138">
            <v>403</v>
          </cell>
          <cell r="H138">
            <v>139.69999999999999</v>
          </cell>
          <cell r="I138">
            <v>63.5</v>
          </cell>
          <cell r="J138">
            <v>4.3899999999999997</v>
          </cell>
          <cell r="K138">
            <v>3.3</v>
          </cell>
          <cell r="L138">
            <v>9.1999999999999993</v>
          </cell>
          <cell r="P138">
            <v>0.5</v>
          </cell>
          <cell r="Q138">
            <v>75</v>
          </cell>
          <cell r="R138">
            <v>75</v>
          </cell>
          <cell r="W138" t="str">
            <v>P139.7*63.5*2.0</v>
          </cell>
          <cell r="AB138" t="str">
            <v>P139.7*63.5*2.5 mm,</v>
          </cell>
        </row>
        <row r="139">
          <cell r="A139" t="str">
            <v>P152×64/41.3-18</v>
          </cell>
          <cell r="C139">
            <v>6.0476400000000003</v>
          </cell>
          <cell r="D139">
            <v>0.43180000000000002</v>
          </cell>
          <cell r="F139">
            <v>1.8</v>
          </cell>
          <cell r="G139">
            <v>428</v>
          </cell>
          <cell r="H139">
            <v>152.4</v>
          </cell>
          <cell r="I139">
            <v>63.5</v>
          </cell>
          <cell r="J139">
            <v>4.4000000000000004</v>
          </cell>
          <cell r="K139">
            <v>3.6</v>
          </cell>
          <cell r="L139">
            <v>9.1999999999999993</v>
          </cell>
          <cell r="P139">
            <v>0.5</v>
          </cell>
          <cell r="Q139">
            <v>75</v>
          </cell>
          <cell r="R139">
            <v>75</v>
          </cell>
          <cell r="W139" t="str">
            <v>P152.4*63.5*1.8</v>
          </cell>
          <cell r="AB139" t="str">
            <v>P152.4*63.5*1.8 mm,</v>
          </cell>
        </row>
        <row r="140">
          <cell r="A140" t="str">
            <v>P152×64/41.3-20</v>
          </cell>
          <cell r="C140">
            <v>6.7195999999999998</v>
          </cell>
          <cell r="D140">
            <v>0.43180000000000002</v>
          </cell>
          <cell r="F140">
            <v>2</v>
          </cell>
          <cell r="G140">
            <v>428</v>
          </cell>
          <cell r="H140">
            <v>152.4</v>
          </cell>
          <cell r="I140">
            <v>63.5</v>
          </cell>
          <cell r="J140">
            <v>4.3899999999999997</v>
          </cell>
          <cell r="K140">
            <v>3.6</v>
          </cell>
          <cell r="L140">
            <v>9.1999999999999993</v>
          </cell>
          <cell r="P140">
            <v>0.5</v>
          </cell>
          <cell r="Q140">
            <v>75</v>
          </cell>
          <cell r="R140">
            <v>75</v>
          </cell>
          <cell r="W140" t="str">
            <v>P152.4*63.5*2.0</v>
          </cell>
          <cell r="AB140" t="str">
            <v>P152.4*63.5*2 mm,</v>
          </cell>
        </row>
        <row r="153">
          <cell r="A153" t="str">
            <v>矩型管</v>
          </cell>
          <cell r="R153" t="str">
            <v>大货架柱卡面宽</v>
          </cell>
        </row>
        <row r="154">
          <cell r="A154" t="str">
            <v>HS4040.15</v>
          </cell>
          <cell r="C154">
            <v>1.81335</v>
          </cell>
          <cell r="D154">
            <v>0.16</v>
          </cell>
          <cell r="F154">
            <v>1.5</v>
          </cell>
          <cell r="G154">
            <v>154</v>
          </cell>
          <cell r="H154">
            <v>40</v>
          </cell>
          <cell r="I154">
            <v>40</v>
          </cell>
          <cell r="J154">
            <v>4.28</v>
          </cell>
          <cell r="K154">
            <v>1.3</v>
          </cell>
          <cell r="L154">
            <v>9.6999999999999993</v>
          </cell>
          <cell r="P154">
            <v>0.3</v>
          </cell>
          <cell r="R154">
            <v>60</v>
          </cell>
          <cell r="W154" t="str">
            <v>矩管 1.5t</v>
          </cell>
          <cell r="AB154" t="str">
            <v>HS40*40*1.5 mm,</v>
          </cell>
        </row>
        <row r="155">
          <cell r="A155" t="str">
            <v>HS5030.12</v>
          </cell>
          <cell r="C155">
            <v>1.461984</v>
          </cell>
          <cell r="D155">
            <v>0.16</v>
          </cell>
          <cell r="F155">
            <v>1.2</v>
          </cell>
          <cell r="G155">
            <v>155.19999999999999</v>
          </cell>
          <cell r="H155">
            <v>50</v>
          </cell>
          <cell r="I155">
            <v>30</v>
          </cell>
          <cell r="J155">
            <v>4.33</v>
          </cell>
          <cell r="K155">
            <v>1.3</v>
          </cell>
          <cell r="L155">
            <v>9.6999999999999993</v>
          </cell>
          <cell r="P155">
            <v>0.3</v>
          </cell>
          <cell r="R155">
            <v>60</v>
          </cell>
          <cell r="W155" t="str">
            <v>矩管 1.2t</v>
          </cell>
          <cell r="AB155" t="str">
            <v>HS50*30*1.2 mm,</v>
          </cell>
        </row>
        <row r="156">
          <cell r="A156" t="str">
            <v>HS5030.15</v>
          </cell>
          <cell r="C156">
            <v>1.81335</v>
          </cell>
          <cell r="D156">
            <v>0.16</v>
          </cell>
          <cell r="F156">
            <v>1.5</v>
          </cell>
          <cell r="G156">
            <v>154</v>
          </cell>
          <cell r="H156">
            <v>50</v>
          </cell>
          <cell r="I156">
            <v>30</v>
          </cell>
          <cell r="J156">
            <v>4.28</v>
          </cell>
          <cell r="K156">
            <v>1.3</v>
          </cell>
          <cell r="L156">
            <v>9.6999999999999993</v>
          </cell>
          <cell r="P156">
            <v>0.3</v>
          </cell>
          <cell r="R156">
            <v>60</v>
          </cell>
          <cell r="W156" t="str">
            <v>矩管 1.5t</v>
          </cell>
          <cell r="AB156" t="str">
            <v>HS50*30*1.5 mm,</v>
          </cell>
        </row>
        <row r="157">
          <cell r="A157" t="str">
            <v>HS5030.20</v>
          </cell>
          <cell r="C157">
            <v>2.3864000000000001</v>
          </cell>
          <cell r="D157">
            <v>0.16</v>
          </cell>
          <cell r="F157">
            <v>2</v>
          </cell>
          <cell r="G157">
            <v>152</v>
          </cell>
          <cell r="H157">
            <v>50</v>
          </cell>
          <cell r="I157">
            <v>30</v>
          </cell>
          <cell r="J157">
            <v>4.08</v>
          </cell>
          <cell r="K157">
            <v>1.3</v>
          </cell>
          <cell r="L157">
            <v>9.6999999999999993</v>
          </cell>
          <cell r="P157">
            <v>0.3</v>
          </cell>
          <cell r="R157">
            <v>60</v>
          </cell>
          <cell r="W157" t="str">
            <v>矩管 2.0t</v>
          </cell>
          <cell r="AB157" t="str">
            <v>HS50*30*2 mm,</v>
          </cell>
        </row>
        <row r="158">
          <cell r="A158" t="str">
            <v>HS6040.12</v>
          </cell>
          <cell r="C158">
            <v>1.838784</v>
          </cell>
          <cell r="D158">
            <v>0.2</v>
          </cell>
          <cell r="F158">
            <v>1.2</v>
          </cell>
          <cell r="G158">
            <v>195.2</v>
          </cell>
          <cell r="H158">
            <v>60</v>
          </cell>
          <cell r="I158">
            <v>40</v>
          </cell>
          <cell r="J158">
            <v>4.33</v>
          </cell>
          <cell r="K158">
            <v>1.3</v>
          </cell>
          <cell r="L158">
            <v>9.6999999999999993</v>
          </cell>
          <cell r="P158">
            <v>0.3</v>
          </cell>
          <cell r="R158">
            <v>60</v>
          </cell>
          <cell r="W158" t="str">
            <v>矩管 1.2t</v>
          </cell>
          <cell r="AB158" t="str">
            <v>HS60*40*1.2 mm,</v>
          </cell>
        </row>
        <row r="159">
          <cell r="A159" t="str">
            <v>HS6040.15</v>
          </cell>
          <cell r="C159">
            <v>2.2843499999999999</v>
          </cell>
          <cell r="D159">
            <v>0.2</v>
          </cell>
          <cell r="F159">
            <v>1.5</v>
          </cell>
          <cell r="G159">
            <v>194</v>
          </cell>
          <cell r="H159">
            <v>60</v>
          </cell>
          <cell r="I159">
            <v>40</v>
          </cell>
          <cell r="J159">
            <v>4.28</v>
          </cell>
          <cell r="K159">
            <v>1.3</v>
          </cell>
          <cell r="L159">
            <v>9.6999999999999993</v>
          </cell>
          <cell r="P159">
            <v>0.3</v>
          </cell>
          <cell r="R159">
            <v>60</v>
          </cell>
          <cell r="W159" t="str">
            <v>矩管 1.5t</v>
          </cell>
          <cell r="AB159" t="str">
            <v>HS60*40*1.5 mm,</v>
          </cell>
        </row>
        <row r="160">
          <cell r="A160" t="str">
            <v>HS6040.20</v>
          </cell>
          <cell r="C160">
            <v>3.0144000000000002</v>
          </cell>
          <cell r="D160">
            <v>0.2</v>
          </cell>
          <cell r="F160">
            <v>2</v>
          </cell>
          <cell r="G160">
            <v>192</v>
          </cell>
          <cell r="H160">
            <v>60</v>
          </cell>
          <cell r="I160">
            <v>40</v>
          </cell>
          <cell r="J160">
            <v>4.08</v>
          </cell>
          <cell r="K160">
            <v>1.3</v>
          </cell>
          <cell r="L160">
            <v>9.6999999999999993</v>
          </cell>
          <cell r="P160">
            <v>0.3</v>
          </cell>
          <cell r="R160">
            <v>60</v>
          </cell>
          <cell r="W160" t="str">
            <v>矩管 2.0t</v>
          </cell>
          <cell r="AB160" t="str">
            <v>HS60*40*2 mm,</v>
          </cell>
        </row>
        <row r="161">
          <cell r="A161" t="str">
            <v>HS8040.15</v>
          </cell>
          <cell r="C161">
            <v>2.75535</v>
          </cell>
          <cell r="D161">
            <v>0.24</v>
          </cell>
          <cell r="F161">
            <v>1.5</v>
          </cell>
          <cell r="G161">
            <v>234</v>
          </cell>
          <cell r="H161">
            <v>80</v>
          </cell>
          <cell r="I161">
            <v>40</v>
          </cell>
          <cell r="J161">
            <v>4.28</v>
          </cell>
          <cell r="K161">
            <v>2</v>
          </cell>
          <cell r="L161">
            <v>9.1999999999999993</v>
          </cell>
          <cell r="P161">
            <v>0.3</v>
          </cell>
          <cell r="R161">
            <v>60</v>
          </cell>
          <cell r="W161" t="str">
            <v>矩管 1.5t</v>
          </cell>
          <cell r="AB161" t="str">
            <v>HS80*40*1.5 mm,</v>
          </cell>
        </row>
        <row r="162">
          <cell r="A162" t="str">
            <v>HS8040.20</v>
          </cell>
          <cell r="C162">
            <v>3.6423999999999999</v>
          </cell>
          <cell r="D162">
            <v>0.24</v>
          </cell>
          <cell r="F162">
            <v>2</v>
          </cell>
          <cell r="G162">
            <v>232</v>
          </cell>
          <cell r="H162">
            <v>80</v>
          </cell>
          <cell r="I162">
            <v>40</v>
          </cell>
          <cell r="J162">
            <v>4.08</v>
          </cell>
          <cell r="K162">
            <v>2</v>
          </cell>
          <cell r="L162">
            <v>9.1999999999999993</v>
          </cell>
          <cell r="P162">
            <v>0.3</v>
          </cell>
          <cell r="R162">
            <v>60</v>
          </cell>
          <cell r="W162" t="str">
            <v>矩管 2.0t</v>
          </cell>
          <cell r="AB162" t="str">
            <v>HS80*40*2 mm,</v>
          </cell>
        </row>
        <row r="163">
          <cell r="A163" t="str">
            <v>HS8050.15</v>
          </cell>
          <cell r="C163">
            <v>2.99085</v>
          </cell>
          <cell r="D163">
            <v>0.26</v>
          </cell>
          <cell r="F163">
            <v>1.5</v>
          </cell>
          <cell r="G163">
            <v>254</v>
          </cell>
          <cell r="H163">
            <v>80</v>
          </cell>
          <cell r="I163">
            <v>50</v>
          </cell>
          <cell r="J163">
            <v>4.28</v>
          </cell>
          <cell r="K163">
            <v>2</v>
          </cell>
          <cell r="L163">
            <v>9.1999999999999993</v>
          </cell>
          <cell r="P163">
            <v>0.3</v>
          </cell>
          <cell r="R163">
            <v>60</v>
          </cell>
          <cell r="W163" t="str">
            <v>矩管 1.5t</v>
          </cell>
          <cell r="AB163" t="str">
            <v>HS80*50*1.5 mm,</v>
          </cell>
        </row>
        <row r="164">
          <cell r="A164" t="str">
            <v>HS8050.20</v>
          </cell>
          <cell r="C164">
            <v>3.9563999999999999</v>
          </cell>
          <cell r="D164">
            <v>0.26</v>
          </cell>
          <cell r="F164">
            <v>2</v>
          </cell>
          <cell r="G164">
            <v>252</v>
          </cell>
          <cell r="H164">
            <v>80</v>
          </cell>
          <cell r="I164">
            <v>50</v>
          </cell>
          <cell r="J164">
            <v>4.08</v>
          </cell>
          <cell r="K164">
            <v>2</v>
          </cell>
          <cell r="L164">
            <v>9.1999999999999993</v>
          </cell>
          <cell r="P164">
            <v>0.3</v>
          </cell>
          <cell r="R164">
            <v>60</v>
          </cell>
          <cell r="W164" t="str">
            <v>矩管 2.0t</v>
          </cell>
          <cell r="AB164" t="str">
            <v>HS80*50*2 mm,</v>
          </cell>
        </row>
        <row r="165">
          <cell r="A165" t="str">
            <v>HS10050.15</v>
          </cell>
          <cell r="C165">
            <v>3.4618500000000001</v>
          </cell>
          <cell r="D165">
            <v>0.3</v>
          </cell>
          <cell r="F165">
            <v>1.5</v>
          </cell>
          <cell r="G165">
            <v>294</v>
          </cell>
          <cell r="H165">
            <v>100</v>
          </cell>
          <cell r="I165">
            <v>50</v>
          </cell>
          <cell r="J165">
            <v>4.28</v>
          </cell>
          <cell r="K165">
            <v>2.6</v>
          </cell>
          <cell r="L165">
            <v>9.1999999999999993</v>
          </cell>
          <cell r="P165">
            <v>0.3</v>
          </cell>
          <cell r="R165">
            <v>60</v>
          </cell>
          <cell r="W165" t="str">
            <v>矩管 1.5t</v>
          </cell>
          <cell r="AB165" t="str">
            <v>HS100*50*1.5 mm,</v>
          </cell>
        </row>
        <row r="166">
          <cell r="A166" t="str">
            <v>HS10050.20</v>
          </cell>
          <cell r="C166">
            <v>4.5843999999999996</v>
          </cell>
          <cell r="D166">
            <v>0.3</v>
          </cell>
          <cell r="F166">
            <v>2</v>
          </cell>
          <cell r="G166">
            <v>292</v>
          </cell>
          <cell r="H166">
            <v>100</v>
          </cell>
          <cell r="I166">
            <v>50</v>
          </cell>
          <cell r="J166">
            <v>4.08</v>
          </cell>
          <cell r="K166">
            <v>2.6</v>
          </cell>
          <cell r="L166">
            <v>9.1999999999999993</v>
          </cell>
          <cell r="P166">
            <v>0.3</v>
          </cell>
          <cell r="R166">
            <v>60</v>
          </cell>
          <cell r="W166" t="str">
            <v>矩管 2.0t</v>
          </cell>
          <cell r="AB166" t="str">
            <v>HS100*50*2 mm,</v>
          </cell>
        </row>
        <row r="167">
          <cell r="A167" t="str">
            <v>HS10050.25</v>
          </cell>
          <cell r="C167">
            <v>5.6912500000000001</v>
          </cell>
          <cell r="D167">
            <v>0.3</v>
          </cell>
          <cell r="F167">
            <v>2.5</v>
          </cell>
          <cell r="G167">
            <v>290</v>
          </cell>
          <cell r="H167">
            <v>100</v>
          </cell>
          <cell r="I167">
            <v>50</v>
          </cell>
          <cell r="J167">
            <v>3.98</v>
          </cell>
          <cell r="K167">
            <v>2.6</v>
          </cell>
          <cell r="L167">
            <v>9.1999999999999993</v>
          </cell>
          <cell r="P167">
            <v>0.3</v>
          </cell>
          <cell r="R167">
            <v>60</v>
          </cell>
          <cell r="W167" t="str">
            <v>矩管 2.5t</v>
          </cell>
          <cell r="AB167" t="str">
            <v>HS100*50*2.5 mm,</v>
          </cell>
        </row>
        <row r="168">
          <cell r="A168" t="str">
            <v>HS12060.20</v>
          </cell>
          <cell r="C168">
            <v>5.5263999999999998</v>
          </cell>
          <cell r="D168">
            <v>0.36</v>
          </cell>
          <cell r="F168">
            <v>2</v>
          </cell>
          <cell r="G168">
            <v>352</v>
          </cell>
          <cell r="H168">
            <v>120</v>
          </cell>
          <cell r="I168">
            <v>60</v>
          </cell>
          <cell r="J168">
            <v>3.98</v>
          </cell>
          <cell r="K168">
            <v>2.6</v>
          </cell>
          <cell r="L168">
            <v>9.1999999999999993</v>
          </cell>
          <cell r="P168">
            <v>0.3</v>
          </cell>
          <cell r="R168">
            <v>60</v>
          </cell>
          <cell r="W168" t="str">
            <v>矩管 2.5t</v>
          </cell>
          <cell r="AB168" t="str">
            <v>HS120*60*2 mm,</v>
          </cell>
        </row>
        <row r="169">
          <cell r="A169" t="str">
            <v>HS12060.25</v>
          </cell>
          <cell r="C169">
            <v>6.8687500000000004</v>
          </cell>
          <cell r="D169">
            <v>0.36</v>
          </cell>
          <cell r="F169">
            <v>2.5</v>
          </cell>
          <cell r="G169">
            <v>350</v>
          </cell>
          <cell r="H169">
            <v>120</v>
          </cell>
          <cell r="I169">
            <v>60</v>
          </cell>
          <cell r="J169">
            <v>4.08</v>
          </cell>
          <cell r="K169">
            <v>2.6</v>
          </cell>
          <cell r="L169">
            <v>9.1999999999999993</v>
          </cell>
          <cell r="P169">
            <v>0.3</v>
          </cell>
          <cell r="R169">
            <v>60</v>
          </cell>
          <cell r="W169" t="str">
            <v>矩管 2.0t</v>
          </cell>
          <cell r="AB169" t="str">
            <v>HS120*60*2.5 mm,</v>
          </cell>
        </row>
        <row r="170">
          <cell r="A170" t="str">
            <v>HS12060.40</v>
          </cell>
          <cell r="C170">
            <v>10.801600000000001</v>
          </cell>
          <cell r="D170">
            <v>0.36</v>
          </cell>
          <cell r="F170">
            <v>4</v>
          </cell>
          <cell r="G170">
            <v>344</v>
          </cell>
          <cell r="H170">
            <v>120</v>
          </cell>
          <cell r="I170">
            <v>60</v>
          </cell>
          <cell r="J170">
            <v>3.98</v>
          </cell>
          <cell r="K170">
            <v>2.6</v>
          </cell>
          <cell r="L170">
            <v>9.1999999999999993</v>
          </cell>
          <cell r="P170">
            <v>0.3</v>
          </cell>
          <cell r="R170">
            <v>60</v>
          </cell>
          <cell r="W170" t="str">
            <v>矩管 4.0t</v>
          </cell>
          <cell r="AB170" t="str">
            <v>HS120*60*4 mm,</v>
          </cell>
        </row>
        <row r="171">
          <cell r="A171" t="str">
            <v>F100.30</v>
          </cell>
          <cell r="C171">
            <v>9.1373999999999995</v>
          </cell>
          <cell r="D171">
            <v>0.4</v>
          </cell>
          <cell r="F171">
            <v>3</v>
          </cell>
          <cell r="G171">
            <v>388</v>
          </cell>
          <cell r="H171">
            <v>100</v>
          </cell>
          <cell r="I171">
            <v>100</v>
          </cell>
        </row>
        <row r="172">
          <cell r="A172" t="str">
            <v>C126×50×4.0</v>
          </cell>
          <cell r="C172">
            <v>6.6567999999999996</v>
          </cell>
          <cell r="D172">
            <v>0.42399999999999999</v>
          </cell>
          <cell r="F172">
            <v>4</v>
          </cell>
          <cell r="G172">
            <v>212</v>
          </cell>
          <cell r="H172">
            <v>212</v>
          </cell>
          <cell r="J172">
            <v>4.9400000000000004</v>
          </cell>
          <cell r="K172">
            <v>2</v>
          </cell>
          <cell r="L172">
            <v>9.1999999999999993</v>
          </cell>
          <cell r="P172">
            <v>0.3</v>
          </cell>
          <cell r="W172" t="str">
            <v>热开平板 4.0t</v>
          </cell>
        </row>
        <row r="173">
          <cell r="A173" t="str">
            <v>C215×45×2.5</v>
          </cell>
          <cell r="C173">
            <v>6.18</v>
          </cell>
          <cell r="D173">
            <v>0.61</v>
          </cell>
          <cell r="F173">
            <v>2.5</v>
          </cell>
          <cell r="G173">
            <v>305</v>
          </cell>
          <cell r="H173">
            <v>305</v>
          </cell>
          <cell r="J173">
            <v>4.9400000000000004</v>
          </cell>
          <cell r="K173">
            <v>2</v>
          </cell>
          <cell r="L173">
            <v>9.1999999999999993</v>
          </cell>
          <cell r="P173">
            <v>0.3</v>
          </cell>
          <cell r="W173" t="str">
            <v>热开平板 2.5t</v>
          </cell>
          <cell r="AB173" t="str">
            <v xml:space="preserve">C215*45*2.5mm, </v>
          </cell>
        </row>
        <row r="175">
          <cell r="A175" t="str">
            <v>隔撑/托盘支撑</v>
          </cell>
        </row>
        <row r="176">
          <cell r="A176" t="str">
            <v>Row.Spacer.L4040.30-Adjustable</v>
          </cell>
          <cell r="B176" t="str">
            <v>隔撑</v>
          </cell>
          <cell r="C176">
            <v>1.8839999999999999</v>
          </cell>
          <cell r="D176">
            <v>0.16</v>
          </cell>
          <cell r="E176">
            <v>4.59</v>
          </cell>
          <cell r="F176">
            <v>3</v>
          </cell>
          <cell r="G176">
            <v>80</v>
          </cell>
          <cell r="H176">
            <v>40</v>
          </cell>
          <cell r="I176">
            <v>40</v>
          </cell>
          <cell r="J176">
            <v>3.78</v>
          </cell>
          <cell r="K176">
            <v>2.8</v>
          </cell>
          <cell r="L176">
            <v>0.95</v>
          </cell>
          <cell r="O176">
            <v>2.2000000000000002</v>
          </cell>
          <cell r="Q176" t="str">
            <v>M10*110</v>
          </cell>
          <cell r="R176">
            <v>2</v>
          </cell>
          <cell r="W176" t="str">
            <v>角钢 L3030.3t</v>
          </cell>
          <cell r="AB176" t="str">
            <v>L40*40*3 mm,</v>
          </cell>
        </row>
        <row r="177">
          <cell r="A177" t="str">
            <v>Row.Spacer.L4040.30</v>
          </cell>
          <cell r="B177" t="str">
            <v>隔撑</v>
          </cell>
          <cell r="C177">
            <v>1.8839999999999999</v>
          </cell>
          <cell r="D177">
            <v>0.16</v>
          </cell>
          <cell r="E177">
            <v>4.59</v>
          </cell>
          <cell r="F177">
            <v>3</v>
          </cell>
          <cell r="G177">
            <v>80</v>
          </cell>
          <cell r="H177">
            <v>40</v>
          </cell>
          <cell r="I177">
            <v>40</v>
          </cell>
          <cell r="J177">
            <v>3.78</v>
          </cell>
          <cell r="K177">
            <v>0.65</v>
          </cell>
          <cell r="L177">
            <v>0.95</v>
          </cell>
          <cell r="O177">
            <v>2.2000000000000002</v>
          </cell>
          <cell r="Q177" t="str">
            <v>M10*110</v>
          </cell>
          <cell r="R177">
            <v>2</v>
          </cell>
          <cell r="W177" t="str">
            <v>角钢 L3030.3t</v>
          </cell>
          <cell r="AB177" t="str">
            <v>L40*40*3 mm,</v>
          </cell>
        </row>
        <row r="178">
          <cell r="A178" t="str">
            <v>Row.Spacer.HS5030.15</v>
          </cell>
          <cell r="B178" t="str">
            <v>隔撑</v>
          </cell>
          <cell r="C178">
            <v>1.81335</v>
          </cell>
          <cell r="D178">
            <v>0.16</v>
          </cell>
          <cell r="F178">
            <v>1.5</v>
          </cell>
          <cell r="G178">
            <v>154</v>
          </cell>
          <cell r="H178">
            <v>40</v>
          </cell>
          <cell r="I178">
            <v>40</v>
          </cell>
          <cell r="J178">
            <v>4.28</v>
          </cell>
          <cell r="K178">
            <v>1.3</v>
          </cell>
          <cell r="O178">
            <v>2.2000000000000002</v>
          </cell>
          <cell r="AB178" t="str">
            <v>HS40*40*1.5 mm,</v>
          </cell>
        </row>
        <row r="179">
          <cell r="A179" t="str">
            <v>Row.Spacer.HS4040.15</v>
          </cell>
          <cell r="B179" t="str">
            <v>隔撑</v>
          </cell>
          <cell r="C179">
            <v>1.81335</v>
          </cell>
          <cell r="D179">
            <v>0.16</v>
          </cell>
          <cell r="F179">
            <v>1.5</v>
          </cell>
          <cell r="G179">
            <v>154</v>
          </cell>
          <cell r="H179">
            <v>40</v>
          </cell>
          <cell r="I179">
            <v>40</v>
          </cell>
          <cell r="J179">
            <v>4.28</v>
          </cell>
          <cell r="K179">
            <v>1.3</v>
          </cell>
          <cell r="O179">
            <v>2.2000000000000002</v>
          </cell>
          <cell r="AB179" t="str">
            <v>HS40*40*1.5 mm,</v>
          </cell>
        </row>
        <row r="180">
          <cell r="A180" t="str">
            <v>Pallet Support HS5030.15</v>
          </cell>
          <cell r="B180" t="str">
            <v>一字形搁挡 成品</v>
          </cell>
          <cell r="C180">
            <v>1.81335</v>
          </cell>
          <cell r="D180">
            <v>0.16</v>
          </cell>
          <cell r="F180">
            <v>1.5</v>
          </cell>
          <cell r="G180">
            <v>154</v>
          </cell>
          <cell r="H180">
            <v>50</v>
          </cell>
          <cell r="I180">
            <v>30</v>
          </cell>
          <cell r="J180">
            <v>4.28</v>
          </cell>
          <cell r="K180">
            <v>1.3</v>
          </cell>
          <cell r="O180">
            <v>2.2000000000000002</v>
          </cell>
          <cell r="AB180" t="str">
            <v>HS50*30*1.5 mm,</v>
          </cell>
        </row>
        <row r="181">
          <cell r="A181" t="str">
            <v>Pallet Support HS6040.15</v>
          </cell>
          <cell r="B181" t="str">
            <v>一字形搁挡 成品</v>
          </cell>
          <cell r="C181">
            <v>2.2843499999999999</v>
          </cell>
          <cell r="D181">
            <v>0.2</v>
          </cell>
          <cell r="F181">
            <v>1.5</v>
          </cell>
          <cell r="G181">
            <v>194</v>
          </cell>
          <cell r="H181">
            <v>60</v>
          </cell>
          <cell r="I181">
            <v>40</v>
          </cell>
          <cell r="J181">
            <v>4.28</v>
          </cell>
          <cell r="K181">
            <v>1.3</v>
          </cell>
          <cell r="O181">
            <v>2.2000000000000002</v>
          </cell>
          <cell r="AB181" t="str">
            <v>HS60*40*1.5 mm,</v>
          </cell>
        </row>
        <row r="182">
          <cell r="A182" t="str">
            <v>Half Pallet Support HS6040.15</v>
          </cell>
          <cell r="B182" t="str">
            <v>工字形搁挡 成品</v>
          </cell>
          <cell r="C182">
            <v>2.2843499999999999</v>
          </cell>
          <cell r="D182">
            <v>0.2</v>
          </cell>
          <cell r="F182">
            <v>1.5</v>
          </cell>
          <cell r="G182">
            <v>194</v>
          </cell>
          <cell r="H182">
            <v>60</v>
          </cell>
          <cell r="I182">
            <v>40</v>
          </cell>
          <cell r="J182">
            <v>4.28</v>
          </cell>
          <cell r="K182">
            <v>5.2</v>
          </cell>
          <cell r="O182">
            <v>2.2000000000000002</v>
          </cell>
          <cell r="AB182" t="str">
            <v>HS60*40*1.5 mm,</v>
          </cell>
        </row>
        <row r="183">
          <cell r="A183" t="str">
            <v>单立柱隔撑连接</v>
          </cell>
          <cell r="K183">
            <v>2.2000000000000002</v>
          </cell>
          <cell r="O183">
            <v>2.2000000000000002</v>
          </cell>
        </row>
        <row r="184">
          <cell r="A184" t="str">
            <v>Row.Spacer.End.Plate.Std.RAL</v>
          </cell>
          <cell r="B184" t="str">
            <v>隔撑面板90/100立柱</v>
          </cell>
          <cell r="C184">
            <v>0.5</v>
          </cell>
          <cell r="D184">
            <v>3.5200000000000002E-2</v>
          </cell>
          <cell r="F184">
            <v>3</v>
          </cell>
          <cell r="H184">
            <v>80</v>
          </cell>
          <cell r="I184">
            <v>110</v>
          </cell>
          <cell r="J184">
            <v>6.5</v>
          </cell>
          <cell r="L184">
            <v>0.95</v>
          </cell>
          <cell r="O184">
            <v>2.2000000000000002</v>
          </cell>
          <cell r="Q184" t="str">
            <v>M10.L20</v>
          </cell>
          <cell r="R184">
            <v>4</v>
          </cell>
        </row>
        <row r="185">
          <cell r="A185" t="str">
            <v>Row.Spacer.End.Plate.Extra.RAL</v>
          </cell>
          <cell r="B185" t="str">
            <v>隔撑面板120立柱</v>
          </cell>
          <cell r="C185">
            <v>0.56991000000000003</v>
          </cell>
          <cell r="D185">
            <v>4.8399999999999999E-2</v>
          </cell>
          <cell r="F185">
            <v>3</v>
          </cell>
          <cell r="H185">
            <v>110</v>
          </cell>
          <cell r="I185">
            <v>110</v>
          </cell>
          <cell r="J185">
            <v>6.5</v>
          </cell>
          <cell r="L185">
            <v>0.95</v>
          </cell>
          <cell r="O185">
            <v>2.2000000000000002</v>
          </cell>
          <cell r="Q185" t="str">
            <v>M10.L20</v>
          </cell>
          <cell r="R185">
            <v>4</v>
          </cell>
        </row>
        <row r="186">
          <cell r="A186" t="str">
            <v>Pallet Support Bracket 3.0t.RAL</v>
          </cell>
          <cell r="B186" t="str">
            <v>托盘支撑挂爪3mm</v>
          </cell>
          <cell r="C186">
            <v>0.52987499999999998</v>
          </cell>
          <cell r="D186">
            <v>4.4999999999999998E-2</v>
          </cell>
          <cell r="F186">
            <v>3</v>
          </cell>
          <cell r="H186">
            <v>150</v>
          </cell>
          <cell r="I186">
            <v>75</v>
          </cell>
          <cell r="J186">
            <v>6.5</v>
          </cell>
          <cell r="L186">
            <v>0.95</v>
          </cell>
          <cell r="O186">
            <v>2.2000000000000002</v>
          </cell>
        </row>
        <row r="187">
          <cell r="A187" t="str">
            <v>Pallet Support Bracket 4.0t.RAL</v>
          </cell>
          <cell r="B187" t="str">
            <v>托盘支撑挂爪4mm</v>
          </cell>
          <cell r="C187">
            <v>0.75360000000000005</v>
          </cell>
          <cell r="D187">
            <v>4.8000000000000001E-2</v>
          </cell>
          <cell r="F187">
            <v>4</v>
          </cell>
          <cell r="H187">
            <v>160</v>
          </cell>
          <cell r="I187">
            <v>75</v>
          </cell>
          <cell r="J187">
            <v>6.5</v>
          </cell>
          <cell r="L187">
            <v>0.95</v>
          </cell>
          <cell r="O187">
            <v>2.2000000000000002</v>
          </cell>
        </row>
        <row r="196">
          <cell r="A196" t="str">
            <v>驶入式货架</v>
          </cell>
        </row>
        <row r="197">
          <cell r="A197" t="str">
            <v>Drive.P.Rail W100.H70.20.Pregal</v>
          </cell>
          <cell r="B197" t="str">
            <v>牛腿梁2mm</v>
          </cell>
          <cell r="C197">
            <v>4.0819999999999999</v>
          </cell>
          <cell r="D197">
            <v>0.52</v>
          </cell>
          <cell r="E197">
            <v>5.4</v>
          </cell>
          <cell r="F197">
            <v>2</v>
          </cell>
          <cell r="G197">
            <v>260</v>
          </cell>
        </row>
        <row r="198">
          <cell r="A198" t="str">
            <v>Drive.P.Rail W100.H70.23.Pregal</v>
          </cell>
          <cell r="B198" t="str">
            <v>牛腿梁2.3mm</v>
          </cell>
          <cell r="C198">
            <v>4.6943000000000001</v>
          </cell>
          <cell r="D198">
            <v>0.52</v>
          </cell>
          <cell r="E198">
            <v>5.4</v>
          </cell>
          <cell r="F198">
            <v>2.2999999999999998</v>
          </cell>
          <cell r="G198">
            <v>260</v>
          </cell>
        </row>
        <row r="199">
          <cell r="A199" t="str">
            <v>Drive.Flr.Guide.L7550.55</v>
          </cell>
          <cell r="B199" t="str">
            <v>叉车导轨</v>
          </cell>
          <cell r="C199">
            <v>5.16</v>
          </cell>
          <cell r="D199">
            <v>0.24</v>
          </cell>
          <cell r="F199">
            <v>5.5</v>
          </cell>
          <cell r="J199">
            <v>4.53</v>
          </cell>
          <cell r="K199" t="str">
            <v>4.5/米</v>
          </cell>
          <cell r="Q199" t="str">
            <v>Anc.M12.L100</v>
          </cell>
          <cell r="R199">
            <v>2</v>
          </cell>
        </row>
        <row r="200">
          <cell r="A200" t="str">
            <v>Drive.X-Brace.dia32</v>
          </cell>
          <cell r="B200" t="str">
            <v>X-拉</v>
          </cell>
          <cell r="C200">
            <v>0.94199999999999995</v>
          </cell>
          <cell r="D200">
            <v>0.08</v>
          </cell>
          <cell r="F200">
            <v>3</v>
          </cell>
          <cell r="G200">
            <v>40</v>
          </cell>
          <cell r="K200">
            <v>0.8</v>
          </cell>
          <cell r="Q200" t="str">
            <v>M10.L20</v>
          </cell>
          <cell r="R200">
            <v>2</v>
          </cell>
        </row>
        <row r="201">
          <cell r="A201" t="str">
            <v>Drive.X-Brace.dia42</v>
          </cell>
          <cell r="B201" t="str">
            <v>X-拉</v>
          </cell>
          <cell r="C201">
            <v>0.94199999999999995</v>
          </cell>
          <cell r="D201">
            <v>0.08</v>
          </cell>
          <cell r="F201">
            <v>3</v>
          </cell>
          <cell r="G201">
            <v>40</v>
          </cell>
          <cell r="K201">
            <v>0</v>
          </cell>
          <cell r="Q201" t="str">
            <v>M10.L20</v>
          </cell>
          <cell r="R201">
            <v>2</v>
          </cell>
        </row>
        <row r="202">
          <cell r="A202" t="str">
            <v>Drive.Top.Beam.HS8040.15</v>
          </cell>
          <cell r="B202" t="str">
            <v>顶梁</v>
          </cell>
          <cell r="C202">
            <v>2.75535</v>
          </cell>
          <cell r="D202">
            <v>0.24</v>
          </cell>
          <cell r="F202">
            <v>1.5</v>
          </cell>
          <cell r="G202">
            <v>234</v>
          </cell>
          <cell r="H202">
            <v>80</v>
          </cell>
          <cell r="I202">
            <v>40</v>
          </cell>
          <cell r="J202">
            <v>4.53</v>
          </cell>
          <cell r="K202">
            <v>2</v>
          </cell>
          <cell r="Q202" t="str">
            <v>M8.L16</v>
          </cell>
          <cell r="R202">
            <v>2</v>
          </cell>
          <cell r="AB202" t="str">
            <v>HS80*40*1.5 mm,</v>
          </cell>
        </row>
        <row r="203">
          <cell r="A203" t="str">
            <v>Drive.Back.Beam.HS8040.15</v>
          </cell>
          <cell r="B203" t="str">
            <v>背梁</v>
          </cell>
          <cell r="C203">
            <v>2.75535</v>
          </cell>
          <cell r="D203">
            <v>0.24</v>
          </cell>
          <cell r="F203">
            <v>1.5</v>
          </cell>
          <cell r="G203">
            <v>234</v>
          </cell>
          <cell r="H203">
            <v>80</v>
          </cell>
          <cell r="I203">
            <v>40</v>
          </cell>
          <cell r="J203">
            <v>4.53</v>
          </cell>
          <cell r="K203">
            <v>2</v>
          </cell>
          <cell r="Q203" t="str">
            <v>M8.L16</v>
          </cell>
          <cell r="R203">
            <v>2</v>
          </cell>
          <cell r="AB203" t="str">
            <v>HS80*40*1.5 mm,</v>
          </cell>
        </row>
        <row r="204">
          <cell r="A204" t="str">
            <v>Drive.Back.Beam.HS8040.15</v>
          </cell>
          <cell r="B204" t="str">
            <v>背梁+焊3个连接耳</v>
          </cell>
          <cell r="C204">
            <v>2.75535</v>
          </cell>
          <cell r="D204">
            <v>0.24</v>
          </cell>
          <cell r="F204">
            <v>1.5</v>
          </cell>
          <cell r="G204">
            <v>234</v>
          </cell>
          <cell r="H204">
            <v>80</v>
          </cell>
          <cell r="I204">
            <v>40</v>
          </cell>
          <cell r="J204">
            <v>4.53</v>
          </cell>
          <cell r="K204">
            <v>3</v>
          </cell>
          <cell r="Q204" t="str">
            <v>M8.L16</v>
          </cell>
          <cell r="R204">
            <v>2</v>
          </cell>
          <cell r="AB204" t="str">
            <v>HS80*40*1.5 mm,</v>
          </cell>
        </row>
        <row r="205">
          <cell r="A205" t="str">
            <v>Drive.90.Top.Plate.RAL</v>
          </cell>
          <cell r="B205" t="str">
            <v>90立柱顶板 活动</v>
          </cell>
          <cell r="C205">
            <v>0.148365</v>
          </cell>
          <cell r="D205">
            <v>1.26E-2</v>
          </cell>
          <cell r="F205">
            <v>3</v>
          </cell>
          <cell r="H205">
            <v>90</v>
          </cell>
          <cell r="I205">
            <v>70</v>
          </cell>
          <cell r="K205">
            <v>1.2</v>
          </cell>
        </row>
        <row r="206">
          <cell r="A206" t="str">
            <v>Drive.100.Top.Plate.RAL</v>
          </cell>
          <cell r="B206" t="str">
            <v>100立柱顶板 活动</v>
          </cell>
          <cell r="C206">
            <v>0.176625</v>
          </cell>
          <cell r="D206">
            <v>1.4999999999999999E-2</v>
          </cell>
          <cell r="F206">
            <v>3</v>
          </cell>
          <cell r="H206">
            <v>100</v>
          </cell>
          <cell r="I206">
            <v>75</v>
          </cell>
          <cell r="K206">
            <v>1.2</v>
          </cell>
        </row>
        <row r="207">
          <cell r="A207" t="str">
            <v>Drive.120.Top.Plate.RAL</v>
          </cell>
          <cell r="B207" t="str">
            <v>120立柱顶板 活动</v>
          </cell>
          <cell r="C207">
            <v>0.21195</v>
          </cell>
          <cell r="D207">
            <v>1.7999999999999999E-2</v>
          </cell>
          <cell r="F207">
            <v>3</v>
          </cell>
          <cell r="H207">
            <v>120</v>
          </cell>
          <cell r="I207">
            <v>75</v>
          </cell>
          <cell r="K207">
            <v>1.2</v>
          </cell>
        </row>
        <row r="208">
          <cell r="A208" t="str">
            <v>Drive.90.Top.Plate.RAL</v>
          </cell>
          <cell r="B208" t="str">
            <v>90立柱顶板 与立柱焊接</v>
          </cell>
          <cell r="C208">
            <v>0.148365</v>
          </cell>
          <cell r="D208">
            <v>1.26E-2</v>
          </cell>
          <cell r="F208">
            <v>3</v>
          </cell>
          <cell r="H208">
            <v>90</v>
          </cell>
          <cell r="I208">
            <v>70</v>
          </cell>
          <cell r="K208">
            <v>2.1</v>
          </cell>
        </row>
        <row r="209">
          <cell r="A209" t="str">
            <v>Drive.100.Top.Plate.RAL</v>
          </cell>
          <cell r="B209" t="str">
            <v>100立柱顶板 与立柱焊接</v>
          </cell>
          <cell r="C209">
            <v>0.176625</v>
          </cell>
          <cell r="D209">
            <v>1.4999999999999999E-2</v>
          </cell>
          <cell r="F209">
            <v>3</v>
          </cell>
          <cell r="H209">
            <v>100</v>
          </cell>
          <cell r="I209">
            <v>75</v>
          </cell>
          <cell r="K209">
            <v>2.2999999999999998</v>
          </cell>
        </row>
        <row r="210">
          <cell r="A210" t="str">
            <v>Drive.120.Top.Plate.RAL</v>
          </cell>
          <cell r="B210" t="str">
            <v>120立柱顶板 与立柱焊接</v>
          </cell>
          <cell r="C210">
            <v>0.21195</v>
          </cell>
          <cell r="D210">
            <v>1.7999999999999999E-2</v>
          </cell>
          <cell r="F210">
            <v>3</v>
          </cell>
          <cell r="H210">
            <v>120</v>
          </cell>
          <cell r="I210">
            <v>75</v>
          </cell>
          <cell r="K210">
            <v>2.5</v>
          </cell>
        </row>
        <row r="211">
          <cell r="A211" t="str">
            <v>Drive.S.Arm.Single.RAL</v>
          </cell>
          <cell r="B211" t="str">
            <v>单牛腿 焊接式 槽钢</v>
          </cell>
          <cell r="C211">
            <v>1.6</v>
          </cell>
          <cell r="D211">
            <v>0.13</v>
          </cell>
          <cell r="F211">
            <v>3</v>
          </cell>
          <cell r="K211">
            <v>2.2000000000000002</v>
          </cell>
        </row>
        <row r="212">
          <cell r="A212" t="str">
            <v>Drive.S.Arm.Double.RAL</v>
          </cell>
          <cell r="B212" t="str">
            <v>双牛腿 焊接式 槽钢</v>
          </cell>
          <cell r="C212">
            <v>2.15</v>
          </cell>
          <cell r="D212">
            <v>0.2</v>
          </cell>
          <cell r="F212">
            <v>3</v>
          </cell>
          <cell r="K212">
            <v>4.2</v>
          </cell>
        </row>
        <row r="213">
          <cell r="A213" t="str">
            <v>Drive.S.Arm.Single.RAL</v>
          </cell>
          <cell r="B213" t="str">
            <v>单牛腿</v>
          </cell>
          <cell r="C213">
            <v>1.6</v>
          </cell>
          <cell r="D213">
            <v>0.13</v>
          </cell>
          <cell r="F213">
            <v>3</v>
          </cell>
        </row>
        <row r="214">
          <cell r="A214" t="str">
            <v>Drive.S.Arm.Double.RAL</v>
          </cell>
          <cell r="B214" t="str">
            <v>双牛腿</v>
          </cell>
          <cell r="C214">
            <v>2.15</v>
          </cell>
          <cell r="D214">
            <v>0.2</v>
          </cell>
          <cell r="F214">
            <v>3</v>
          </cell>
        </row>
        <row r="216">
          <cell r="A216" t="str">
            <v>穿梭式货架</v>
          </cell>
        </row>
        <row r="217">
          <cell r="A217" t="str">
            <v>Shuttle.Support.Beam.HS5050.15</v>
          </cell>
          <cell r="B217" t="str">
            <v>支撑梁</v>
          </cell>
          <cell r="C217">
            <v>2.2843499999999999</v>
          </cell>
          <cell r="D217">
            <v>0.2</v>
          </cell>
          <cell r="F217">
            <v>1.5</v>
          </cell>
          <cell r="G217">
            <v>194</v>
          </cell>
          <cell r="H217">
            <v>50</v>
          </cell>
          <cell r="I217">
            <v>50</v>
          </cell>
          <cell r="J217">
            <v>4.28</v>
          </cell>
          <cell r="K217">
            <v>4</v>
          </cell>
          <cell r="L217">
            <v>9.1999999999999993</v>
          </cell>
          <cell r="Q217" t="str">
            <v>M8.L16</v>
          </cell>
          <cell r="R217">
            <v>4</v>
          </cell>
          <cell r="W217" t="str">
            <v>矩管 1.5t</v>
          </cell>
          <cell r="AB217" t="str">
            <v>HS50*50*1.5 mm,</v>
          </cell>
        </row>
        <row r="218">
          <cell r="A218" t="str">
            <v>Shuttle.Support.Beam.HS5050.20</v>
          </cell>
          <cell r="B218" t="str">
            <v>支撑梁</v>
          </cell>
          <cell r="C218">
            <v>3.0144000000000002</v>
          </cell>
          <cell r="D218">
            <v>0.2</v>
          </cell>
          <cell r="F218">
            <v>2</v>
          </cell>
          <cell r="G218">
            <v>192</v>
          </cell>
          <cell r="H218">
            <v>50</v>
          </cell>
          <cell r="I218">
            <v>50</v>
          </cell>
          <cell r="J218">
            <v>4.08</v>
          </cell>
          <cell r="K218">
            <v>4</v>
          </cell>
          <cell r="L218">
            <v>9.1999999999999993</v>
          </cell>
          <cell r="Q218" t="str">
            <v>M8.L16</v>
          </cell>
          <cell r="R218">
            <v>4</v>
          </cell>
          <cell r="W218" t="str">
            <v>矩管 2.0t</v>
          </cell>
          <cell r="AB218" t="str">
            <v>HS50*50*2 mm,</v>
          </cell>
        </row>
        <row r="219">
          <cell r="A219" t="str">
            <v>Shuttle.Support.Beam.HS6040.12</v>
          </cell>
          <cell r="B219" t="str">
            <v>支撑梁</v>
          </cell>
          <cell r="C219">
            <v>1.838784</v>
          </cell>
          <cell r="D219">
            <v>0.2</v>
          </cell>
          <cell r="F219">
            <v>1.2</v>
          </cell>
          <cell r="G219">
            <v>195.2</v>
          </cell>
          <cell r="H219">
            <v>60</v>
          </cell>
          <cell r="I219">
            <v>40</v>
          </cell>
          <cell r="J219">
            <v>4.33</v>
          </cell>
          <cell r="K219">
            <v>4.2</v>
          </cell>
          <cell r="L219">
            <v>9.1999999999999993</v>
          </cell>
          <cell r="Q219" t="str">
            <v>M8.L16</v>
          </cell>
          <cell r="R219">
            <v>4</v>
          </cell>
          <cell r="W219" t="str">
            <v>矩管 1.2t</v>
          </cell>
          <cell r="AB219" t="str">
            <v>HS60*40*1.2 mm,</v>
          </cell>
        </row>
        <row r="220">
          <cell r="A220" t="str">
            <v>Shuttle.Support.Beam.HS6040.15</v>
          </cell>
          <cell r="B220" t="str">
            <v>支撑梁</v>
          </cell>
          <cell r="C220">
            <v>2.2843499999999999</v>
          </cell>
          <cell r="D220">
            <v>0.2</v>
          </cell>
          <cell r="F220">
            <v>1.5</v>
          </cell>
          <cell r="G220">
            <v>194</v>
          </cell>
          <cell r="H220">
            <v>60</v>
          </cell>
          <cell r="I220">
            <v>40</v>
          </cell>
          <cell r="J220">
            <v>4.28</v>
          </cell>
          <cell r="K220">
            <v>4.2</v>
          </cell>
          <cell r="L220">
            <v>9.1999999999999993</v>
          </cell>
          <cell r="Q220" t="str">
            <v>M8.L16</v>
          </cell>
          <cell r="R220">
            <v>4</v>
          </cell>
          <cell r="W220" t="str">
            <v>矩管 1.5t</v>
          </cell>
          <cell r="AB220" t="str">
            <v>HS60*40*1.5 mm,</v>
          </cell>
        </row>
        <row r="221">
          <cell r="A221" t="str">
            <v>Shuttle.Support.Beam.HS6040.20</v>
          </cell>
          <cell r="B221" t="str">
            <v>支撑梁</v>
          </cell>
          <cell r="C221">
            <v>3.0144000000000002</v>
          </cell>
          <cell r="D221">
            <v>0.2</v>
          </cell>
          <cell r="F221">
            <v>2</v>
          </cell>
          <cell r="G221">
            <v>192</v>
          </cell>
          <cell r="H221">
            <v>60</v>
          </cell>
          <cell r="I221">
            <v>40</v>
          </cell>
          <cell r="J221">
            <v>4.08</v>
          </cell>
          <cell r="K221">
            <v>4.2</v>
          </cell>
          <cell r="L221">
            <v>9.1999999999999993</v>
          </cell>
          <cell r="Q221" t="str">
            <v>M8.L16</v>
          </cell>
          <cell r="R221">
            <v>4</v>
          </cell>
          <cell r="W221" t="str">
            <v>矩管 2.0t</v>
          </cell>
          <cell r="AB221" t="str">
            <v>HS60*40*2 mm,</v>
          </cell>
        </row>
        <row r="222">
          <cell r="A222" t="str">
            <v>X.Brace.C</v>
          </cell>
          <cell r="B222" t="str">
            <v>35*20*1.5</v>
          </cell>
          <cell r="K222">
            <v>0.11</v>
          </cell>
        </row>
        <row r="223">
          <cell r="A223" t="str">
            <v>X.Brace.O</v>
          </cell>
          <cell r="B223" t="str">
            <v>Dia 25 圆管+连接耳</v>
          </cell>
          <cell r="K223">
            <v>1.8</v>
          </cell>
        </row>
        <row r="224">
          <cell r="A224" t="str">
            <v>可调底板</v>
          </cell>
          <cell r="J224">
            <v>6</v>
          </cell>
          <cell r="K224">
            <v>1.4</v>
          </cell>
        </row>
        <row r="225">
          <cell r="A225" t="str">
            <v>Shuttle.S.Arm.Single.RAL</v>
          </cell>
          <cell r="B225" t="str">
            <v>标准</v>
          </cell>
          <cell r="K225">
            <v>2</v>
          </cell>
        </row>
        <row r="226">
          <cell r="A226" t="str">
            <v>Shuttle.S.Arm.Double.RAL</v>
          </cell>
          <cell r="B226" t="str">
            <v>标准</v>
          </cell>
          <cell r="K226">
            <v>3.2</v>
          </cell>
        </row>
        <row r="227">
          <cell r="A227" t="str">
            <v>Shuttle.S.Arm.Single.RAL</v>
          </cell>
          <cell r="B227" t="str">
            <v>加焊矩管</v>
          </cell>
          <cell r="K227">
            <v>3</v>
          </cell>
        </row>
        <row r="228">
          <cell r="A228" t="str">
            <v>Shuttle.S.Arm.Double.RAL</v>
          </cell>
          <cell r="B228" t="str">
            <v>加焊矩管</v>
          </cell>
          <cell r="K228">
            <v>4.2</v>
          </cell>
        </row>
        <row r="229">
          <cell r="A229" t="str">
            <v>镀锌穿梭车导轨（H163）208*70*2.75t（锌层120克）</v>
          </cell>
          <cell r="E229">
            <v>4.97</v>
          </cell>
        </row>
        <row r="230">
          <cell r="A230" t="str">
            <v>镀锌穿梭车导轨（H163）208*70*2.75t（锌层180克）</v>
          </cell>
          <cell r="E230">
            <v>5.1100000000000003</v>
          </cell>
        </row>
        <row r="231">
          <cell r="A231" t="str">
            <v>镀锌穿梭车导轨（H163）208*70*2.75t（锌层220克）</v>
          </cell>
          <cell r="E231">
            <v>5.44</v>
          </cell>
        </row>
        <row r="232">
          <cell r="A232" t="str">
            <v>镀锌导向板：100*90*110*2.5t*1350</v>
          </cell>
          <cell r="E232">
            <v>37</v>
          </cell>
          <cell r="F232">
            <v>2.5</v>
          </cell>
          <cell r="H232">
            <v>1350</v>
          </cell>
        </row>
        <row r="233">
          <cell r="A233" t="str">
            <v>镀锌导向板：100*90*110*2.0t*1350</v>
          </cell>
          <cell r="E233">
            <v>29</v>
          </cell>
          <cell r="F233">
            <v>2</v>
          </cell>
          <cell r="H233">
            <v>1350</v>
          </cell>
        </row>
        <row r="234">
          <cell r="A234" t="str">
            <v>镀锌导向板：100*90*110*2.5t*1250</v>
          </cell>
          <cell r="E234">
            <v>35</v>
          </cell>
          <cell r="F234">
            <v>2.5</v>
          </cell>
          <cell r="H234">
            <v>1250</v>
          </cell>
        </row>
        <row r="235">
          <cell r="A235" t="str">
            <v>镀锌导向板：100*90*110*2.0t*1250</v>
          </cell>
          <cell r="E235">
            <v>27</v>
          </cell>
          <cell r="F235">
            <v>2</v>
          </cell>
          <cell r="H235">
            <v>1250</v>
          </cell>
        </row>
        <row r="236">
          <cell r="A236" t="str">
            <v>前后挡板：216*125*3.5t</v>
          </cell>
          <cell r="E236">
            <v>4.9000000000000004</v>
          </cell>
          <cell r="F236">
            <v>3.5</v>
          </cell>
        </row>
        <row r="237">
          <cell r="A237" t="str">
            <v>前后挡板：216*125*5t</v>
          </cell>
          <cell r="E237">
            <v>4.9000000000000004</v>
          </cell>
          <cell r="F237">
            <v>5</v>
          </cell>
        </row>
        <row r="243">
          <cell r="A243" t="str">
            <v>C20×35×1.5</v>
          </cell>
          <cell r="B243" t="str">
            <v>水平拉</v>
          </cell>
          <cell r="C243">
            <v>0.88312500000000005</v>
          </cell>
          <cell r="D243">
            <v>0.15</v>
          </cell>
          <cell r="E243">
            <v>4.07</v>
          </cell>
          <cell r="F243">
            <v>1.5</v>
          </cell>
          <cell r="G243">
            <v>75</v>
          </cell>
          <cell r="H243">
            <v>75</v>
          </cell>
          <cell r="I243">
            <v>75</v>
          </cell>
          <cell r="J243">
            <v>3.69</v>
          </cell>
          <cell r="K243">
            <v>0.11</v>
          </cell>
          <cell r="L243">
            <v>9</v>
          </cell>
          <cell r="W243" t="str">
            <v>热卷 1.5t</v>
          </cell>
          <cell r="X243" t="str">
            <v>镀锌卷 1.5t</v>
          </cell>
        </row>
        <row r="244">
          <cell r="A244" t="str">
            <v>C20×40×1.4</v>
          </cell>
          <cell r="C244">
            <v>1.02207</v>
          </cell>
          <cell r="D244">
            <v>0.186</v>
          </cell>
          <cell r="E244">
            <v>4.08</v>
          </cell>
          <cell r="F244">
            <v>1.4</v>
          </cell>
          <cell r="G244">
            <v>93</v>
          </cell>
          <cell r="J244">
            <v>3.69</v>
          </cell>
          <cell r="K244">
            <v>0.11</v>
          </cell>
          <cell r="L244">
            <v>9</v>
          </cell>
          <cell r="N244">
            <v>0.09</v>
          </cell>
          <cell r="Q244" t="str">
            <v>M10.L65.Socket.Wz</v>
          </cell>
          <cell r="R244">
            <v>1</v>
          </cell>
          <cell r="S244" t="str">
            <v>Spacer.90.φ14.L47</v>
          </cell>
          <cell r="T244">
            <v>1</v>
          </cell>
          <cell r="W244" t="str">
            <v>热卷 1.4t</v>
          </cell>
          <cell r="X244" t="str">
            <v>镀锌卷 1.4t</v>
          </cell>
          <cell r="AB244" t="str">
            <v>24*40*1.4 mm,</v>
          </cell>
        </row>
        <row r="245">
          <cell r="A245" t="str">
            <v>C35×24×1.4</v>
          </cell>
          <cell r="C245">
            <v>0.96711999999999998</v>
          </cell>
          <cell r="D245">
            <v>0.17599999999999999</v>
          </cell>
          <cell r="E245">
            <v>4.08</v>
          </cell>
          <cell r="F245">
            <v>1.4</v>
          </cell>
          <cell r="G245">
            <v>88</v>
          </cell>
          <cell r="J245">
            <v>3.69</v>
          </cell>
          <cell r="K245">
            <v>0.11</v>
          </cell>
          <cell r="L245">
            <v>9</v>
          </cell>
          <cell r="N245">
            <v>0.09</v>
          </cell>
          <cell r="Q245" t="str">
            <v>M10.L65.Socket.Wz</v>
          </cell>
          <cell r="R245">
            <v>1</v>
          </cell>
          <cell r="S245" t="str">
            <v>Spacer.90.φ14.L47</v>
          </cell>
          <cell r="T245">
            <v>1</v>
          </cell>
          <cell r="W245" t="str">
            <v>热卷 1.4t</v>
          </cell>
          <cell r="X245" t="str">
            <v>镀锌卷 1.4t</v>
          </cell>
          <cell r="AB245" t="str">
            <v>24*35*1.4 mm,</v>
          </cell>
        </row>
        <row r="250">
          <cell r="A250" t="str">
            <v>阁楼</v>
          </cell>
        </row>
        <row r="251">
          <cell r="A251" t="str">
            <v>Floor beam</v>
          </cell>
          <cell r="B251" t="str">
            <v>楼板梁 单面+筋</v>
          </cell>
          <cell r="K251">
            <v>3.5</v>
          </cell>
        </row>
        <row r="252">
          <cell r="A252" t="str">
            <v>Floor beam</v>
          </cell>
          <cell r="B252" t="str">
            <v>楼板梁 双面+筋</v>
          </cell>
          <cell r="K252">
            <v>7</v>
          </cell>
        </row>
        <row r="253">
          <cell r="A253" t="str">
            <v>Stair</v>
          </cell>
          <cell r="K253">
            <v>280</v>
          </cell>
        </row>
        <row r="254">
          <cell r="A254" t="str">
            <v>Revolving door</v>
          </cell>
          <cell r="B254" t="str">
            <v>旋转门</v>
          </cell>
        </row>
        <row r="264">
          <cell r="A264" t="str">
            <v>柱卡</v>
          </cell>
        </row>
        <row r="265">
          <cell r="A265" t="str">
            <v>Bracket.DE50-5H+pin</v>
          </cell>
          <cell r="B265" t="str">
            <v>德胜50mm步距</v>
          </cell>
          <cell r="C265">
            <v>1.3125199999999999</v>
          </cell>
          <cell r="D265">
            <v>8.3599999999999994E-2</v>
          </cell>
          <cell r="F265">
            <v>4</v>
          </cell>
          <cell r="G265">
            <v>95</v>
          </cell>
          <cell r="H265">
            <v>220</v>
          </cell>
          <cell r="J265">
            <v>7.9998780970956602</v>
          </cell>
          <cell r="L265">
            <v>9.1999999999999993</v>
          </cell>
          <cell r="O265">
            <v>2.2000000000000002</v>
          </cell>
          <cell r="P265">
            <v>0.2</v>
          </cell>
          <cell r="Q265" t="str">
            <v>S.Pin.ø7.L38</v>
          </cell>
          <cell r="R265">
            <v>2</v>
          </cell>
          <cell r="AA265" t="str">
            <v>节距50, 5爪,H220</v>
          </cell>
          <cell r="AB265" t="str">
            <v>pitch 50, 5 claws, H220</v>
          </cell>
        </row>
        <row r="266">
          <cell r="A266" t="str">
            <v>Bracket.DE50-4H+pin</v>
          </cell>
          <cell r="B266" t="str">
            <v>德胜50mm步距</v>
          </cell>
          <cell r="C266">
            <v>1.0142199999999999</v>
          </cell>
          <cell r="D266">
            <v>6.4600000000000005E-2</v>
          </cell>
          <cell r="F266">
            <v>4</v>
          </cell>
          <cell r="G266">
            <v>95</v>
          </cell>
          <cell r="H266">
            <v>170</v>
          </cell>
          <cell r="J266">
            <v>6.70465973851827</v>
          </cell>
          <cell r="L266">
            <v>9.1999999999999993</v>
          </cell>
          <cell r="O266">
            <v>2.2000000000000002</v>
          </cell>
          <cell r="P266">
            <v>0.2</v>
          </cell>
          <cell r="Q266" t="str">
            <v>S.Pin.ø7.L38</v>
          </cell>
          <cell r="R266">
            <v>2</v>
          </cell>
          <cell r="AA266" t="str">
            <v>节距50, 4爪,H170</v>
          </cell>
          <cell r="AB266" t="str">
            <v>pitch 50, 4 claws, H170</v>
          </cell>
        </row>
        <row r="267">
          <cell r="A267" t="str">
            <v>Bracket.DE75-2H+pin</v>
          </cell>
          <cell r="B267" t="str">
            <v>德胜75mm步距2爪</v>
          </cell>
          <cell r="C267">
            <v>0.68687500000000001</v>
          </cell>
          <cell r="D267">
            <v>0.05</v>
          </cell>
          <cell r="F267">
            <v>3.5</v>
          </cell>
          <cell r="G267">
            <v>100</v>
          </cell>
          <cell r="H267">
            <v>125</v>
          </cell>
          <cell r="J267">
            <v>7.7161055505004503</v>
          </cell>
          <cell r="L267">
            <v>9.1999999999999993</v>
          </cell>
          <cell r="O267">
            <v>2.2000000000000002</v>
          </cell>
          <cell r="P267">
            <v>0.2</v>
          </cell>
          <cell r="Q267" t="str">
            <v>S.Pin.ø7.L38</v>
          </cell>
          <cell r="R267">
            <v>2</v>
          </cell>
          <cell r="AA267" t="str">
            <v>节距75, 2爪,H125</v>
          </cell>
          <cell r="AB267" t="str">
            <v>pitch 75, 2 claws, H125</v>
          </cell>
        </row>
        <row r="268">
          <cell r="A268" t="str">
            <v>Bracket.DE75-3H+pin</v>
          </cell>
          <cell r="B268" t="str">
            <v>德胜75mm步距3爪</v>
          </cell>
          <cell r="C268">
            <v>1.099</v>
          </cell>
          <cell r="D268">
            <v>0.08</v>
          </cell>
          <cell r="F268">
            <v>3.5</v>
          </cell>
          <cell r="G268">
            <v>100</v>
          </cell>
          <cell r="H268">
            <v>200</v>
          </cell>
          <cell r="J268">
            <v>6.5514103730664202</v>
          </cell>
          <cell r="L268">
            <v>9.1999999999999993</v>
          </cell>
          <cell r="O268">
            <v>2.2000000000000002</v>
          </cell>
          <cell r="P268">
            <v>0.2</v>
          </cell>
          <cell r="Q268" t="str">
            <v>S.Pin.ø7.L38</v>
          </cell>
          <cell r="R268">
            <v>2</v>
          </cell>
          <cell r="AA268" t="str">
            <v>节距75, 3爪,H200</v>
          </cell>
          <cell r="AB268" t="str">
            <v>pitch 75, 3 claws, H200</v>
          </cell>
        </row>
        <row r="269">
          <cell r="A269" t="str">
            <v>Bracket.NZ76-3H+pin</v>
          </cell>
          <cell r="B269" t="str">
            <v>新西兰76.2mm步距3爪</v>
          </cell>
          <cell r="C269">
            <v>1.236375</v>
          </cell>
          <cell r="D269">
            <v>0.09</v>
          </cell>
          <cell r="F269">
            <v>3.5</v>
          </cell>
          <cell r="G269">
            <v>100</v>
          </cell>
          <cell r="H269">
            <v>225</v>
          </cell>
          <cell r="J269">
            <v>5.9043574967141801</v>
          </cell>
          <cell r="L269">
            <v>9.1999999999999993</v>
          </cell>
          <cell r="O269">
            <v>2.2000000000000002</v>
          </cell>
          <cell r="P269">
            <v>0.2</v>
          </cell>
          <cell r="Q269" t="str">
            <v>S.Pin.ø7.L38</v>
          </cell>
          <cell r="R269">
            <v>2</v>
          </cell>
          <cell r="AA269" t="str">
            <v>节距76.2, 3爪,H225</v>
          </cell>
          <cell r="AB269" t="str">
            <v>pitch 76.2, 3 claws, H225</v>
          </cell>
        </row>
        <row r="270">
          <cell r="A270" t="str">
            <v>Bracket.DE75-4H+pin</v>
          </cell>
          <cell r="B270" t="str">
            <v>德胜75mm步距4爪</v>
          </cell>
          <cell r="C270">
            <v>1.5111250000000001</v>
          </cell>
          <cell r="D270">
            <v>0.11</v>
          </cell>
          <cell r="F270">
            <v>3.5</v>
          </cell>
          <cell r="G270">
            <v>100</v>
          </cell>
          <cell r="H270">
            <v>275</v>
          </cell>
          <cell r="J270">
            <v>6.2867069236496</v>
          </cell>
          <cell r="L270">
            <v>9.1999999999999993</v>
          </cell>
          <cell r="O270">
            <v>2.2000000000000002</v>
          </cell>
          <cell r="P270">
            <v>0.2</v>
          </cell>
          <cell r="Q270" t="str">
            <v>S.Pin.ø7.L38</v>
          </cell>
          <cell r="R270">
            <v>2</v>
          </cell>
          <cell r="AA270" t="str">
            <v>节距75, 4爪,H270</v>
          </cell>
          <cell r="AB270" t="str">
            <v>pitch 75, 4 claws, H275</v>
          </cell>
        </row>
        <row r="271">
          <cell r="A271" t="str">
            <v>Bracket.P&amp;D 75-4H+pin</v>
          </cell>
          <cell r="B271" t="str">
            <v>PD柱卡，含筋板封板</v>
          </cell>
          <cell r="C271">
            <v>2.61</v>
          </cell>
          <cell r="D271">
            <v>0.20399999999999999</v>
          </cell>
          <cell r="F271">
            <v>3.5</v>
          </cell>
          <cell r="G271">
            <v>150</v>
          </cell>
          <cell r="H271">
            <v>340</v>
          </cell>
          <cell r="J271">
            <v>6.97318007662835</v>
          </cell>
          <cell r="K271">
            <v>4</v>
          </cell>
          <cell r="L271">
            <v>9.1999999999999993</v>
          </cell>
          <cell r="O271">
            <v>2.2000000000000002</v>
          </cell>
          <cell r="P271">
            <v>0.2</v>
          </cell>
          <cell r="Q271" t="str">
            <v>M10.L20</v>
          </cell>
          <cell r="R271">
            <v>18</v>
          </cell>
          <cell r="AA271" t="str">
            <v>节距75, 4爪,H340</v>
          </cell>
          <cell r="AB271" t="str">
            <v>pitch 75, 4 claws, H340</v>
          </cell>
        </row>
        <row r="272">
          <cell r="A272" t="str">
            <v>Bracket.NZ76-4H+pin</v>
          </cell>
          <cell r="B272" t="str">
            <v>新西兰76.2mm步距4爪</v>
          </cell>
          <cell r="C272">
            <v>1.6539950000000001</v>
          </cell>
          <cell r="D272">
            <v>0.12039999999999999</v>
          </cell>
          <cell r="F272">
            <v>3.5</v>
          </cell>
          <cell r="G272">
            <v>100</v>
          </cell>
          <cell r="H272">
            <v>301</v>
          </cell>
          <cell r="J272">
            <v>5.7436691162911604</v>
          </cell>
          <cell r="L272">
            <v>9.1999999999999993</v>
          </cell>
          <cell r="O272">
            <v>2.2000000000000002</v>
          </cell>
          <cell r="P272">
            <v>0.2</v>
          </cell>
          <cell r="Q272" t="str">
            <v>S.Pin.ø7.L38</v>
          </cell>
          <cell r="R272">
            <v>2</v>
          </cell>
          <cell r="AA272" t="str">
            <v>节距76.2, 4爪,H301</v>
          </cell>
          <cell r="AB272" t="str">
            <v>pitch 76.2, 4 claws, H301</v>
          </cell>
        </row>
        <row r="273">
          <cell r="A273" t="str">
            <v>Bracket.DA50-5H+pin</v>
          </cell>
          <cell r="B273" t="str">
            <v>德胜澳洲50mm步距</v>
          </cell>
          <cell r="C273">
            <v>1.3539680000000001</v>
          </cell>
          <cell r="D273">
            <v>8.6239999999999997E-2</v>
          </cell>
          <cell r="F273">
            <v>4</v>
          </cell>
          <cell r="G273">
            <v>98</v>
          </cell>
          <cell r="H273">
            <v>220</v>
          </cell>
          <cell r="J273">
            <v>7.7549838696335502</v>
          </cell>
          <cell r="L273">
            <v>9.1999999999999993</v>
          </cell>
          <cell r="O273">
            <v>2.2000000000000002</v>
          </cell>
          <cell r="P273">
            <v>0.2</v>
          </cell>
          <cell r="Q273" t="str">
            <v>S.Pin.Spring.DA50</v>
          </cell>
          <cell r="R273">
            <v>2</v>
          </cell>
          <cell r="AA273" t="str">
            <v>节距50, 5爪,H220</v>
          </cell>
          <cell r="AB273" t="str">
            <v>pitch 50, 5 claws, H220</v>
          </cell>
        </row>
        <row r="274">
          <cell r="A274" t="str">
            <v>Bracket.DA76-3H+pin</v>
          </cell>
          <cell r="B274" t="str">
            <v>德胜76mm步距3爪</v>
          </cell>
          <cell r="C274">
            <v>1.099</v>
          </cell>
          <cell r="D274">
            <v>0.08</v>
          </cell>
          <cell r="F274">
            <v>3.5</v>
          </cell>
          <cell r="G274">
            <v>100</v>
          </cell>
          <cell r="H274">
            <v>200</v>
          </cell>
          <cell r="J274">
            <v>6.5514103730664202</v>
          </cell>
          <cell r="L274">
            <v>9.1999999999999993</v>
          </cell>
          <cell r="O274">
            <v>2.2000000000000002</v>
          </cell>
          <cell r="P274">
            <v>0.2</v>
          </cell>
          <cell r="Q274" t="str">
            <v>S.Pin.Spring.DA76</v>
          </cell>
          <cell r="R274">
            <v>2</v>
          </cell>
          <cell r="AA274" t="str">
            <v>节距76.2, 3爪,H200</v>
          </cell>
          <cell r="AB274" t="str">
            <v>pitch 76.2, 3 claws, H200</v>
          </cell>
        </row>
        <row r="275">
          <cell r="A275" t="str">
            <v>Bracket.DA76-4H+pin</v>
          </cell>
          <cell r="B275" t="str">
            <v>德胜76mm步距4爪</v>
          </cell>
          <cell r="C275">
            <v>1.5111250000000001</v>
          </cell>
          <cell r="D275">
            <v>0.11</v>
          </cell>
          <cell r="F275">
            <v>3.5</v>
          </cell>
          <cell r="G275">
            <v>100</v>
          </cell>
          <cell r="H275">
            <v>275</v>
          </cell>
          <cell r="J275">
            <v>6.2867069236496</v>
          </cell>
          <cell r="L275">
            <v>9.1999999999999993</v>
          </cell>
          <cell r="O275">
            <v>2.2000000000000002</v>
          </cell>
          <cell r="P275">
            <v>0.2</v>
          </cell>
          <cell r="Q275" t="str">
            <v>S.Pin.Spring.DA76</v>
          </cell>
          <cell r="R275">
            <v>2</v>
          </cell>
          <cell r="AA275" t="str">
            <v>节距76.2, 3爪,H275</v>
          </cell>
          <cell r="AB275" t="str">
            <v>pitch 76.2, 4 claws, H275</v>
          </cell>
        </row>
        <row r="276">
          <cell r="A276" t="str">
            <v>L55A-Brk+pin</v>
          </cell>
          <cell r="B276" t="str">
            <v>L55A中型柱卡</v>
          </cell>
          <cell r="C276">
            <v>0.432535</v>
          </cell>
          <cell r="D276">
            <v>4.4659999999999998E-2</v>
          </cell>
          <cell r="F276">
            <v>2.5</v>
          </cell>
          <cell r="G276">
            <v>76</v>
          </cell>
          <cell r="H276">
            <v>145</v>
          </cell>
          <cell r="J276">
            <v>9.2478065358872694</v>
          </cell>
          <cell r="L276">
            <v>9.1999999999999993</v>
          </cell>
          <cell r="O276">
            <v>2.2000000000000002</v>
          </cell>
          <cell r="P276">
            <v>0.2</v>
          </cell>
          <cell r="Q276" t="str">
            <v>S.Pin.L55AB.ø6.L38</v>
          </cell>
          <cell r="R276">
            <v>2</v>
          </cell>
          <cell r="AA276" t="str">
            <v>含柱卡L55A,H145</v>
          </cell>
          <cell r="AB276" t="str">
            <v>with L55A，H145</v>
          </cell>
        </row>
        <row r="277">
          <cell r="A277" t="str">
            <v>L55B-Brk+pin</v>
          </cell>
          <cell r="B277" t="str">
            <v>L55B中型柱卡</v>
          </cell>
          <cell r="C277">
            <v>0.40270499999999998</v>
          </cell>
          <cell r="D277">
            <v>4.1579999999999999E-2</v>
          </cell>
          <cell r="F277">
            <v>2.5</v>
          </cell>
          <cell r="G277">
            <v>76</v>
          </cell>
          <cell r="H277">
            <v>135</v>
          </cell>
          <cell r="J277">
            <v>9.9328292422492908</v>
          </cell>
          <cell r="L277">
            <v>9.1999999999999993</v>
          </cell>
          <cell r="O277">
            <v>2.2000000000000002</v>
          </cell>
          <cell r="P277">
            <v>0.2</v>
          </cell>
          <cell r="Q277" t="str">
            <v>S.Pin.L55AB.ø6.L38</v>
          </cell>
          <cell r="R277">
            <v>2</v>
          </cell>
          <cell r="AA277" t="str">
            <v>含柱卡L55B,H135</v>
          </cell>
          <cell r="AB277" t="str">
            <v>with L55B，H135,</v>
          </cell>
        </row>
        <row r="278">
          <cell r="A278" t="str">
            <v>L55C-Brk+pin</v>
          </cell>
          <cell r="B278" t="str">
            <v>L55C中型柱卡</v>
          </cell>
          <cell r="C278">
            <v>0.41546125</v>
          </cell>
          <cell r="D278">
            <v>4.2340000000000003E-2</v>
          </cell>
          <cell r="F278">
            <v>2.5</v>
          </cell>
          <cell r="G278">
            <v>73</v>
          </cell>
          <cell r="H278">
            <v>145</v>
          </cell>
          <cell r="J278">
            <v>9.6278533798278403</v>
          </cell>
          <cell r="L278">
            <v>9.1999999999999993</v>
          </cell>
          <cell r="O278">
            <v>2.2000000000000002</v>
          </cell>
          <cell r="P278">
            <v>0.2</v>
          </cell>
          <cell r="Q278" t="str">
            <v>S.Pin.L55C.ø5.L30</v>
          </cell>
          <cell r="R278">
            <v>2</v>
          </cell>
          <cell r="AA278" t="str">
            <v>含柱卡L55C,H145</v>
          </cell>
          <cell r="AB278" t="str">
            <v>with L55C，H145,</v>
          </cell>
        </row>
        <row r="279">
          <cell r="A279" t="str">
            <v>L55B.Ex-Brk+pin</v>
          </cell>
          <cell r="B279" t="str">
            <v>L55B中型柱卡-加长</v>
          </cell>
          <cell r="C279">
            <v>0.4556925</v>
          </cell>
          <cell r="D279">
            <v>4.6980000000000001E-2</v>
          </cell>
          <cell r="F279">
            <v>2.5</v>
          </cell>
          <cell r="G279">
            <v>86</v>
          </cell>
          <cell r="H279">
            <v>135</v>
          </cell>
          <cell r="J279">
            <v>9.2167415526917793</v>
          </cell>
          <cell r="L279">
            <v>9.1999999999999993</v>
          </cell>
          <cell r="O279">
            <v>2.2000000000000002</v>
          </cell>
          <cell r="P279">
            <v>0.2</v>
          </cell>
          <cell r="Q279" t="str">
            <v>S.Pin.L55AB.ø6.L38</v>
          </cell>
          <cell r="R279">
            <v>2</v>
          </cell>
          <cell r="AA279" t="str">
            <v>含柱卡L55B.Ex,H135</v>
          </cell>
          <cell r="AB279" t="str">
            <v>with L55B.Ex, H135</v>
          </cell>
        </row>
        <row r="280">
          <cell r="A280" t="str">
            <v>L60 Brk+pin</v>
          </cell>
          <cell r="C280">
            <v>0.5</v>
          </cell>
          <cell r="D280">
            <v>4.2000000000000003E-2</v>
          </cell>
          <cell r="F280">
            <v>2.5</v>
          </cell>
          <cell r="G280">
            <v>75</v>
          </cell>
          <cell r="H280">
            <v>150</v>
          </cell>
          <cell r="J280">
            <v>8</v>
          </cell>
          <cell r="L280">
            <v>9.1999999999999993</v>
          </cell>
          <cell r="O280">
            <v>2.2000000000000002</v>
          </cell>
          <cell r="P280">
            <v>0.2</v>
          </cell>
          <cell r="Q280" t="str">
            <v>S.Pin.L55AB.ø6.L38</v>
          </cell>
          <cell r="R280">
            <v>2</v>
          </cell>
          <cell r="AA280" t="str">
            <v>含柱卡L60,H150</v>
          </cell>
          <cell r="AB280" t="str">
            <v>with L60，H150,</v>
          </cell>
        </row>
        <row r="281">
          <cell r="A281" t="str">
            <v>Bracket.DE75托盘后档</v>
          </cell>
          <cell r="C281">
            <v>2.4209999999999998</v>
          </cell>
          <cell r="D281">
            <v>0.33600000000000002</v>
          </cell>
          <cell r="F281">
            <v>3.5</v>
          </cell>
          <cell r="G281">
            <v>100</v>
          </cell>
          <cell r="H281">
            <v>200</v>
          </cell>
          <cell r="J281">
            <v>6.5</v>
          </cell>
          <cell r="L281">
            <v>9.1999999999999993</v>
          </cell>
          <cell r="O281">
            <v>2.2000000000000002</v>
          </cell>
          <cell r="P281">
            <v>0.2</v>
          </cell>
          <cell r="Q281" t="str">
            <v>S.Pin.ø7.L38</v>
          </cell>
          <cell r="R281">
            <v>0</v>
          </cell>
          <cell r="S281" t="str">
            <v>M10.L20</v>
          </cell>
          <cell r="T281">
            <v>4</v>
          </cell>
        </row>
        <row r="287">
          <cell r="A287" t="str">
            <v>脚底板</v>
          </cell>
        </row>
        <row r="288">
          <cell r="A288" t="str">
            <v>FP90M+bolt.set</v>
          </cell>
          <cell r="B288" t="str">
            <v>90M底板(镀锌）</v>
          </cell>
          <cell r="C288">
            <v>0.38500000000000001</v>
          </cell>
          <cell r="D288">
            <v>2.8000000000000001E-2</v>
          </cell>
          <cell r="F288">
            <v>3.5</v>
          </cell>
          <cell r="H288">
            <v>100</v>
          </cell>
          <cell r="I288">
            <v>140</v>
          </cell>
          <cell r="J288">
            <v>11.4285714285714</v>
          </cell>
          <cell r="L288">
            <v>0.95</v>
          </cell>
          <cell r="M288">
            <v>2.2999999999999998</v>
          </cell>
          <cell r="O288">
            <v>2.2000000000000002</v>
          </cell>
          <cell r="Q288" t="str">
            <v>M10.L20</v>
          </cell>
          <cell r="R288">
            <v>2</v>
          </cell>
          <cell r="S288" t="str">
            <v>Anc.M12.L100</v>
          </cell>
          <cell r="T288">
            <v>2</v>
          </cell>
          <cell r="U288" t="str">
            <v>SHM90M.15.Pregal</v>
          </cell>
          <cell r="V288">
            <v>2</v>
          </cell>
          <cell r="AA288" t="str">
            <v>含FP90M,垫板和螺栓</v>
          </cell>
          <cell r="AB288" t="str">
            <v xml:space="preserve">with 90M foot plate, shim plate and bolts, </v>
          </cell>
        </row>
        <row r="289">
          <cell r="A289" t="str">
            <v>FP90H2.D50+bolt.set</v>
          </cell>
          <cell r="B289" t="str">
            <v>50步距90H2底板</v>
          </cell>
          <cell r="C289">
            <v>0.84599999999999997</v>
          </cell>
          <cell r="F289">
            <v>4.5</v>
          </cell>
          <cell r="H289">
            <v>130</v>
          </cell>
          <cell r="I289">
            <v>130</v>
          </cell>
          <cell r="J289">
            <v>5.1605999999999996</v>
          </cell>
          <cell r="K289">
            <v>1.2</v>
          </cell>
          <cell r="L289">
            <v>0.95</v>
          </cell>
          <cell r="M289">
            <v>2.2999999999999998</v>
          </cell>
          <cell r="O289">
            <v>2.2000000000000002</v>
          </cell>
          <cell r="Q289" t="str">
            <v>M10.L20</v>
          </cell>
          <cell r="R289">
            <v>2</v>
          </cell>
          <cell r="S289" t="str">
            <v>Anc.M12.L100</v>
          </cell>
          <cell r="T289">
            <v>2</v>
          </cell>
          <cell r="U289" t="str">
            <v>SHM90/100.15.Pregal</v>
          </cell>
          <cell r="V289">
            <v>2</v>
          </cell>
          <cell r="AA289" t="str">
            <v>含FP90H2,垫板和螺栓</v>
          </cell>
          <cell r="AB289" t="str">
            <v>with 90H2 foot plate, shim plate and bolts,</v>
          </cell>
        </row>
        <row r="290">
          <cell r="A290" t="str">
            <v>FP90H2.D75+bolt.set</v>
          </cell>
          <cell r="B290" t="str">
            <v>75步距90H2底板</v>
          </cell>
          <cell r="C290">
            <v>0.95018519999999995</v>
          </cell>
          <cell r="F290">
            <v>4.5</v>
          </cell>
          <cell r="H290">
            <v>130</v>
          </cell>
          <cell r="I290">
            <v>130</v>
          </cell>
          <cell r="J290">
            <v>6.1</v>
          </cell>
          <cell r="K290">
            <v>1.2</v>
          </cell>
          <cell r="L290">
            <v>0.95</v>
          </cell>
          <cell r="M290">
            <v>2.2999999999999998</v>
          </cell>
          <cell r="O290">
            <v>2.2000000000000002</v>
          </cell>
          <cell r="Q290" t="str">
            <v>M10.L20</v>
          </cell>
          <cell r="R290">
            <v>2</v>
          </cell>
          <cell r="S290" t="str">
            <v>Anc.M12.L100</v>
          </cell>
          <cell r="T290">
            <v>2</v>
          </cell>
          <cell r="U290" t="str">
            <v>SHM90/100.15.Pregal</v>
          </cell>
          <cell r="V290">
            <v>2</v>
          </cell>
          <cell r="AA290" t="str">
            <v>含FP90H2,垫板和螺栓</v>
          </cell>
          <cell r="AB290" t="str">
            <v>with 90H2 foot plate, shim plate and bolts.</v>
          </cell>
        </row>
        <row r="291">
          <cell r="A291" t="str">
            <v>FP90H4.D50+bolt.set</v>
          </cell>
          <cell r="B291" t="str">
            <v>50步距90H4底板</v>
          </cell>
          <cell r="C291">
            <v>0.96908249999999996</v>
          </cell>
          <cell r="D291">
            <v>6.5799999999999997E-2</v>
          </cell>
          <cell r="F291">
            <v>4.5</v>
          </cell>
          <cell r="H291">
            <v>130</v>
          </cell>
          <cell r="I291">
            <v>130</v>
          </cell>
          <cell r="J291">
            <v>6.1</v>
          </cell>
          <cell r="K291">
            <v>1.2</v>
          </cell>
          <cell r="L291">
            <v>0.95</v>
          </cell>
          <cell r="M291">
            <v>2.2999999999999998</v>
          </cell>
          <cell r="O291">
            <v>2.2000000000000002</v>
          </cell>
          <cell r="Q291" t="str">
            <v>M10.L20</v>
          </cell>
          <cell r="R291">
            <v>4</v>
          </cell>
          <cell r="S291" t="str">
            <v>Anc.M12.L100</v>
          </cell>
          <cell r="T291">
            <v>2</v>
          </cell>
          <cell r="U291" t="str">
            <v>SHM90/100.15.Pregal</v>
          </cell>
          <cell r="V291">
            <v>2</v>
          </cell>
          <cell r="AA291" t="str">
            <v>含FP90H4,垫板和螺栓</v>
          </cell>
          <cell r="AB291" t="str">
            <v>with 90H4 foot plate, shim plate and bolts,</v>
          </cell>
        </row>
        <row r="292">
          <cell r="A292" t="str">
            <v>FP90H4.DE75+bolt.set</v>
          </cell>
          <cell r="B292" t="str">
            <v>75步距90H4底板</v>
          </cell>
          <cell r="C292">
            <v>1.0732676999999999</v>
          </cell>
          <cell r="D292">
            <v>7.4759999999999993E-2</v>
          </cell>
          <cell r="F292">
            <v>4.5</v>
          </cell>
          <cell r="H292">
            <v>130</v>
          </cell>
          <cell r="I292">
            <v>130</v>
          </cell>
          <cell r="J292">
            <v>6.1</v>
          </cell>
          <cell r="K292">
            <v>1.2</v>
          </cell>
          <cell r="L292">
            <v>0.95</v>
          </cell>
          <cell r="M292">
            <v>2.2999999999999998</v>
          </cell>
          <cell r="O292">
            <v>2.2000000000000002</v>
          </cell>
          <cell r="Q292" t="str">
            <v>M10.L20</v>
          </cell>
          <cell r="R292">
            <v>4</v>
          </cell>
          <cell r="S292" t="str">
            <v>Anc.M12.L100</v>
          </cell>
          <cell r="T292">
            <v>2</v>
          </cell>
          <cell r="U292" t="str">
            <v>SHM90/100.15.Pregal</v>
          </cell>
          <cell r="V292">
            <v>2</v>
          </cell>
          <cell r="AA292" t="str">
            <v>含FP90H4,垫板和螺栓</v>
          </cell>
          <cell r="AB292" t="str">
            <v>with 90H4 foot plate, shim plate and bolts,</v>
          </cell>
        </row>
        <row r="293">
          <cell r="A293" t="str">
            <v>FP90/100H4.NZ76.2+bolt.set</v>
          </cell>
          <cell r="B293" t="str">
            <v>新西兰特殊90H4底板</v>
          </cell>
          <cell r="C293">
            <v>2.12</v>
          </cell>
          <cell r="D293">
            <v>0.12</v>
          </cell>
          <cell r="F293">
            <v>4.5</v>
          </cell>
          <cell r="H293">
            <v>130</v>
          </cell>
          <cell r="I293">
            <v>130</v>
          </cell>
          <cell r="J293">
            <v>6.3679245283018897</v>
          </cell>
          <cell r="K293">
            <v>1.8</v>
          </cell>
          <cell r="L293">
            <v>0.95</v>
          </cell>
          <cell r="M293">
            <v>2.2999999999999998</v>
          </cell>
          <cell r="O293">
            <v>2.2000000000000002</v>
          </cell>
          <cell r="Q293" t="str">
            <v>M10.L20</v>
          </cell>
          <cell r="R293">
            <v>4</v>
          </cell>
          <cell r="U293" t="str">
            <v>NZ 90/100.15.Pregal</v>
          </cell>
          <cell r="V293">
            <v>1</v>
          </cell>
          <cell r="AA293" t="str">
            <v>含NZ90/100 H4,垫板和螺栓</v>
          </cell>
          <cell r="AB293" t="str">
            <v>with NZ90/100 H4 foot plate, shim plate and bolts,</v>
          </cell>
        </row>
        <row r="294">
          <cell r="A294" t="str">
            <v>FP100H4.DE50+bolt.set</v>
          </cell>
          <cell r="B294" t="str">
            <v>50步距100H4底板</v>
          </cell>
          <cell r="C294">
            <v>0.99263250000000003</v>
          </cell>
          <cell r="D294">
            <v>7.732E-2</v>
          </cell>
          <cell r="F294">
            <v>5</v>
          </cell>
          <cell r="H294">
            <v>130</v>
          </cell>
          <cell r="I294">
            <v>200</v>
          </cell>
          <cell r="J294">
            <v>6.1</v>
          </cell>
          <cell r="K294">
            <v>1.2</v>
          </cell>
          <cell r="L294">
            <v>0.95</v>
          </cell>
          <cell r="M294">
            <v>2.2999999999999998</v>
          </cell>
          <cell r="O294">
            <v>2.2000000000000002</v>
          </cell>
          <cell r="Q294" t="str">
            <v>M10.L20</v>
          </cell>
          <cell r="R294">
            <v>4</v>
          </cell>
          <cell r="S294" t="str">
            <v>Anc.M12.L100</v>
          </cell>
          <cell r="T294">
            <v>2</v>
          </cell>
          <cell r="U294" t="str">
            <v>SHM90/100.15.Pregal</v>
          </cell>
          <cell r="V294">
            <v>2</v>
          </cell>
          <cell r="AA294" t="str">
            <v>含FP100H4,垫板和螺栓</v>
          </cell>
          <cell r="AB294" t="str">
            <v>with 100H4 foot plate, shim plate and bolts,</v>
          </cell>
        </row>
        <row r="295">
          <cell r="A295" t="str">
            <v>FP100H4.DE75+bolt.set</v>
          </cell>
          <cell r="B295" t="str">
            <v>75步距100H4底板</v>
          </cell>
          <cell r="C295">
            <v>1.1034117000000001</v>
          </cell>
          <cell r="D295">
            <v>7.732E-2</v>
          </cell>
          <cell r="F295">
            <v>5</v>
          </cell>
          <cell r="H295">
            <v>130</v>
          </cell>
          <cell r="I295">
            <v>200</v>
          </cell>
          <cell r="J295">
            <v>6.1</v>
          </cell>
          <cell r="K295">
            <v>1.2</v>
          </cell>
          <cell r="L295">
            <v>0.95</v>
          </cell>
          <cell r="M295">
            <v>2.2999999999999998</v>
          </cell>
          <cell r="O295">
            <v>2.2000000000000002</v>
          </cell>
          <cell r="Q295" t="str">
            <v>M10.L20</v>
          </cell>
          <cell r="R295">
            <v>4</v>
          </cell>
          <cell r="S295" t="str">
            <v>Anc.M12.L100</v>
          </cell>
          <cell r="T295">
            <v>2</v>
          </cell>
          <cell r="U295" t="str">
            <v>SHM90/100.15.Pregal</v>
          </cell>
          <cell r="V295">
            <v>2</v>
          </cell>
          <cell r="AA295" t="str">
            <v>含FP100H4,垫板和螺栓</v>
          </cell>
          <cell r="AB295" t="str">
            <v>with 100H4 foot plate, shim plate and bolts,</v>
          </cell>
        </row>
        <row r="296">
          <cell r="A296" t="str">
            <v>FP120H4.D50+bolt.set</v>
          </cell>
          <cell r="B296" t="str">
            <v>50步距120H4底板</v>
          </cell>
          <cell r="C296">
            <v>1.2</v>
          </cell>
          <cell r="D296">
            <v>8.9139999999999997E-2</v>
          </cell>
          <cell r="F296">
            <v>4.5</v>
          </cell>
          <cell r="H296">
            <v>150</v>
          </cell>
          <cell r="I296">
            <v>135</v>
          </cell>
          <cell r="J296">
            <v>6.1</v>
          </cell>
          <cell r="K296">
            <v>1.2</v>
          </cell>
          <cell r="L296">
            <v>0.95</v>
          </cell>
          <cell r="M296">
            <v>2.2999999999999998</v>
          </cell>
          <cell r="O296">
            <v>2.2000000000000002</v>
          </cell>
          <cell r="Q296" t="str">
            <v>M10.L20</v>
          </cell>
          <cell r="R296">
            <v>4</v>
          </cell>
          <cell r="S296" t="str">
            <v>Anc.M12.L100</v>
          </cell>
          <cell r="T296">
            <v>2</v>
          </cell>
          <cell r="U296" t="str">
            <v>SHM120.15.Pregal</v>
          </cell>
          <cell r="V296">
            <v>2</v>
          </cell>
          <cell r="AA296" t="str">
            <v>含FP120H4,垫板和螺栓</v>
          </cell>
          <cell r="AB296" t="str">
            <v>with 120H4 foot plate, shim plate and bolts,</v>
          </cell>
        </row>
        <row r="297">
          <cell r="A297" t="str">
            <v>FP120H4.D75+bolt.set</v>
          </cell>
          <cell r="B297" t="str">
            <v>75步距120H4底板</v>
          </cell>
          <cell r="C297">
            <v>1.2880672500000001</v>
          </cell>
          <cell r="D297">
            <v>8.9139999999999997E-2</v>
          </cell>
          <cell r="F297">
            <v>4.5</v>
          </cell>
          <cell r="H297">
            <v>150</v>
          </cell>
          <cell r="I297">
            <v>135</v>
          </cell>
          <cell r="J297">
            <v>6.1</v>
          </cell>
          <cell r="K297">
            <v>1.2</v>
          </cell>
          <cell r="L297">
            <v>0.95</v>
          </cell>
          <cell r="M297">
            <v>2.2999999999999998</v>
          </cell>
          <cell r="O297">
            <v>2.2000000000000002</v>
          </cell>
          <cell r="Q297" t="str">
            <v>M10.L20</v>
          </cell>
          <cell r="R297">
            <v>4</v>
          </cell>
          <cell r="S297" t="str">
            <v>Anc.M12.L100</v>
          </cell>
          <cell r="T297">
            <v>2</v>
          </cell>
          <cell r="U297" t="str">
            <v>SHM120.15.Pregal</v>
          </cell>
          <cell r="V297">
            <v>2</v>
          </cell>
          <cell r="AA297" t="str">
            <v>含FP120H4,垫板和螺栓</v>
          </cell>
          <cell r="AB297" t="str">
            <v>with 120H4 foot plate, shim plate and bolts,</v>
          </cell>
        </row>
        <row r="298">
          <cell r="A298" t="str">
            <v>FP120.95H4+bolt.set t4.5</v>
          </cell>
          <cell r="B298" t="str">
            <v>12095H4底板4.5mm</v>
          </cell>
          <cell r="C298">
            <v>1.2820384499999999</v>
          </cell>
          <cell r="D298">
            <v>9.9007999999999999E-2</v>
          </cell>
          <cell r="F298">
            <v>4.5</v>
          </cell>
          <cell r="H298">
            <v>155</v>
          </cell>
          <cell r="I298">
            <v>160</v>
          </cell>
          <cell r="J298">
            <v>6.1</v>
          </cell>
          <cell r="K298">
            <v>1.2</v>
          </cell>
          <cell r="L298">
            <v>0.95</v>
          </cell>
          <cell r="M298">
            <v>2.2999999999999998</v>
          </cell>
          <cell r="O298">
            <v>2.2000000000000002</v>
          </cell>
          <cell r="Q298" t="str">
            <v>M10.L20</v>
          </cell>
          <cell r="R298">
            <v>4</v>
          </cell>
          <cell r="S298" t="str">
            <v>Anc.M12.L100</v>
          </cell>
          <cell r="T298">
            <v>2</v>
          </cell>
          <cell r="U298" t="str">
            <v>SHM120.15.Pregal</v>
          </cell>
          <cell r="V298">
            <v>2</v>
          </cell>
          <cell r="AA298" t="str">
            <v>含FP120H4,垫板和螺栓</v>
          </cell>
          <cell r="AB298" t="str">
            <v>with 120H4 foot plate, shim plate and bolts,</v>
          </cell>
        </row>
        <row r="299">
          <cell r="A299" t="str">
            <v>FP120.95H4+bolt.set t8</v>
          </cell>
          <cell r="B299" t="str">
            <v>12095H4底板8mm</v>
          </cell>
          <cell r="C299">
            <v>2.1392191999999999</v>
          </cell>
          <cell r="D299">
            <v>9.9007999999999999E-2</v>
          </cell>
          <cell r="F299">
            <v>8</v>
          </cell>
          <cell r="H299">
            <v>155</v>
          </cell>
          <cell r="I299">
            <v>160</v>
          </cell>
          <cell r="J299">
            <v>6.1</v>
          </cell>
          <cell r="K299">
            <v>1.2</v>
          </cell>
          <cell r="L299">
            <v>0.95</v>
          </cell>
          <cell r="M299">
            <v>2.2999999999999998</v>
          </cell>
          <cell r="O299">
            <v>2.2000000000000002</v>
          </cell>
          <cell r="Q299" t="str">
            <v>M10.L20</v>
          </cell>
          <cell r="R299">
            <v>4</v>
          </cell>
          <cell r="S299" t="str">
            <v>Anc.M12.L100</v>
          </cell>
          <cell r="T299">
            <v>2</v>
          </cell>
          <cell r="U299" t="str">
            <v>SHM120.15.Pregal</v>
          </cell>
          <cell r="V299">
            <v>2</v>
          </cell>
          <cell r="AA299" t="str">
            <v>含FP120H4,垫板和螺栓</v>
          </cell>
          <cell r="AB299" t="str">
            <v>with 120H4 foot plate, shim plate and bolts,</v>
          </cell>
        </row>
        <row r="300">
          <cell r="A300" t="str">
            <v>FP120.135H4+bolt.set t6.5</v>
          </cell>
          <cell r="B300" t="str">
            <v>120135H4底板6.5mm</v>
          </cell>
          <cell r="C300">
            <v>2.5</v>
          </cell>
          <cell r="D300">
            <v>0.1226</v>
          </cell>
          <cell r="F300">
            <v>6.5</v>
          </cell>
          <cell r="H300">
            <v>155</v>
          </cell>
          <cell r="I300">
            <v>160</v>
          </cell>
          <cell r="J300">
            <v>6.5</v>
          </cell>
          <cell r="K300">
            <v>1.2</v>
          </cell>
          <cell r="L300">
            <v>0.95</v>
          </cell>
          <cell r="M300">
            <v>2.2999999999999998</v>
          </cell>
          <cell r="O300">
            <v>2.2000000000000002</v>
          </cell>
          <cell r="Q300" t="str">
            <v>M10.L20</v>
          </cell>
          <cell r="R300">
            <v>4</v>
          </cell>
          <cell r="S300" t="str">
            <v>Anc.M12.L100</v>
          </cell>
          <cell r="T300">
            <v>2</v>
          </cell>
          <cell r="U300" t="str">
            <v>SHM120.15.Pregal</v>
          </cell>
          <cell r="V300">
            <v>2</v>
          </cell>
          <cell r="AA300" t="str">
            <v>含FP120H4,垫板和螺栓</v>
          </cell>
          <cell r="AB300" t="str">
            <v>with 120H4 foot plate, shim plate and bolts,</v>
          </cell>
        </row>
        <row r="301">
          <cell r="A301" t="str">
            <v>FP140.135H4+bolt.set t6.5</v>
          </cell>
          <cell r="B301" t="str">
            <v>140135H4底板6.5mm</v>
          </cell>
          <cell r="C301">
            <v>3.206725</v>
          </cell>
          <cell r="D301">
            <v>0.1226</v>
          </cell>
          <cell r="F301">
            <v>6.5</v>
          </cell>
          <cell r="H301">
            <v>155</v>
          </cell>
          <cell r="I301">
            <v>160</v>
          </cell>
          <cell r="J301">
            <v>6.5</v>
          </cell>
          <cell r="K301">
            <v>1.2</v>
          </cell>
          <cell r="L301">
            <v>0.95</v>
          </cell>
          <cell r="M301">
            <v>2.2999999999999998</v>
          </cell>
          <cell r="O301">
            <v>2.2000000000000002</v>
          </cell>
          <cell r="Q301" t="str">
            <v>M10.L20</v>
          </cell>
          <cell r="R301">
            <v>4</v>
          </cell>
          <cell r="S301" t="str">
            <v>Anc.M12.L100</v>
          </cell>
          <cell r="T301">
            <v>2</v>
          </cell>
          <cell r="U301" t="str">
            <v>FP140.135.1.5.Pregal</v>
          </cell>
          <cell r="V301">
            <v>2</v>
          </cell>
          <cell r="AA301" t="str">
            <v>含FP140H4,垫板和螺栓</v>
          </cell>
          <cell r="AB301" t="str">
            <v>with 140H4 foot plate, shim plate and bolts,</v>
          </cell>
        </row>
        <row r="302">
          <cell r="A302" t="str">
            <v>FP.L55A+M8.L45</v>
          </cell>
          <cell r="B302" t="str">
            <v>L55A中型底板</v>
          </cell>
          <cell r="C302">
            <v>0.19</v>
          </cell>
          <cell r="D302">
            <v>2.0670000000000001E-2</v>
          </cell>
          <cell r="F302">
            <v>2.5</v>
          </cell>
          <cell r="H302">
            <v>65</v>
          </cell>
          <cell r="I302">
            <v>85</v>
          </cell>
          <cell r="J302">
            <v>18.947368421052602</v>
          </cell>
          <cell r="L302">
            <v>0.95</v>
          </cell>
          <cell r="M302">
            <v>2.2999999999999998</v>
          </cell>
          <cell r="O302">
            <v>2.2000000000000002</v>
          </cell>
          <cell r="Q302" t="str">
            <v>M8.L45 Socket</v>
          </cell>
          <cell r="R302">
            <v>1</v>
          </cell>
          <cell r="S302" t="str">
            <v>Anc.M8.L60</v>
          </cell>
          <cell r="T302">
            <v>2</v>
          </cell>
          <cell r="U302" t="str">
            <v>SHM55A.15.Pregal</v>
          </cell>
          <cell r="V302">
            <v>2</v>
          </cell>
          <cell r="AA302" t="str">
            <v>含FPL55A,垫板和螺栓</v>
          </cell>
          <cell r="AB302" t="str">
            <v>with L55A foot plate, shim plate and bolts,</v>
          </cell>
        </row>
        <row r="303">
          <cell r="A303" t="str">
            <v>FP.L55B+M8.L16</v>
          </cell>
          <cell r="B303" t="str">
            <v>L55B中型底板</v>
          </cell>
          <cell r="C303">
            <v>0.17</v>
          </cell>
          <cell r="D303">
            <v>1.72E-2</v>
          </cell>
          <cell r="F303">
            <v>2.5</v>
          </cell>
          <cell r="H303">
            <v>100</v>
          </cell>
          <cell r="I303">
            <v>65</v>
          </cell>
          <cell r="J303">
            <v>21.176470588235301</v>
          </cell>
          <cell r="L303">
            <v>0.95</v>
          </cell>
          <cell r="M303">
            <v>2.2999999999999998</v>
          </cell>
          <cell r="O303">
            <v>2.2000000000000002</v>
          </cell>
          <cell r="Q303" t="str">
            <v>M8.L16</v>
          </cell>
          <cell r="R303">
            <v>2</v>
          </cell>
          <cell r="S303" t="str">
            <v>Anc.M8.L60</v>
          </cell>
          <cell r="T303">
            <v>1</v>
          </cell>
          <cell r="U303" t="str">
            <v>SHM55B.15.Pregal</v>
          </cell>
          <cell r="V303">
            <v>2</v>
          </cell>
          <cell r="AA303" t="str">
            <v>含FPL55B,垫板和螺栓</v>
          </cell>
          <cell r="AB303" t="str">
            <v>with L55B foot plate, shim plate and bolts,</v>
          </cell>
        </row>
        <row r="304">
          <cell r="A304" t="str">
            <v>FP.L55C</v>
          </cell>
          <cell r="B304" t="str">
            <v>L55C中型底板</v>
          </cell>
          <cell r="C304">
            <v>0.18</v>
          </cell>
          <cell r="D304">
            <v>2.0150000000000001E-2</v>
          </cell>
          <cell r="F304">
            <v>2.5</v>
          </cell>
          <cell r="H304">
            <v>65</v>
          </cell>
          <cell r="I304">
            <v>85</v>
          </cell>
          <cell r="J304">
            <v>20</v>
          </cell>
          <cell r="L304">
            <v>0.95</v>
          </cell>
          <cell r="M304">
            <v>2.2999999999999998</v>
          </cell>
          <cell r="O304">
            <v>2.2000000000000002</v>
          </cell>
          <cell r="Q304" t="str">
            <v>M8.L35 Socket</v>
          </cell>
          <cell r="R304">
            <v>1</v>
          </cell>
          <cell r="S304" t="str">
            <v>Anc.M8.L60</v>
          </cell>
          <cell r="T304">
            <v>2</v>
          </cell>
          <cell r="U304" t="str">
            <v>SHML55C.15.Pregal</v>
          </cell>
          <cell r="V304">
            <v>2</v>
          </cell>
          <cell r="AA304" t="str">
            <v>含FPL55C,垫板和螺栓</v>
          </cell>
          <cell r="AB304" t="str">
            <v>with L55C foot plate, shim plate and bolts,</v>
          </cell>
        </row>
        <row r="305">
          <cell r="A305" t="str">
            <v>FP.L60</v>
          </cell>
          <cell r="C305">
            <v>0.221193375</v>
          </cell>
          <cell r="D305">
            <v>4.4999999999999998E-2</v>
          </cell>
          <cell r="F305">
            <v>3</v>
          </cell>
          <cell r="H305">
            <v>65</v>
          </cell>
          <cell r="I305">
            <v>85</v>
          </cell>
          <cell r="J305">
            <v>16.275351827332099</v>
          </cell>
          <cell r="L305">
            <v>0.95</v>
          </cell>
          <cell r="M305">
            <v>2.2999999999999998</v>
          </cell>
          <cell r="O305">
            <v>2.2000000000000002</v>
          </cell>
          <cell r="Q305" t="str">
            <v>M6.L45</v>
          </cell>
          <cell r="R305">
            <v>1</v>
          </cell>
          <cell r="S305" t="str">
            <v>Anc.M8.L80</v>
          </cell>
          <cell r="T305">
            <v>2</v>
          </cell>
          <cell r="U305" t="str">
            <v>SHM60.15.Pregal</v>
          </cell>
          <cell r="V305">
            <v>2</v>
          </cell>
          <cell r="AA305" t="str">
            <v>含FPL60,垫板和螺栓</v>
          </cell>
          <cell r="AB305" t="str">
            <v>with L60 foot plate, shim plate and bolts,</v>
          </cell>
        </row>
        <row r="312">
          <cell r="A312" t="str">
            <v>垫板</v>
          </cell>
          <cell r="B312" t="str">
            <v>镀锌板，t1.0/8 t1.5/7.8</v>
          </cell>
        </row>
        <row r="313">
          <cell r="A313" t="str">
            <v>SHM90M.10.Pregal</v>
          </cell>
          <cell r="B313" t="str">
            <v>90M垫板1.0mm</v>
          </cell>
          <cell r="C313">
            <v>0.1099</v>
          </cell>
          <cell r="D313">
            <v>2.8000000000000001E-2</v>
          </cell>
          <cell r="E313">
            <v>0.87919999999999998</v>
          </cell>
          <cell r="F313">
            <v>1</v>
          </cell>
          <cell r="H313">
            <v>100</v>
          </cell>
          <cell r="I313">
            <v>140</v>
          </cell>
          <cell r="O313">
            <v>2.2000000000000002</v>
          </cell>
        </row>
        <row r="314">
          <cell r="A314" t="str">
            <v>SHM90/100.10.Pregal</v>
          </cell>
          <cell r="B314" t="str">
            <v>90/100垫板1.0mm</v>
          </cell>
          <cell r="C314">
            <v>0.13266500000000001</v>
          </cell>
          <cell r="D314">
            <v>3.3799999999999997E-2</v>
          </cell>
          <cell r="E314">
            <v>1.06132</v>
          </cell>
          <cell r="F314">
            <v>1</v>
          </cell>
          <cell r="H314">
            <v>130</v>
          </cell>
          <cell r="I314">
            <v>130</v>
          </cell>
          <cell r="O314">
            <v>2.2000000000000002</v>
          </cell>
        </row>
        <row r="315">
          <cell r="A315" t="str">
            <v>SHM90/100.10.Pregal</v>
          </cell>
          <cell r="B315" t="str">
            <v>90/100垫板1.0mm</v>
          </cell>
          <cell r="C315">
            <v>0.13266500000000001</v>
          </cell>
          <cell r="D315">
            <v>3.3799999999999997E-2</v>
          </cell>
          <cell r="E315">
            <v>1.06132</v>
          </cell>
          <cell r="F315">
            <v>1</v>
          </cell>
          <cell r="H315">
            <v>130</v>
          </cell>
          <cell r="I315">
            <v>130</v>
          </cell>
          <cell r="O315">
            <v>2.2000000000000002</v>
          </cell>
        </row>
        <row r="316">
          <cell r="A316" t="str">
            <v>SHM120.10.Pregal</v>
          </cell>
          <cell r="B316" t="str">
            <v>120M垫板1.0mm</v>
          </cell>
          <cell r="C316">
            <v>0.15896250000000001</v>
          </cell>
          <cell r="D316">
            <v>4.0500000000000001E-2</v>
          </cell>
          <cell r="E316">
            <v>1.2717000000000001</v>
          </cell>
          <cell r="F316">
            <v>1</v>
          </cell>
          <cell r="H316">
            <v>150</v>
          </cell>
          <cell r="I316">
            <v>135</v>
          </cell>
          <cell r="O316">
            <v>2.2000000000000002</v>
          </cell>
        </row>
        <row r="317">
          <cell r="A317" t="str">
            <v>SHM120.95.10.Pregal</v>
          </cell>
          <cell r="B317" t="str">
            <v>12095垫板1.0mm</v>
          </cell>
          <cell r="C317">
            <v>0.18251249999999999</v>
          </cell>
          <cell r="D317">
            <v>4.65E-2</v>
          </cell>
          <cell r="E317">
            <v>1.4601</v>
          </cell>
          <cell r="F317">
            <v>1</v>
          </cell>
          <cell r="H317">
            <v>150</v>
          </cell>
          <cell r="I317">
            <v>155</v>
          </cell>
          <cell r="O317">
            <v>2.2000000000000002</v>
          </cell>
        </row>
        <row r="318">
          <cell r="A318" t="str">
            <v>FP140.135.1.5.Pregal</v>
          </cell>
          <cell r="B318" t="str">
            <v>140135H4底板6.5mm</v>
          </cell>
          <cell r="C318">
            <v>0.40034999999999998</v>
          </cell>
          <cell r="D318">
            <v>6.8000000000000005E-2</v>
          </cell>
          <cell r="E318">
            <v>3.6031499999999999</v>
          </cell>
          <cell r="F318">
            <v>1.5</v>
          </cell>
          <cell r="H318">
            <v>170</v>
          </cell>
          <cell r="I318">
            <v>200</v>
          </cell>
          <cell r="O318">
            <v>2.2000000000000002</v>
          </cell>
        </row>
        <row r="319">
          <cell r="A319" t="str">
            <v>SHM90M.15.Pregal</v>
          </cell>
          <cell r="B319" t="str">
            <v>90M垫板1.5mm</v>
          </cell>
          <cell r="C319">
            <v>0.16485</v>
          </cell>
          <cell r="D319">
            <v>2.8000000000000001E-2</v>
          </cell>
          <cell r="E319">
            <v>1.4836499999999999</v>
          </cell>
          <cell r="F319">
            <v>1.5</v>
          </cell>
          <cell r="H319">
            <v>100</v>
          </cell>
          <cell r="I319">
            <v>140</v>
          </cell>
          <cell r="O319">
            <v>2.2000000000000002</v>
          </cell>
        </row>
        <row r="320">
          <cell r="A320" t="str">
            <v>NZ 90/100.15.Pregal</v>
          </cell>
          <cell r="B320" t="str">
            <v>新西兰90/100垫板1.5mm</v>
          </cell>
          <cell r="C320">
            <v>0.30614999999999998</v>
          </cell>
          <cell r="D320">
            <v>5.1999999999999998E-2</v>
          </cell>
          <cell r="E320">
            <v>2.75535</v>
          </cell>
          <cell r="F320">
            <v>1.5</v>
          </cell>
          <cell r="H320">
            <v>130</v>
          </cell>
          <cell r="I320">
            <v>200</v>
          </cell>
          <cell r="O320">
            <v>2.2000000000000002</v>
          </cell>
        </row>
        <row r="321">
          <cell r="A321" t="str">
            <v>SHM90/100.15.Pregal</v>
          </cell>
          <cell r="B321" t="str">
            <v>90/100垫板1.5mm</v>
          </cell>
          <cell r="C321">
            <v>0.19899749999999999</v>
          </cell>
          <cell r="D321">
            <v>3.3799999999999997E-2</v>
          </cell>
          <cell r="E321">
            <v>1.7909774999999999</v>
          </cell>
          <cell r="F321">
            <v>1.5</v>
          </cell>
          <cell r="H321">
            <v>130</v>
          </cell>
          <cell r="I321">
            <v>130</v>
          </cell>
          <cell r="O321">
            <v>2.2000000000000002</v>
          </cell>
        </row>
        <row r="322">
          <cell r="A322" t="str">
            <v>SHM120.15.Pregal</v>
          </cell>
          <cell r="B322" t="str">
            <v>120M垫板1.5mm</v>
          </cell>
          <cell r="C322">
            <v>0.23844375000000001</v>
          </cell>
          <cell r="D322">
            <v>4.0500000000000001E-2</v>
          </cell>
          <cell r="E322">
            <v>1.85986125</v>
          </cell>
          <cell r="F322">
            <v>1.5</v>
          </cell>
          <cell r="H322">
            <v>150</v>
          </cell>
          <cell r="I322">
            <v>135</v>
          </cell>
          <cell r="O322">
            <v>2.2000000000000002</v>
          </cell>
        </row>
        <row r="323">
          <cell r="A323" t="str">
            <v>SHM120.95.15.Pregal</v>
          </cell>
          <cell r="B323" t="str">
            <v>12095垫板1.5mm</v>
          </cell>
          <cell r="C323">
            <v>0.29202</v>
          </cell>
          <cell r="D323">
            <v>4.9599999999999998E-2</v>
          </cell>
          <cell r="E323">
            <v>2.62818</v>
          </cell>
          <cell r="F323">
            <v>1.5</v>
          </cell>
          <cell r="H323">
            <v>155</v>
          </cell>
          <cell r="I323">
            <v>160</v>
          </cell>
          <cell r="O323">
            <v>2.2000000000000002</v>
          </cell>
        </row>
        <row r="324">
          <cell r="A324" t="str">
            <v>SHM55A.15.Pregal</v>
          </cell>
          <cell r="B324" t="str">
            <v>L55A垫板1.5mm</v>
          </cell>
          <cell r="C324">
            <v>6.5056875E-2</v>
          </cell>
          <cell r="D324">
            <v>1.1050000000000001E-2</v>
          </cell>
          <cell r="E324">
            <v>0.71562562500000004</v>
          </cell>
          <cell r="F324">
            <v>1.5</v>
          </cell>
          <cell r="H324">
            <v>85</v>
          </cell>
          <cell r="I324">
            <v>65</v>
          </cell>
          <cell r="O324">
            <v>2.2000000000000002</v>
          </cell>
        </row>
        <row r="325">
          <cell r="A325" t="str">
            <v>SHM55B.15.Pregal</v>
          </cell>
          <cell r="B325" t="str">
            <v>L55B垫板1.5mm</v>
          </cell>
          <cell r="C325">
            <v>6.5056875E-2</v>
          </cell>
          <cell r="D325">
            <v>1.2999999999999999E-2</v>
          </cell>
          <cell r="E325">
            <v>0.71562562500000004</v>
          </cell>
          <cell r="F325">
            <v>1.5</v>
          </cell>
          <cell r="H325">
            <v>100</v>
          </cell>
          <cell r="I325">
            <v>65</v>
          </cell>
          <cell r="O325">
            <v>2.2000000000000002</v>
          </cell>
        </row>
        <row r="326">
          <cell r="A326" t="str">
            <v>SHML55C.15.Pregal</v>
          </cell>
          <cell r="B326" t="str">
            <v>L55C垫板1.5mm</v>
          </cell>
          <cell r="C326">
            <v>6.5056875E-2</v>
          </cell>
          <cell r="D326">
            <v>1.1050000000000001E-2</v>
          </cell>
          <cell r="E326">
            <v>0.71562562500000004</v>
          </cell>
          <cell r="F326">
            <v>1.5</v>
          </cell>
          <cell r="H326">
            <v>85</v>
          </cell>
          <cell r="I326">
            <v>65</v>
          </cell>
          <cell r="O326">
            <v>2.2000000000000002</v>
          </cell>
        </row>
        <row r="332">
          <cell r="A332" t="str">
            <v>网层板</v>
          </cell>
        </row>
        <row r="333">
          <cell r="A333" t="str">
            <v>折弯式网层板4</v>
          </cell>
          <cell r="J333">
            <v>5.8</v>
          </cell>
          <cell r="L333">
            <v>9</v>
          </cell>
          <cell r="M333">
            <v>10</v>
          </cell>
          <cell r="O333">
            <v>6.31</v>
          </cell>
          <cell r="X333" t="str">
            <v>网层板-镀锌 4mm</v>
          </cell>
        </row>
        <row r="334">
          <cell r="A334" t="str">
            <v>折弯式网层板4.5</v>
          </cell>
          <cell r="J334">
            <v>5.8</v>
          </cell>
          <cell r="L334">
            <v>9</v>
          </cell>
          <cell r="M334">
            <v>10</v>
          </cell>
          <cell r="O334">
            <v>6.27</v>
          </cell>
          <cell r="X334" t="str">
            <v>网层板-镀锌 4.5mm</v>
          </cell>
        </row>
        <row r="335">
          <cell r="A335" t="str">
            <v>折弯式网层板4.8</v>
          </cell>
          <cell r="J335">
            <v>5.8</v>
          </cell>
          <cell r="L335">
            <v>9</v>
          </cell>
          <cell r="M335">
            <v>10</v>
          </cell>
          <cell r="O335">
            <v>5.66</v>
          </cell>
          <cell r="X335" t="str">
            <v>网层板-镀锌 4.8mm</v>
          </cell>
        </row>
        <row r="336">
          <cell r="A336" t="str">
            <v>折弯式网层板5</v>
          </cell>
          <cell r="J336">
            <v>5.8</v>
          </cell>
          <cell r="L336">
            <v>9</v>
          </cell>
          <cell r="M336">
            <v>10</v>
          </cell>
          <cell r="O336">
            <v>5.66</v>
          </cell>
          <cell r="X336" t="str">
            <v>网层板-镀锌 4.8mm</v>
          </cell>
        </row>
        <row r="337">
          <cell r="A337" t="str">
            <v>非折弯式网层板4</v>
          </cell>
          <cell r="J337">
            <v>5.8</v>
          </cell>
          <cell r="L337">
            <v>9</v>
          </cell>
          <cell r="M337">
            <v>10</v>
          </cell>
          <cell r="O337">
            <v>6.31</v>
          </cell>
          <cell r="X337" t="str">
            <v>网层板-镀锌 4mm</v>
          </cell>
        </row>
        <row r="338">
          <cell r="A338" t="str">
            <v>非折弯式网层板4.5</v>
          </cell>
          <cell r="J338">
            <v>5.8</v>
          </cell>
          <cell r="L338">
            <v>9</v>
          </cell>
          <cell r="M338">
            <v>10</v>
          </cell>
          <cell r="O338">
            <v>6.27</v>
          </cell>
          <cell r="X338" t="str">
            <v>网层板-镀锌 4.5mm</v>
          </cell>
        </row>
        <row r="339">
          <cell r="A339" t="str">
            <v>非折弯式网层板5</v>
          </cell>
          <cell r="J339">
            <v>5.8</v>
          </cell>
          <cell r="L339">
            <v>9</v>
          </cell>
          <cell r="M339">
            <v>10</v>
          </cell>
          <cell r="O339">
            <v>5.66</v>
          </cell>
          <cell r="X339" t="str">
            <v>网层板-镀锌 4.8mm</v>
          </cell>
        </row>
        <row r="340">
          <cell r="A340" t="str">
            <v>非折弯式网层板4.8</v>
          </cell>
          <cell r="J340">
            <v>5.8</v>
          </cell>
          <cell r="L340">
            <v>9</v>
          </cell>
          <cell r="M340">
            <v>10</v>
          </cell>
          <cell r="O340">
            <v>5.66</v>
          </cell>
          <cell r="X340" t="str">
            <v>网层板-镀锌 4.8mm</v>
          </cell>
        </row>
        <row r="341">
          <cell r="A341" t="str">
            <v>定制折弯式网层板4</v>
          </cell>
          <cell r="J341">
            <v>5.8</v>
          </cell>
          <cell r="L341">
            <v>9</v>
          </cell>
          <cell r="M341">
            <v>10</v>
          </cell>
          <cell r="O341">
            <v>6.31</v>
          </cell>
          <cell r="X341" t="str">
            <v>网层板-镀锌 4mm</v>
          </cell>
        </row>
        <row r="342">
          <cell r="A342" t="str">
            <v>定制折弯式网层板4.5</v>
          </cell>
          <cell r="J342">
            <v>5.8</v>
          </cell>
          <cell r="L342">
            <v>9</v>
          </cell>
          <cell r="M342">
            <v>10</v>
          </cell>
          <cell r="O342">
            <v>6.27</v>
          </cell>
          <cell r="X342" t="str">
            <v>网层板-镀锌 4.5mm</v>
          </cell>
        </row>
        <row r="343">
          <cell r="A343" t="str">
            <v>定制折弯式网层板4.8</v>
          </cell>
          <cell r="J343">
            <v>5.8</v>
          </cell>
          <cell r="L343">
            <v>9</v>
          </cell>
          <cell r="M343">
            <v>10</v>
          </cell>
          <cell r="O343">
            <v>5.66</v>
          </cell>
          <cell r="X343" t="str">
            <v>网层板-镀锌 4.8mm</v>
          </cell>
        </row>
        <row r="344">
          <cell r="A344" t="str">
            <v>定制折弯式网层板5</v>
          </cell>
          <cell r="J344">
            <v>5.8</v>
          </cell>
          <cell r="L344">
            <v>9</v>
          </cell>
          <cell r="M344">
            <v>10</v>
          </cell>
          <cell r="O344">
            <v>5.66</v>
          </cell>
          <cell r="X344" t="str">
            <v>网层板-镀锌 4.8mm</v>
          </cell>
        </row>
        <row r="345">
          <cell r="A345" t="str">
            <v>定制非折弯式网层板4</v>
          </cell>
          <cell r="J345">
            <v>5.8</v>
          </cell>
          <cell r="L345">
            <v>9</v>
          </cell>
          <cell r="M345">
            <v>10</v>
          </cell>
          <cell r="O345">
            <v>6.31</v>
          </cell>
          <cell r="X345" t="str">
            <v>网层板-镀锌 4mm</v>
          </cell>
        </row>
        <row r="346">
          <cell r="A346" t="str">
            <v>定制非折弯式网层板4.5</v>
          </cell>
          <cell r="J346">
            <v>5.8</v>
          </cell>
          <cell r="L346">
            <v>9</v>
          </cell>
          <cell r="M346">
            <v>10</v>
          </cell>
          <cell r="O346">
            <v>6.27</v>
          </cell>
          <cell r="X346" t="str">
            <v>网层板-镀锌 4.5mm</v>
          </cell>
        </row>
        <row r="347">
          <cell r="A347" t="str">
            <v>定制非折弯式网层板4.8</v>
          </cell>
          <cell r="J347">
            <v>5.8</v>
          </cell>
          <cell r="L347">
            <v>9</v>
          </cell>
          <cell r="M347">
            <v>10</v>
          </cell>
          <cell r="O347">
            <v>5.66</v>
          </cell>
          <cell r="X347" t="str">
            <v>网层板-镀锌 4.8mm</v>
          </cell>
        </row>
        <row r="348">
          <cell r="A348" t="str">
            <v>定制非折弯式网层板5</v>
          </cell>
          <cell r="J348">
            <v>5.8</v>
          </cell>
          <cell r="L348">
            <v>9</v>
          </cell>
          <cell r="M348">
            <v>10</v>
          </cell>
          <cell r="O348">
            <v>5.66</v>
          </cell>
          <cell r="X348" t="str">
            <v>网层板-镀锌 4.8mm</v>
          </cell>
        </row>
        <row r="351">
          <cell r="A351" t="str">
            <v>角钢</v>
          </cell>
        </row>
        <row r="352">
          <cell r="A352" t="str">
            <v>L6340.6t</v>
          </cell>
          <cell r="C352">
            <v>4.8600000000000003</v>
          </cell>
          <cell r="D352">
            <v>0.21</v>
          </cell>
          <cell r="F352">
            <v>6</v>
          </cell>
          <cell r="G352">
            <v>103</v>
          </cell>
          <cell r="H352">
            <v>63</v>
          </cell>
          <cell r="I352">
            <v>40</v>
          </cell>
          <cell r="J352">
            <v>3.83</v>
          </cell>
          <cell r="K352">
            <v>2</v>
          </cell>
          <cell r="L352">
            <v>9.1999999999999993</v>
          </cell>
          <cell r="O352">
            <v>2</v>
          </cell>
          <cell r="W352" t="str">
            <v>角钢 L6340.6.0t</v>
          </cell>
        </row>
        <row r="353">
          <cell r="A353" t="str">
            <v>L10063.6t</v>
          </cell>
          <cell r="B353" t="str">
            <v>100x63x6.0</v>
          </cell>
          <cell r="C353">
            <v>7.6772999999999998</v>
          </cell>
          <cell r="D353">
            <v>0.33800000000000002</v>
          </cell>
          <cell r="F353">
            <v>6</v>
          </cell>
          <cell r="G353">
            <v>163</v>
          </cell>
          <cell r="H353">
            <v>100</v>
          </cell>
          <cell r="I353">
            <v>63</v>
          </cell>
          <cell r="J353">
            <v>3.83</v>
          </cell>
          <cell r="W353" t="str">
            <v>角钢 L6340.6.0t</v>
          </cell>
        </row>
        <row r="354">
          <cell r="A354" t="str">
            <v>L10063.8t</v>
          </cell>
          <cell r="B354" t="str">
            <v>100x63x8.0</v>
          </cell>
          <cell r="C354">
            <v>10.2364</v>
          </cell>
          <cell r="D354">
            <v>0.34200000000000003</v>
          </cell>
          <cell r="F354">
            <v>8</v>
          </cell>
          <cell r="G354">
            <v>163</v>
          </cell>
          <cell r="H354">
            <v>100</v>
          </cell>
          <cell r="I354">
            <v>63</v>
          </cell>
          <cell r="J354">
            <v>3.83</v>
          </cell>
          <cell r="W354" t="str">
            <v>角钢 L10063.8t</v>
          </cell>
        </row>
        <row r="355">
          <cell r="A355" t="str">
            <v>L12580.8t</v>
          </cell>
          <cell r="C355">
            <v>12.874000000000001</v>
          </cell>
          <cell r="D355">
            <v>0.42599999999999999</v>
          </cell>
          <cell r="F355">
            <v>8</v>
          </cell>
          <cell r="G355">
            <v>205</v>
          </cell>
          <cell r="H355">
            <v>125</v>
          </cell>
          <cell r="I355">
            <v>80</v>
          </cell>
          <cell r="J355">
            <v>3.83</v>
          </cell>
          <cell r="K355">
            <v>2.6</v>
          </cell>
          <cell r="L355">
            <v>9.1999999999999993</v>
          </cell>
          <cell r="P355">
            <v>0.3</v>
          </cell>
          <cell r="W355" t="str">
            <v>角钢 L10063.8t</v>
          </cell>
        </row>
        <row r="356">
          <cell r="A356" t="str">
            <v>L75×50×5.0</v>
          </cell>
          <cell r="C356">
            <v>4.90625</v>
          </cell>
          <cell r="F356">
            <v>5</v>
          </cell>
          <cell r="G356">
            <v>125</v>
          </cell>
          <cell r="H356">
            <v>75</v>
          </cell>
          <cell r="I356">
            <v>50</v>
          </cell>
          <cell r="J356">
            <v>3.83</v>
          </cell>
          <cell r="K356">
            <v>2.6</v>
          </cell>
          <cell r="L356">
            <v>9.1999999999999993</v>
          </cell>
          <cell r="P356">
            <v>0.3</v>
          </cell>
          <cell r="W356" t="str">
            <v>角钢 L6340.6.0t</v>
          </cell>
        </row>
        <row r="357">
          <cell r="A357" t="str">
            <v>U15×50×160×50×15×3.0</v>
          </cell>
          <cell r="J357">
            <v>5.5</v>
          </cell>
          <cell r="L357">
            <v>9.1999999999999993</v>
          </cell>
          <cell r="P357">
            <v>0.3</v>
          </cell>
        </row>
        <row r="364">
          <cell r="A364" t="str">
            <v>楼板</v>
          </cell>
        </row>
        <row r="365">
          <cell r="A365" t="str">
            <v>预镀锌扣板楼板</v>
          </cell>
          <cell r="J365">
            <v>4.45</v>
          </cell>
          <cell r="W365" t="str">
            <v>预镀锌扣板楼板</v>
          </cell>
        </row>
        <row r="366">
          <cell r="A366" t="str">
            <v>扣板楼板-黑件</v>
          </cell>
          <cell r="J366">
            <v>4.05</v>
          </cell>
          <cell r="W366" t="str">
            <v>扣板楼板-黑件</v>
          </cell>
        </row>
        <row r="371">
          <cell r="A371" t="str">
            <v>悬臂立柱</v>
          </cell>
        </row>
        <row r="372">
          <cell r="A372" t="str">
            <v>C200×60×2.0t</v>
          </cell>
          <cell r="B372" t="str">
            <v>每米</v>
          </cell>
          <cell r="C372">
            <v>8.4779999999999998</v>
          </cell>
          <cell r="D372">
            <v>0.54</v>
          </cell>
          <cell r="E372">
            <v>3.96</v>
          </cell>
          <cell r="F372">
            <v>2</v>
          </cell>
          <cell r="G372">
            <v>270</v>
          </cell>
          <cell r="J372">
            <v>3.6</v>
          </cell>
          <cell r="K372">
            <v>20</v>
          </cell>
          <cell r="L372">
            <v>0.95</v>
          </cell>
          <cell r="M372">
            <v>2.2999999999999998</v>
          </cell>
          <cell r="O372">
            <v>2.2000000000000002</v>
          </cell>
          <cell r="P372">
            <v>5</v>
          </cell>
          <cell r="W372" t="str">
            <v>热卷 2.0t</v>
          </cell>
          <cell r="X372" t="str">
            <v>镀锌卷 2.0t</v>
          </cell>
        </row>
        <row r="373">
          <cell r="A373" t="str">
            <v>C200×60×2.5t</v>
          </cell>
          <cell r="B373" t="str">
            <v>每米</v>
          </cell>
          <cell r="C373">
            <v>10.5975</v>
          </cell>
          <cell r="D373">
            <v>0.54</v>
          </cell>
          <cell r="E373">
            <v>3.96</v>
          </cell>
          <cell r="F373">
            <v>2.5</v>
          </cell>
          <cell r="G373">
            <v>270</v>
          </cell>
          <cell r="J373">
            <v>3.52</v>
          </cell>
          <cell r="K373">
            <v>20</v>
          </cell>
          <cell r="L373">
            <v>0.95</v>
          </cell>
          <cell r="M373">
            <v>2.2999999999999998</v>
          </cell>
          <cell r="O373">
            <v>2.2000000000000002</v>
          </cell>
          <cell r="P373">
            <v>5</v>
          </cell>
          <cell r="W373" t="str">
            <v>热卷 2.5t</v>
          </cell>
          <cell r="X373" t="str">
            <v>镀锌卷 2.5t</v>
          </cell>
        </row>
        <row r="374">
          <cell r="A374" t="str">
            <v>C200×60×3.0t</v>
          </cell>
          <cell r="B374" t="str">
            <v>每米</v>
          </cell>
          <cell r="C374">
            <v>12.717000000000001</v>
          </cell>
          <cell r="D374">
            <v>0.54</v>
          </cell>
          <cell r="E374">
            <v>3.96</v>
          </cell>
          <cell r="F374">
            <v>3</v>
          </cell>
          <cell r="G374">
            <v>270</v>
          </cell>
          <cell r="J374">
            <v>3.47</v>
          </cell>
          <cell r="K374">
            <v>20</v>
          </cell>
          <cell r="L374">
            <v>0.95</v>
          </cell>
          <cell r="M374">
            <v>2.2999999999999998</v>
          </cell>
          <cell r="O374">
            <v>2.2000000000000002</v>
          </cell>
          <cell r="P374">
            <v>5</v>
          </cell>
          <cell r="W374" t="str">
            <v>热卷 3.0t</v>
          </cell>
          <cell r="X374" t="str">
            <v>镀锌卷 3.0t</v>
          </cell>
        </row>
        <row r="375">
          <cell r="A375" t="str">
            <v>C215×90×3.0t</v>
          </cell>
          <cell r="B375" t="str">
            <v>每米</v>
          </cell>
          <cell r="C375">
            <v>14.836499999999999</v>
          </cell>
          <cell r="D375">
            <v>0.63</v>
          </cell>
          <cell r="E375">
            <v>3.96</v>
          </cell>
          <cell r="F375">
            <v>3</v>
          </cell>
          <cell r="G375">
            <v>315</v>
          </cell>
          <cell r="J375">
            <v>3.47</v>
          </cell>
          <cell r="K375">
            <v>20</v>
          </cell>
          <cell r="L375">
            <v>0.95</v>
          </cell>
          <cell r="M375">
            <v>2.2999999999999998</v>
          </cell>
          <cell r="O375">
            <v>2.2000000000000002</v>
          </cell>
          <cell r="P375">
            <v>5</v>
          </cell>
          <cell r="W375" t="str">
            <v>热卷 3.0t</v>
          </cell>
          <cell r="X375" t="str">
            <v>镀锌卷 3.0t</v>
          </cell>
        </row>
        <row r="376">
          <cell r="A376" t="str">
            <v>C300×90×3.0t</v>
          </cell>
          <cell r="B376" t="str">
            <v>每米</v>
          </cell>
          <cell r="C376">
            <v>18.84</v>
          </cell>
          <cell r="D376">
            <v>0.8</v>
          </cell>
          <cell r="E376">
            <v>3.96</v>
          </cell>
          <cell r="F376">
            <v>3</v>
          </cell>
          <cell r="G376">
            <v>400</v>
          </cell>
          <cell r="J376">
            <v>3.47</v>
          </cell>
          <cell r="K376">
            <v>25</v>
          </cell>
          <cell r="L376">
            <v>0.95</v>
          </cell>
          <cell r="M376">
            <v>2.2999999999999998</v>
          </cell>
          <cell r="O376">
            <v>2.2000000000000002</v>
          </cell>
          <cell r="P376">
            <v>5</v>
          </cell>
          <cell r="W376" t="str">
            <v>热卷 3.0t</v>
          </cell>
          <cell r="X376" t="str">
            <v>镀锌卷 3.0t</v>
          </cell>
        </row>
        <row r="377">
          <cell r="A377" t="str">
            <v>C350×90×4.0t</v>
          </cell>
          <cell r="B377" t="str">
            <v>每米</v>
          </cell>
          <cell r="C377">
            <v>28.26</v>
          </cell>
          <cell r="D377">
            <v>0.9</v>
          </cell>
          <cell r="E377">
            <v>4.79</v>
          </cell>
          <cell r="F377">
            <v>4</v>
          </cell>
          <cell r="G377">
            <v>450</v>
          </cell>
          <cell r="J377">
            <v>3.47</v>
          </cell>
          <cell r="K377">
            <v>31</v>
          </cell>
          <cell r="L377">
            <v>0.95</v>
          </cell>
          <cell r="M377">
            <v>2.2999999999999998</v>
          </cell>
          <cell r="O377">
            <v>2.2000000000000002</v>
          </cell>
          <cell r="P377">
            <v>5</v>
          </cell>
          <cell r="W377" t="str">
            <v>热卷 4.0t</v>
          </cell>
          <cell r="X377" t="str">
            <v>镀锌卷 4.0t</v>
          </cell>
        </row>
        <row r="378">
          <cell r="A378" t="str">
            <v>C400×90×4.0t</v>
          </cell>
          <cell r="B378" t="str">
            <v>每米</v>
          </cell>
          <cell r="C378">
            <v>31.085999999999999</v>
          </cell>
          <cell r="D378">
            <v>0.99</v>
          </cell>
          <cell r="E378">
            <v>4.79</v>
          </cell>
          <cell r="F378">
            <v>4</v>
          </cell>
          <cell r="G378">
            <v>495</v>
          </cell>
          <cell r="J378">
            <v>3.47</v>
          </cell>
          <cell r="K378">
            <v>35</v>
          </cell>
          <cell r="L378">
            <v>0.95</v>
          </cell>
          <cell r="M378">
            <v>2.2999999999999998</v>
          </cell>
          <cell r="O378">
            <v>2.2000000000000002</v>
          </cell>
          <cell r="P378">
            <v>5</v>
          </cell>
          <cell r="W378" t="str">
            <v>热卷 4.0t</v>
          </cell>
          <cell r="X378" t="str">
            <v>镀锌卷 4.0t</v>
          </cell>
        </row>
        <row r="379">
          <cell r="A379" t="str">
            <v>C305×96×3.0t</v>
          </cell>
          <cell r="B379" t="str">
            <v>每米</v>
          </cell>
          <cell r="C379">
            <v>19.169699999999999</v>
          </cell>
          <cell r="D379">
            <v>0.81399999999999995</v>
          </cell>
          <cell r="E379">
            <v>3.96</v>
          </cell>
          <cell r="F379">
            <v>3</v>
          </cell>
          <cell r="G379">
            <v>407</v>
          </cell>
          <cell r="J379">
            <v>3.47</v>
          </cell>
          <cell r="K379">
            <v>25</v>
          </cell>
          <cell r="L379">
            <v>0.95</v>
          </cell>
          <cell r="M379">
            <v>2.2999999999999998</v>
          </cell>
          <cell r="O379">
            <v>2.2000000000000002</v>
          </cell>
          <cell r="P379">
            <v>5</v>
          </cell>
          <cell r="W379" t="str">
            <v>热卷 3.0t</v>
          </cell>
          <cell r="X379" t="str">
            <v>镀锌卷 3.0t</v>
          </cell>
        </row>
        <row r="380">
          <cell r="A380" t="str">
            <v>C350×96×4.0t</v>
          </cell>
          <cell r="B380" t="str">
            <v>每米</v>
          </cell>
          <cell r="C380">
            <v>28.3856</v>
          </cell>
          <cell r="D380">
            <v>0.90400000000000003</v>
          </cell>
          <cell r="E380">
            <v>4.79</v>
          </cell>
          <cell r="F380">
            <v>4</v>
          </cell>
          <cell r="G380">
            <v>452</v>
          </cell>
          <cell r="J380">
            <v>3.47</v>
          </cell>
          <cell r="K380">
            <v>31</v>
          </cell>
          <cell r="L380">
            <v>0.95</v>
          </cell>
          <cell r="M380">
            <v>2.2999999999999998</v>
          </cell>
          <cell r="O380">
            <v>2.2000000000000002</v>
          </cell>
          <cell r="P380">
            <v>5</v>
          </cell>
          <cell r="W380" t="str">
            <v>热卷 4.0t</v>
          </cell>
          <cell r="X380" t="str">
            <v>镀锌卷 4.0t</v>
          </cell>
        </row>
        <row r="381">
          <cell r="A381" t="str">
            <v>CHN350×175×7×11</v>
          </cell>
          <cell r="B381" t="str">
            <v>每米</v>
          </cell>
          <cell r="C381">
            <v>50</v>
          </cell>
          <cell r="J381">
            <v>3.7</v>
          </cell>
          <cell r="L381">
            <v>0.95</v>
          </cell>
          <cell r="M381">
            <v>2.2999999999999998</v>
          </cell>
          <cell r="O381">
            <v>2.2000000000000002</v>
          </cell>
        </row>
        <row r="382">
          <cell r="A382" t="str">
            <v>CHN446×199×8×12</v>
          </cell>
          <cell r="B382" t="str">
            <v>每米</v>
          </cell>
          <cell r="C382">
            <v>65.099999999999994</v>
          </cell>
          <cell r="J382">
            <v>3.7</v>
          </cell>
          <cell r="L382">
            <v>0.95</v>
          </cell>
          <cell r="M382">
            <v>2.2999999999999998</v>
          </cell>
          <cell r="O382">
            <v>2.2000000000000002</v>
          </cell>
        </row>
        <row r="386">
          <cell r="A386" t="str">
            <v xml:space="preserve">立柱焊接钢板 </v>
          </cell>
        </row>
        <row r="387">
          <cell r="A387" t="str">
            <v>L419×H300×6t</v>
          </cell>
          <cell r="B387" t="str">
            <v>每件</v>
          </cell>
          <cell r="C387">
            <v>5.9204699999999999</v>
          </cell>
          <cell r="D387">
            <v>0.25140000000000001</v>
          </cell>
          <cell r="E387">
            <v>5.9049762941117896</v>
          </cell>
          <cell r="F387">
            <v>6</v>
          </cell>
          <cell r="J387">
            <v>5.4049762941117896</v>
          </cell>
          <cell r="L387">
            <v>0.95</v>
          </cell>
          <cell r="M387">
            <v>2.2999999999999998</v>
          </cell>
          <cell r="O387">
            <v>2.2000000000000002</v>
          </cell>
        </row>
        <row r="388">
          <cell r="A388" t="str">
            <v>L469×H350×6t</v>
          </cell>
          <cell r="B388" t="str">
            <v>每件</v>
          </cell>
          <cell r="C388">
            <v>7.731465</v>
          </cell>
          <cell r="D388">
            <v>0.32829999999999998</v>
          </cell>
          <cell r="E388">
            <v>5.9049762941117896</v>
          </cell>
          <cell r="F388">
            <v>6</v>
          </cell>
          <cell r="J388">
            <v>5.4049762941117896</v>
          </cell>
          <cell r="L388">
            <v>0.95</v>
          </cell>
          <cell r="M388">
            <v>2.2999999999999998</v>
          </cell>
          <cell r="O388">
            <v>2.2000000000000002</v>
          </cell>
        </row>
        <row r="389">
          <cell r="A389" t="str">
            <v>L519×H400×6t</v>
          </cell>
          <cell r="B389" t="str">
            <v>每件</v>
          </cell>
          <cell r="C389">
            <v>9.7779600000000002</v>
          </cell>
          <cell r="D389">
            <v>0.25519999999999998</v>
          </cell>
          <cell r="E389">
            <v>5.9049762941117896</v>
          </cell>
          <cell r="F389">
            <v>6</v>
          </cell>
          <cell r="J389">
            <v>5.4049762941117896</v>
          </cell>
          <cell r="L389">
            <v>0.95</v>
          </cell>
          <cell r="M389">
            <v>2.2999999999999998</v>
          </cell>
          <cell r="O389">
            <v>2.2000000000000002</v>
          </cell>
        </row>
        <row r="395">
          <cell r="A395" t="str">
            <v>悬臂底座</v>
          </cell>
        </row>
        <row r="396">
          <cell r="A396" t="str">
            <v>B200×60×2.0t</v>
          </cell>
          <cell r="B396" t="str">
            <v>每米</v>
          </cell>
          <cell r="C396">
            <v>8.4779999999999998</v>
          </cell>
          <cell r="D396">
            <v>0.54</v>
          </cell>
          <cell r="E396">
            <v>3.96</v>
          </cell>
          <cell r="F396">
            <v>2</v>
          </cell>
          <cell r="G396">
            <v>270</v>
          </cell>
          <cell r="J396">
            <v>3.6</v>
          </cell>
          <cell r="K396">
            <v>20</v>
          </cell>
          <cell r="L396">
            <v>0.95</v>
          </cell>
          <cell r="M396">
            <v>2.2999999999999998</v>
          </cell>
          <cell r="O396">
            <v>2.2000000000000002</v>
          </cell>
          <cell r="Q396" t="str">
            <v>M16*100 8.8G</v>
          </cell>
          <cell r="W396" t="str">
            <v>热卷 2.0t</v>
          </cell>
          <cell r="X396" t="str">
            <v>镀锌卷 2.0t</v>
          </cell>
        </row>
        <row r="397">
          <cell r="A397" t="str">
            <v>B200×60×2.5t</v>
          </cell>
          <cell r="B397" t="str">
            <v>每米</v>
          </cell>
          <cell r="C397">
            <v>10.5975</v>
          </cell>
          <cell r="D397">
            <v>0.54</v>
          </cell>
          <cell r="E397">
            <v>3.96</v>
          </cell>
          <cell r="F397">
            <v>2.5</v>
          </cell>
          <cell r="G397">
            <v>270</v>
          </cell>
          <cell r="J397">
            <v>3.52</v>
          </cell>
          <cell r="K397">
            <v>20</v>
          </cell>
          <cell r="L397">
            <v>0.95</v>
          </cell>
          <cell r="M397">
            <v>2.2999999999999998</v>
          </cell>
          <cell r="O397">
            <v>2.2000000000000002</v>
          </cell>
          <cell r="Q397" t="str">
            <v>M16*100 8.8G</v>
          </cell>
          <cell r="W397" t="str">
            <v>热卷 2.5t</v>
          </cell>
          <cell r="X397" t="str">
            <v>镀锌卷 2.5t</v>
          </cell>
        </row>
        <row r="398">
          <cell r="A398" t="str">
            <v>B200×60×3.0t</v>
          </cell>
          <cell r="B398" t="str">
            <v>每米</v>
          </cell>
          <cell r="C398">
            <v>12.717000000000001</v>
          </cell>
          <cell r="D398">
            <v>0.54</v>
          </cell>
          <cell r="E398">
            <v>3.96</v>
          </cell>
          <cell r="F398">
            <v>3</v>
          </cell>
          <cell r="G398">
            <v>270</v>
          </cell>
          <cell r="J398">
            <v>3.47</v>
          </cell>
          <cell r="K398">
            <v>20</v>
          </cell>
          <cell r="L398">
            <v>0.95</v>
          </cell>
          <cell r="M398">
            <v>2.2999999999999998</v>
          </cell>
          <cell r="O398">
            <v>2.2000000000000002</v>
          </cell>
          <cell r="Q398" t="str">
            <v>M16*100 8.8G</v>
          </cell>
          <cell r="W398" t="str">
            <v>热卷 3.0t</v>
          </cell>
          <cell r="X398" t="str">
            <v>镀锌卷 3.0t</v>
          </cell>
        </row>
        <row r="399">
          <cell r="A399" t="str">
            <v>B215×90×3.0t</v>
          </cell>
          <cell r="B399" t="str">
            <v>每米</v>
          </cell>
          <cell r="C399">
            <v>14.836499999999999</v>
          </cell>
          <cell r="D399">
            <v>0.63</v>
          </cell>
          <cell r="E399">
            <v>3.96</v>
          </cell>
          <cell r="F399">
            <v>3</v>
          </cell>
          <cell r="G399">
            <v>315</v>
          </cell>
          <cell r="J399">
            <v>3.47</v>
          </cell>
          <cell r="K399">
            <v>20</v>
          </cell>
          <cell r="L399">
            <v>0.95</v>
          </cell>
          <cell r="M399">
            <v>2.2999999999999998</v>
          </cell>
          <cell r="O399">
            <v>2.2000000000000002</v>
          </cell>
          <cell r="W399" t="str">
            <v>热卷 3.0t</v>
          </cell>
          <cell r="X399" t="str">
            <v>镀锌卷 3.0t</v>
          </cell>
        </row>
        <row r="400">
          <cell r="A400" t="str">
            <v>B300×90×3.0t</v>
          </cell>
          <cell r="B400" t="str">
            <v>每米</v>
          </cell>
          <cell r="C400">
            <v>18.84</v>
          </cell>
          <cell r="D400">
            <v>0.8</v>
          </cell>
          <cell r="E400">
            <v>3.96</v>
          </cell>
          <cell r="F400">
            <v>3</v>
          </cell>
          <cell r="G400">
            <v>400</v>
          </cell>
          <cell r="J400">
            <v>3.47</v>
          </cell>
          <cell r="K400">
            <v>25</v>
          </cell>
          <cell r="L400">
            <v>0.95</v>
          </cell>
          <cell r="M400">
            <v>2.2999999999999998</v>
          </cell>
          <cell r="O400">
            <v>2.2000000000000002</v>
          </cell>
          <cell r="Q400" t="str">
            <v>M20*40，8.8G</v>
          </cell>
          <cell r="R400">
            <v>12</v>
          </cell>
          <cell r="S400" t="str">
            <v>M16*35，8.8G</v>
          </cell>
          <cell r="T400">
            <v>24</v>
          </cell>
          <cell r="W400" t="str">
            <v>热卷 3.0t</v>
          </cell>
          <cell r="X400" t="str">
            <v>镀锌卷 3.0t</v>
          </cell>
        </row>
        <row r="401">
          <cell r="A401" t="str">
            <v>B350×90×4.0t</v>
          </cell>
          <cell r="B401" t="str">
            <v>每米</v>
          </cell>
          <cell r="C401">
            <v>28.26</v>
          </cell>
          <cell r="D401">
            <v>0.9</v>
          </cell>
          <cell r="E401">
            <v>4.79</v>
          </cell>
          <cell r="F401">
            <v>4</v>
          </cell>
          <cell r="G401">
            <v>450</v>
          </cell>
          <cell r="J401">
            <v>3.47</v>
          </cell>
          <cell r="K401">
            <v>31</v>
          </cell>
          <cell r="L401">
            <v>0.95</v>
          </cell>
          <cell r="M401">
            <v>2.2999999999999998</v>
          </cell>
          <cell r="O401">
            <v>2.2000000000000002</v>
          </cell>
          <cell r="W401" t="str">
            <v>热卷 4.0t</v>
          </cell>
          <cell r="X401" t="str">
            <v>镀锌卷 4.0t</v>
          </cell>
        </row>
        <row r="402">
          <cell r="A402" t="str">
            <v>B400×90×4.0t</v>
          </cell>
          <cell r="B402" t="str">
            <v>每米</v>
          </cell>
          <cell r="C402">
            <v>31.085999999999999</v>
          </cell>
          <cell r="D402">
            <v>0.99</v>
          </cell>
          <cell r="E402">
            <v>4.79</v>
          </cell>
          <cell r="F402">
            <v>4</v>
          </cell>
          <cell r="G402">
            <v>495</v>
          </cell>
          <cell r="J402">
            <v>3.47</v>
          </cell>
          <cell r="K402">
            <v>35</v>
          </cell>
          <cell r="L402">
            <v>0.95</v>
          </cell>
          <cell r="M402">
            <v>2.2999999999999998</v>
          </cell>
          <cell r="O402">
            <v>2.2000000000000002</v>
          </cell>
          <cell r="W402" t="str">
            <v>热卷 4.0t</v>
          </cell>
          <cell r="X402" t="str">
            <v>镀锌卷 4.0t</v>
          </cell>
        </row>
        <row r="403">
          <cell r="A403" t="str">
            <v>B305×96×3.0t</v>
          </cell>
          <cell r="B403" t="str">
            <v>每米</v>
          </cell>
          <cell r="C403">
            <v>19.169699999999999</v>
          </cell>
          <cell r="D403">
            <v>0.81399999999999995</v>
          </cell>
          <cell r="E403">
            <v>3.96</v>
          </cell>
          <cell r="F403">
            <v>3</v>
          </cell>
          <cell r="G403">
            <v>407</v>
          </cell>
          <cell r="J403">
            <v>3.47</v>
          </cell>
          <cell r="K403">
            <v>25</v>
          </cell>
          <cell r="L403">
            <v>0.95</v>
          </cell>
          <cell r="M403">
            <v>2.2999999999999998</v>
          </cell>
          <cell r="O403">
            <v>2.2000000000000002</v>
          </cell>
          <cell r="W403" t="str">
            <v>热卷 3.0t</v>
          </cell>
          <cell r="X403" t="str">
            <v>镀锌卷 3.0t</v>
          </cell>
        </row>
        <row r="404">
          <cell r="A404" t="str">
            <v>B350×96×4.0t</v>
          </cell>
          <cell r="B404" t="str">
            <v>每米</v>
          </cell>
          <cell r="C404">
            <v>28.3856</v>
          </cell>
          <cell r="D404">
            <v>0.90400000000000003</v>
          </cell>
          <cell r="E404">
            <v>4.79</v>
          </cell>
          <cell r="F404">
            <v>4</v>
          </cell>
          <cell r="G404">
            <v>452</v>
          </cell>
          <cell r="J404">
            <v>3.47</v>
          </cell>
          <cell r="K404">
            <v>31</v>
          </cell>
          <cell r="L404">
            <v>0.95</v>
          </cell>
          <cell r="M404">
            <v>2.2999999999999998</v>
          </cell>
          <cell r="O404">
            <v>2.2000000000000002</v>
          </cell>
          <cell r="W404" t="str">
            <v>热卷 4.0t</v>
          </cell>
          <cell r="X404" t="str">
            <v>镀锌卷 4.0t</v>
          </cell>
        </row>
        <row r="405">
          <cell r="A405" t="str">
            <v>BHN350×175×7×11</v>
          </cell>
          <cell r="B405" t="str">
            <v>每米</v>
          </cell>
          <cell r="C405">
            <v>50</v>
          </cell>
          <cell r="J405">
            <v>3.7</v>
          </cell>
          <cell r="L405">
            <v>0.95</v>
          </cell>
          <cell r="M405">
            <v>2.2999999999999998</v>
          </cell>
          <cell r="O405">
            <v>2.2000000000000002</v>
          </cell>
        </row>
        <row r="406">
          <cell r="A406" t="str">
            <v>BHN446×199×8×12</v>
          </cell>
          <cell r="B406" t="str">
            <v>每米</v>
          </cell>
          <cell r="C406">
            <v>65.099999999999994</v>
          </cell>
          <cell r="J406">
            <v>3.7</v>
          </cell>
          <cell r="L406">
            <v>0.95</v>
          </cell>
          <cell r="M406">
            <v>2.2999999999999998</v>
          </cell>
          <cell r="O406">
            <v>2.2000000000000002</v>
          </cell>
        </row>
        <row r="413">
          <cell r="A413" t="str">
            <v>底座连接件</v>
          </cell>
        </row>
        <row r="414">
          <cell r="A414" t="str">
            <v>L196/50×63×3.0t</v>
          </cell>
          <cell r="B414" t="str">
            <v>每件</v>
          </cell>
          <cell r="C414">
            <v>0.36</v>
          </cell>
          <cell r="D414">
            <v>2.9000000000000001E-2</v>
          </cell>
          <cell r="J414">
            <v>6.5</v>
          </cell>
          <cell r="K414">
            <v>2.7777777777777799</v>
          </cell>
          <cell r="L414">
            <v>0.95</v>
          </cell>
          <cell r="M414">
            <v>2.2999999999999998</v>
          </cell>
          <cell r="O414">
            <v>2.2000000000000002</v>
          </cell>
        </row>
        <row r="415">
          <cell r="A415" t="str">
            <v>U89/50×203×5t</v>
          </cell>
          <cell r="B415" t="str">
            <v>每件</v>
          </cell>
          <cell r="C415">
            <v>1.73</v>
          </cell>
          <cell r="J415">
            <v>4.93</v>
          </cell>
          <cell r="K415">
            <v>0.80924855491329495</v>
          </cell>
          <cell r="L415">
            <v>0.95</v>
          </cell>
          <cell r="M415">
            <v>2.2999999999999998</v>
          </cell>
          <cell r="O415">
            <v>2.2000000000000002</v>
          </cell>
          <cell r="W415" t="str">
            <v>热开平板 5.0t</v>
          </cell>
        </row>
        <row r="416">
          <cell r="A416" t="str">
            <v>U102/90×297 ×3t</v>
          </cell>
          <cell r="B416" t="str">
            <v>每件</v>
          </cell>
          <cell r="C416">
            <v>2.2268644499999999</v>
          </cell>
          <cell r="D416">
            <v>0.17809800000000001</v>
          </cell>
          <cell r="J416">
            <v>6.2868667197053698</v>
          </cell>
          <cell r="K416">
            <v>0.80831143539068995</v>
          </cell>
          <cell r="L416">
            <v>0.95</v>
          </cell>
          <cell r="M416">
            <v>2.2999999999999998</v>
          </cell>
          <cell r="O416">
            <v>2.2000000000000002</v>
          </cell>
        </row>
        <row r="417">
          <cell r="A417" t="str">
            <v>C89/50×288×5t</v>
          </cell>
          <cell r="B417" t="str">
            <v>每件</v>
          </cell>
          <cell r="C417">
            <v>2.3460000000000001</v>
          </cell>
          <cell r="J417">
            <v>4.93</v>
          </cell>
          <cell r="K417">
            <v>0.59676044330775802</v>
          </cell>
          <cell r="L417">
            <v>0.95</v>
          </cell>
          <cell r="M417">
            <v>2.2999999999999998</v>
          </cell>
          <cell r="O417">
            <v>2.2000000000000002</v>
          </cell>
          <cell r="W417" t="str">
            <v>热开平板 5.0t</v>
          </cell>
        </row>
        <row r="418">
          <cell r="A418" t="str">
            <v>U104/342×105 ×5t</v>
          </cell>
          <cell r="B418" t="str">
            <v>每件</v>
          </cell>
          <cell r="C418">
            <v>1.80098625</v>
          </cell>
          <cell r="D418">
            <v>9.1770000000000004E-2</v>
          </cell>
          <cell r="J418">
            <v>7.7735185374124898</v>
          </cell>
          <cell r="K418">
            <v>0.99945238338160503</v>
          </cell>
          <cell r="L418">
            <v>0.95</v>
          </cell>
          <cell r="M418">
            <v>2.2999999999999998</v>
          </cell>
          <cell r="O418">
            <v>2.2000000000000002</v>
          </cell>
          <cell r="W418" t="str">
            <v>热开平板 5.0t</v>
          </cell>
        </row>
        <row r="422">
          <cell r="A422" t="str">
            <v>底座封板</v>
          </cell>
        </row>
        <row r="423">
          <cell r="A423" t="str">
            <v>U203/20×297×3t</v>
          </cell>
          <cell r="B423" t="str">
            <v>每件</v>
          </cell>
          <cell r="C423">
            <v>3.56</v>
          </cell>
          <cell r="D423">
            <v>0.23</v>
          </cell>
          <cell r="J423">
            <v>8.9887640449438209</v>
          </cell>
          <cell r="K423">
            <v>0.95505617977528101</v>
          </cell>
          <cell r="L423">
            <v>0.95</v>
          </cell>
          <cell r="M423">
            <v>2.2999999999999998</v>
          </cell>
          <cell r="O423">
            <v>2.2000000000000002</v>
          </cell>
        </row>
        <row r="424">
          <cell r="A424" t="str">
            <v>U204/20×348×3t</v>
          </cell>
          <cell r="B424" t="str">
            <v>每件</v>
          </cell>
          <cell r="C424">
            <v>2.0471143999999999</v>
          </cell>
          <cell r="D424">
            <v>0.23</v>
          </cell>
          <cell r="J424">
            <v>8.9887640449438209</v>
          </cell>
          <cell r="K424">
            <v>0.95505617977528101</v>
          </cell>
          <cell r="L424">
            <v>0.95</v>
          </cell>
          <cell r="M424">
            <v>2.2999999999999998</v>
          </cell>
          <cell r="O424">
            <v>2.2000000000000002</v>
          </cell>
        </row>
        <row r="431">
          <cell r="A431" t="str">
            <v>垫板</v>
          </cell>
        </row>
        <row r="432">
          <cell r="A432" t="str">
            <v>180×90×1.0t</v>
          </cell>
          <cell r="C432">
            <v>0.12717000000000001</v>
          </cell>
          <cell r="E432">
            <v>9.4361877801368195</v>
          </cell>
          <cell r="F432">
            <v>1</v>
          </cell>
        </row>
        <row r="433">
          <cell r="A433" t="str">
            <v>180×90×3.0t</v>
          </cell>
          <cell r="C433">
            <v>0.38151000000000002</v>
          </cell>
          <cell r="E433">
            <v>6.5529081806505696</v>
          </cell>
          <cell r="F433">
            <v>3</v>
          </cell>
        </row>
        <row r="434">
          <cell r="A434" t="str">
            <v>123×90×1.0t</v>
          </cell>
          <cell r="C434">
            <v>8.6899500000000005E-2</v>
          </cell>
          <cell r="E434">
            <v>13.8090552880051</v>
          </cell>
          <cell r="F434">
            <v>1</v>
          </cell>
        </row>
        <row r="435">
          <cell r="A435" t="str">
            <v>123×90×3.0t</v>
          </cell>
          <cell r="C435">
            <v>0.2606985</v>
          </cell>
          <cell r="E435">
            <v>9.5896217277813296</v>
          </cell>
          <cell r="F435">
            <v>3</v>
          </cell>
        </row>
        <row r="436">
          <cell r="A436" t="str">
            <v>189×89×1.0</v>
          </cell>
          <cell r="C436">
            <v>0.13300000000000001</v>
          </cell>
          <cell r="E436">
            <v>9.0225563909774404</v>
          </cell>
          <cell r="F436">
            <v>1</v>
          </cell>
        </row>
        <row r="437">
          <cell r="A437" t="str">
            <v>189×89×3.0</v>
          </cell>
          <cell r="C437">
            <v>0.39700000000000002</v>
          </cell>
          <cell r="E437">
            <v>6.2972292191435804</v>
          </cell>
          <cell r="F437">
            <v>3</v>
          </cell>
        </row>
        <row r="438">
          <cell r="A438" t="str">
            <v>200×89×1.0t</v>
          </cell>
          <cell r="C438">
            <v>0.13972999999999999</v>
          </cell>
          <cell r="E438">
            <v>9.3036570528877096</v>
          </cell>
          <cell r="F438">
            <v>1</v>
          </cell>
        </row>
        <row r="439">
          <cell r="A439" t="str">
            <v>200×89×3.0t</v>
          </cell>
          <cell r="C439">
            <v>0.41919000000000001</v>
          </cell>
          <cell r="E439">
            <v>6.2024380352584796</v>
          </cell>
          <cell r="F439">
            <v>3</v>
          </cell>
        </row>
        <row r="443">
          <cell r="A443" t="str">
            <v>悬臂标准件</v>
          </cell>
        </row>
        <row r="444">
          <cell r="A444" t="str">
            <v>M16×100 8.8G</v>
          </cell>
          <cell r="C444">
            <v>0.23</v>
          </cell>
          <cell r="E444">
            <v>9.5652173913043494</v>
          </cell>
        </row>
        <row r="445">
          <cell r="A445" t="str">
            <v>Anc.M12.L100</v>
          </cell>
          <cell r="C445">
            <v>0.09</v>
          </cell>
          <cell r="E445">
            <v>6.6666666666666696</v>
          </cell>
        </row>
        <row r="446">
          <cell r="A446" t="str">
            <v>M20×40 (8.8G)</v>
          </cell>
          <cell r="B446" t="str">
            <v>1平 1弹垫</v>
          </cell>
          <cell r="C446">
            <v>0.4</v>
          </cell>
          <cell r="E446">
            <v>5</v>
          </cell>
        </row>
        <row r="447">
          <cell r="A447" t="str">
            <v>M16×35</v>
          </cell>
          <cell r="C447">
            <v>0.25</v>
          </cell>
          <cell r="E447">
            <v>4</v>
          </cell>
        </row>
        <row r="448">
          <cell r="A448" t="str">
            <v>Anc.M16.L100</v>
          </cell>
          <cell r="C448">
            <v>0.17</v>
          </cell>
          <cell r="E448">
            <v>7.9411764705882399</v>
          </cell>
        </row>
        <row r="449">
          <cell r="A449" t="str">
            <v>ø20×120  8.8G</v>
          </cell>
          <cell r="B449" t="str">
            <v xml:space="preserve">圆柱销 </v>
          </cell>
          <cell r="C449">
            <v>0.4</v>
          </cell>
          <cell r="E449">
            <v>9.625</v>
          </cell>
        </row>
        <row r="450">
          <cell r="A450" t="str">
            <v>ø3.5×76</v>
          </cell>
          <cell r="B450" t="str">
            <v>R销</v>
          </cell>
          <cell r="C450">
            <v>1.4E-2</v>
          </cell>
          <cell r="E450">
            <v>15.3571428571429</v>
          </cell>
        </row>
        <row r="451">
          <cell r="A451" t="str">
            <v>ø4.5×40</v>
          </cell>
          <cell r="B451" t="str">
            <v>环形销</v>
          </cell>
          <cell r="C451">
            <v>1.2999999999999999E-2</v>
          </cell>
          <cell r="E451">
            <v>65.384615384615401</v>
          </cell>
        </row>
        <row r="452">
          <cell r="A452" t="str">
            <v>M10×120 8.8G</v>
          </cell>
          <cell r="B452" t="str">
            <v>外六角</v>
          </cell>
          <cell r="C452">
            <v>7.0000000000000007E-2</v>
          </cell>
          <cell r="E452">
            <v>11.8571428571429</v>
          </cell>
        </row>
        <row r="453">
          <cell r="A453" t="str">
            <v>M10×30  8.8G</v>
          </cell>
          <cell r="B453">
            <v>0.03</v>
          </cell>
          <cell r="C453">
            <v>0.03</v>
          </cell>
          <cell r="E453">
            <v>10.6666666666667</v>
          </cell>
        </row>
        <row r="454">
          <cell r="A454" t="str">
            <v>M10×80  8.8G</v>
          </cell>
          <cell r="C454">
            <v>0.08</v>
          </cell>
          <cell r="E454">
            <v>7.5</v>
          </cell>
        </row>
        <row r="455">
          <cell r="A455" t="str">
            <v>ø16×84</v>
          </cell>
          <cell r="C455">
            <v>0.13600000000000001</v>
          </cell>
          <cell r="E455">
            <v>16.176470588235301</v>
          </cell>
        </row>
        <row r="456">
          <cell r="A456" t="str">
            <v>M10×110  8.8G</v>
          </cell>
          <cell r="C456">
            <v>0.08</v>
          </cell>
          <cell r="E456">
            <v>7.875</v>
          </cell>
        </row>
        <row r="457">
          <cell r="A457" t="str">
            <v>M10.L20</v>
          </cell>
          <cell r="C457">
            <v>0.03</v>
          </cell>
          <cell r="E457">
            <v>6.5333333333333297</v>
          </cell>
        </row>
        <row r="458">
          <cell r="A458" t="str">
            <v>M10×25  8.8G</v>
          </cell>
          <cell r="C458">
            <v>2.9000000000000001E-2</v>
          </cell>
          <cell r="E458">
            <v>8.6206896551724093</v>
          </cell>
        </row>
        <row r="467">
          <cell r="A467" t="str">
            <v>悬臂</v>
          </cell>
          <cell r="K467" t="str">
            <v>按根</v>
          </cell>
        </row>
        <row r="468">
          <cell r="A468" t="str">
            <v>Mb120/5×0×W94×3t/25×15</v>
          </cell>
          <cell r="C468">
            <v>7.4064750000000004</v>
          </cell>
          <cell r="D468">
            <v>0.629</v>
          </cell>
          <cell r="F468">
            <v>3</v>
          </cell>
          <cell r="J468">
            <v>5.43</v>
          </cell>
          <cell r="K468">
            <v>4.4000000000000004</v>
          </cell>
          <cell r="L468">
            <v>0.95</v>
          </cell>
          <cell r="M468">
            <v>2.2999999999999998</v>
          </cell>
          <cell r="O468">
            <v>2.2000000000000002</v>
          </cell>
          <cell r="W468" t="str">
            <v>热开平板 3.0t</v>
          </cell>
        </row>
        <row r="469">
          <cell r="A469" t="str">
            <v>MC100/50×W60×3.0t</v>
          </cell>
          <cell r="C469">
            <v>4.71</v>
          </cell>
          <cell r="D469">
            <v>0.4</v>
          </cell>
          <cell r="F469">
            <v>3</v>
          </cell>
          <cell r="J469">
            <v>5.43</v>
          </cell>
          <cell r="K469">
            <v>4.4000000000000004</v>
          </cell>
          <cell r="L469">
            <v>0.95</v>
          </cell>
          <cell r="M469">
            <v>2.2999999999999998</v>
          </cell>
          <cell r="O469">
            <v>2.2000000000000002</v>
          </cell>
          <cell r="W469" t="str">
            <v>热开平板 3.0t</v>
          </cell>
        </row>
        <row r="470">
          <cell r="A470" t="str">
            <v>Mb150/50×W94×3t/25×15</v>
          </cell>
          <cell r="C470">
            <v>8.1129750000000005</v>
          </cell>
          <cell r="D470">
            <v>0.68899999999999995</v>
          </cell>
          <cell r="F470">
            <v>3</v>
          </cell>
          <cell r="J470">
            <v>5.43</v>
          </cell>
          <cell r="K470">
            <v>4.4000000000000004</v>
          </cell>
          <cell r="L470">
            <v>0.95</v>
          </cell>
          <cell r="M470">
            <v>2.2999999999999998</v>
          </cell>
          <cell r="O470">
            <v>2.2000000000000002</v>
          </cell>
          <cell r="W470" t="str">
            <v>热开平板 3.0t</v>
          </cell>
        </row>
        <row r="471">
          <cell r="A471" t="str">
            <v>140（70）×90×1.5t</v>
          </cell>
          <cell r="C471">
            <v>5.0599999999999996</v>
          </cell>
          <cell r="D471">
            <v>0.378</v>
          </cell>
          <cell r="F471">
            <v>1.5</v>
          </cell>
          <cell r="J471">
            <v>5.58</v>
          </cell>
          <cell r="K471">
            <v>4.5</v>
          </cell>
          <cell r="L471">
            <v>0.95</v>
          </cell>
          <cell r="M471">
            <v>2.2999999999999998</v>
          </cell>
          <cell r="O471">
            <v>2.2000000000000002</v>
          </cell>
          <cell r="W471" t="str">
            <v>热开平板 1.5t</v>
          </cell>
        </row>
        <row r="472">
          <cell r="A472" t="str">
            <v>140（70）×90×2.0t</v>
          </cell>
          <cell r="C472">
            <v>6.69</v>
          </cell>
          <cell r="D472">
            <v>0.378</v>
          </cell>
          <cell r="F472">
            <v>2</v>
          </cell>
          <cell r="J472">
            <v>5.48</v>
          </cell>
          <cell r="K472">
            <v>4.5</v>
          </cell>
          <cell r="L472">
            <v>0.95</v>
          </cell>
          <cell r="M472">
            <v>2.2999999999999998</v>
          </cell>
          <cell r="O472">
            <v>2.2000000000000002</v>
          </cell>
          <cell r="W472" t="str">
            <v>热开平板 2.0t</v>
          </cell>
        </row>
        <row r="473">
          <cell r="A473" t="str">
            <v>140（70）×90×2.5t</v>
          </cell>
          <cell r="C473">
            <v>8.36</v>
          </cell>
          <cell r="D473">
            <v>0.378</v>
          </cell>
          <cell r="F473">
            <v>2.5</v>
          </cell>
          <cell r="J473">
            <v>5.33</v>
          </cell>
          <cell r="K473">
            <v>4.5</v>
          </cell>
          <cell r="L473">
            <v>0.95</v>
          </cell>
          <cell r="M473">
            <v>2.2999999999999998</v>
          </cell>
          <cell r="O473">
            <v>2.2000000000000002</v>
          </cell>
          <cell r="W473" t="str">
            <v>热开平板 2.5t</v>
          </cell>
        </row>
        <row r="474">
          <cell r="A474" t="str">
            <v>140（70）×90×3.0t</v>
          </cell>
          <cell r="C474">
            <v>9.66</v>
          </cell>
          <cell r="D474">
            <v>0.378</v>
          </cell>
          <cell r="F474">
            <v>3</v>
          </cell>
          <cell r="J474">
            <v>5.23</v>
          </cell>
          <cell r="K474">
            <v>4.5</v>
          </cell>
          <cell r="L474">
            <v>0.95</v>
          </cell>
          <cell r="M474">
            <v>2.2999999999999998</v>
          </cell>
          <cell r="O474">
            <v>2.2000000000000002</v>
          </cell>
          <cell r="W474" t="str">
            <v>热开平板 3.0t</v>
          </cell>
        </row>
        <row r="475">
          <cell r="A475" t="str">
            <v>140×90×1.5t</v>
          </cell>
          <cell r="C475">
            <v>5.12</v>
          </cell>
          <cell r="D475">
            <v>0.378</v>
          </cell>
          <cell r="F475">
            <v>1.5</v>
          </cell>
          <cell r="J475">
            <v>5.58</v>
          </cell>
          <cell r="K475">
            <v>4.5</v>
          </cell>
          <cell r="L475">
            <v>0.95</v>
          </cell>
          <cell r="M475">
            <v>2.2999999999999998</v>
          </cell>
          <cell r="O475">
            <v>2.2000000000000002</v>
          </cell>
          <cell r="W475" t="str">
            <v>热开平板 1.5t</v>
          </cell>
        </row>
        <row r="476">
          <cell r="A476" t="str">
            <v>140×90×2.5t</v>
          </cell>
          <cell r="C476">
            <v>8.36</v>
          </cell>
          <cell r="D476">
            <v>0.378</v>
          </cell>
          <cell r="F476">
            <v>2.5</v>
          </cell>
          <cell r="J476">
            <v>5.33</v>
          </cell>
          <cell r="K476">
            <v>4.5</v>
          </cell>
          <cell r="L476">
            <v>0.95</v>
          </cell>
          <cell r="M476">
            <v>2.2999999999999998</v>
          </cell>
          <cell r="O476">
            <v>2.2000000000000002</v>
          </cell>
          <cell r="W476" t="str">
            <v>热开平板 2.5t</v>
          </cell>
        </row>
        <row r="477">
          <cell r="A477" t="str">
            <v>140×90×3.0t</v>
          </cell>
          <cell r="C477">
            <v>10.32</v>
          </cell>
          <cell r="D477">
            <v>0.378</v>
          </cell>
          <cell r="F477">
            <v>3</v>
          </cell>
          <cell r="J477">
            <v>5.23</v>
          </cell>
          <cell r="K477">
            <v>4.5</v>
          </cell>
          <cell r="L477">
            <v>0.95</v>
          </cell>
          <cell r="M477">
            <v>2.2999999999999998</v>
          </cell>
          <cell r="O477">
            <v>2.2000000000000002</v>
          </cell>
          <cell r="W477" t="str">
            <v>热开平板 3.0t</v>
          </cell>
        </row>
        <row r="478">
          <cell r="A478" t="str">
            <v>HS100×50×1.5t</v>
          </cell>
          <cell r="C478">
            <v>3.46</v>
          </cell>
          <cell r="F478">
            <v>1.5</v>
          </cell>
          <cell r="J478">
            <v>6.08</v>
          </cell>
          <cell r="K478">
            <v>4.5</v>
          </cell>
          <cell r="L478">
            <v>0.95</v>
          </cell>
          <cell r="M478">
            <v>2.2999999999999998</v>
          </cell>
          <cell r="O478">
            <v>2.2000000000000002</v>
          </cell>
          <cell r="W478" t="str">
            <v>矩管 1.5t</v>
          </cell>
        </row>
        <row r="479">
          <cell r="A479" t="str">
            <v>HS100×50×2.0t</v>
          </cell>
          <cell r="C479">
            <v>4.58</v>
          </cell>
          <cell r="F479">
            <v>2</v>
          </cell>
          <cell r="J479">
            <v>5.88</v>
          </cell>
          <cell r="K479">
            <v>4.5</v>
          </cell>
          <cell r="L479">
            <v>0.95</v>
          </cell>
          <cell r="M479">
            <v>2.2999999999999998</v>
          </cell>
          <cell r="O479">
            <v>2.2000000000000002</v>
          </cell>
          <cell r="W479" t="str">
            <v>矩管 2.0t</v>
          </cell>
        </row>
        <row r="480">
          <cell r="A480" t="str">
            <v>H80(30)×W60×2.0t</v>
          </cell>
          <cell r="C480">
            <v>2.0284399999999998</v>
          </cell>
          <cell r="F480">
            <v>2</v>
          </cell>
          <cell r="J480">
            <v>5.78</v>
          </cell>
          <cell r="K480">
            <v>4.5</v>
          </cell>
          <cell r="L480">
            <v>0.95</v>
          </cell>
          <cell r="M480">
            <v>2.2999999999999998</v>
          </cell>
          <cell r="O480">
            <v>2.2000000000000002</v>
          </cell>
          <cell r="W480" t="str">
            <v>热开平板 2.0t</v>
          </cell>
        </row>
        <row r="481">
          <cell r="A481" t="str">
            <v>HN175×90×5×8</v>
          </cell>
          <cell r="C481">
            <v>18.2</v>
          </cell>
          <cell r="J481">
            <v>3.75</v>
          </cell>
          <cell r="L481">
            <v>0.95</v>
          </cell>
          <cell r="M481">
            <v>2.2999999999999998</v>
          </cell>
          <cell r="O481">
            <v>2.2000000000000002</v>
          </cell>
        </row>
        <row r="482">
          <cell r="A482" t="str">
            <v>Arm180×90×3.0t</v>
          </cell>
          <cell r="C482">
            <v>11.07</v>
          </cell>
          <cell r="F482">
            <v>3</v>
          </cell>
          <cell r="J482">
            <v>5.23</v>
          </cell>
          <cell r="K482">
            <v>4.5</v>
          </cell>
          <cell r="L482">
            <v>0.95</v>
          </cell>
          <cell r="M482">
            <v>2.2999999999999998</v>
          </cell>
          <cell r="O482">
            <v>2.2000000000000002</v>
          </cell>
          <cell r="W482" t="str">
            <v>热开平板 3.0t</v>
          </cell>
        </row>
        <row r="483">
          <cell r="A483" t="str">
            <v>Arm160×90×3.0t</v>
          </cell>
          <cell r="C483">
            <v>10.6</v>
          </cell>
          <cell r="F483">
            <v>3</v>
          </cell>
          <cell r="J483">
            <v>5.23</v>
          </cell>
          <cell r="K483">
            <v>4.5</v>
          </cell>
          <cell r="L483">
            <v>0.95</v>
          </cell>
          <cell r="M483">
            <v>2.2999999999999998</v>
          </cell>
          <cell r="O483">
            <v>2.2000000000000002</v>
          </cell>
          <cell r="W483" t="str">
            <v>热开平板 3.0t</v>
          </cell>
        </row>
        <row r="484">
          <cell r="A484" t="str">
            <v>MC180(50)*100*3.5t</v>
          </cell>
          <cell r="C484">
            <v>10.4542375</v>
          </cell>
          <cell r="F484">
            <v>3.5</v>
          </cell>
          <cell r="J484">
            <v>5.33</v>
          </cell>
          <cell r="K484">
            <v>4.4000000000000004</v>
          </cell>
          <cell r="L484">
            <v>0.95</v>
          </cell>
          <cell r="M484">
            <v>2.2999999999999998</v>
          </cell>
          <cell r="O484">
            <v>2.2000000000000002</v>
          </cell>
          <cell r="W484" t="str">
            <v>热开平板 3.5t</v>
          </cell>
        </row>
        <row r="488">
          <cell r="A488" t="str">
            <v>悬臂柱卡</v>
          </cell>
        </row>
        <row r="489">
          <cell r="A489" t="str">
            <v>H300-W90×5.0t</v>
          </cell>
          <cell r="B489" t="str">
            <v>柱卡工艺孔x4</v>
          </cell>
          <cell r="C489">
            <v>2.99</v>
          </cell>
          <cell r="D489">
            <v>0.152</v>
          </cell>
          <cell r="J489">
            <v>6.6889632107023402</v>
          </cell>
          <cell r="L489">
            <v>0.95</v>
          </cell>
          <cell r="M489">
            <v>2.2999999999999998</v>
          </cell>
          <cell r="O489">
            <v>2.2000000000000002</v>
          </cell>
          <cell r="Q489" t="str">
            <v>ø20*120  8.8G</v>
          </cell>
          <cell r="R489">
            <v>1</v>
          </cell>
          <cell r="S489" t="str">
            <v>ø3.5*76</v>
          </cell>
          <cell r="T489">
            <v>1</v>
          </cell>
        </row>
        <row r="490">
          <cell r="A490" t="str">
            <v>H185-W60×4.0t</v>
          </cell>
          <cell r="C490">
            <v>1.0340020000000001</v>
          </cell>
          <cell r="D490">
            <v>6.5490000000000007E-2</v>
          </cell>
          <cell r="J490">
            <v>5.38</v>
          </cell>
          <cell r="L490">
            <v>0.95</v>
          </cell>
          <cell r="M490">
            <v>2.2999999999999998</v>
          </cell>
          <cell r="O490">
            <v>2.2000000000000002</v>
          </cell>
          <cell r="W490" t="str">
            <v>热开平板 3.0t</v>
          </cell>
        </row>
        <row r="497">
          <cell r="A497" t="str">
            <v>悬臂下口筋板、鼻子 U型封板</v>
          </cell>
        </row>
        <row r="498">
          <cell r="A498" t="str">
            <v>44×44×3t</v>
          </cell>
          <cell r="B498" t="str">
            <v>0.2元/个</v>
          </cell>
          <cell r="C498">
            <v>4.5592800000000003E-2</v>
          </cell>
          <cell r="D498">
            <v>3.872E-3</v>
          </cell>
          <cell r="J498">
            <v>6.5</v>
          </cell>
          <cell r="L498">
            <v>0.95</v>
          </cell>
          <cell r="M498">
            <v>2.2999999999999998</v>
          </cell>
          <cell r="O498">
            <v>2.2000000000000002</v>
          </cell>
        </row>
        <row r="499">
          <cell r="A499" t="str">
            <v>U52/40/40×3.0t</v>
          </cell>
          <cell r="B499" t="str">
            <v>0.2元/个</v>
          </cell>
          <cell r="C499">
            <v>2.8731</v>
          </cell>
          <cell r="D499">
            <v>0.12</v>
          </cell>
          <cell r="J499">
            <v>6.5</v>
          </cell>
          <cell r="L499">
            <v>0.95</v>
          </cell>
          <cell r="M499">
            <v>2.2999999999999998</v>
          </cell>
          <cell r="O499">
            <v>2.2000000000000002</v>
          </cell>
        </row>
        <row r="500">
          <cell r="A500" t="str">
            <v>U50/63×W86×3t</v>
          </cell>
          <cell r="C500">
            <v>0.2288589</v>
          </cell>
          <cell r="D500">
            <v>9.4599999999999997E-3</v>
          </cell>
          <cell r="J500">
            <v>6.5</v>
          </cell>
          <cell r="L500">
            <v>0.95</v>
          </cell>
          <cell r="M500">
            <v>2.2999999999999998</v>
          </cell>
          <cell r="O500">
            <v>2.2000000000000002</v>
          </cell>
          <cell r="W500" t="str">
            <v>热卷 3.0t</v>
          </cell>
          <cell r="X500" t="str">
            <v>镀锌卷 3.0t</v>
          </cell>
        </row>
        <row r="501">
          <cell r="A501" t="str">
            <v>U45/63×W52×3t</v>
          </cell>
          <cell r="C501">
            <v>0.14082900000000001</v>
          </cell>
          <cell r="D501">
            <v>5.8240000000000002E-3</v>
          </cell>
          <cell r="J501">
            <v>6.5</v>
          </cell>
          <cell r="L501">
            <v>0.95</v>
          </cell>
          <cell r="M501">
            <v>2.2999999999999998</v>
          </cell>
          <cell r="O501">
            <v>2.2000000000000002</v>
          </cell>
          <cell r="W501" t="str">
            <v>热卷 3.0t</v>
          </cell>
          <cell r="X501" t="str">
            <v>镀锌卷 3.0t</v>
          </cell>
        </row>
        <row r="502">
          <cell r="A502" t="str">
            <v>118×86×3.0t</v>
          </cell>
          <cell r="C502">
            <v>0.23898539999999999</v>
          </cell>
          <cell r="J502">
            <v>6.5</v>
          </cell>
          <cell r="L502">
            <v>0.95</v>
          </cell>
          <cell r="M502">
            <v>2.2999999999999998</v>
          </cell>
          <cell r="O502">
            <v>2.2000000000000002</v>
          </cell>
          <cell r="W502" t="str">
            <v>热卷 3.0t</v>
          </cell>
          <cell r="X502" t="str">
            <v>镀锌卷 3.0t</v>
          </cell>
        </row>
        <row r="503">
          <cell r="A503" t="str">
            <v>U30/63×150×5.0t</v>
          </cell>
          <cell r="C503">
            <v>0.62</v>
          </cell>
          <cell r="J503">
            <v>6.5</v>
          </cell>
          <cell r="L503">
            <v>0.95</v>
          </cell>
          <cell r="M503">
            <v>2.2999999999999998</v>
          </cell>
          <cell r="O503">
            <v>2.2000000000000002</v>
          </cell>
          <cell r="W503" t="str">
            <v>热卷 5.0t</v>
          </cell>
          <cell r="X503" t="str">
            <v>镀锌卷 5.0t</v>
          </cell>
        </row>
        <row r="504">
          <cell r="A504" t="str">
            <v>58×30×t3.0</v>
          </cell>
          <cell r="C504">
            <v>4.0977E-2</v>
          </cell>
          <cell r="J504">
            <v>6.5</v>
          </cell>
          <cell r="L504">
            <v>0.95</v>
          </cell>
          <cell r="M504">
            <v>2.2999999999999998</v>
          </cell>
          <cell r="O504">
            <v>2.2000000000000002</v>
          </cell>
          <cell r="W504" t="str">
            <v>热卷 3.0t</v>
          </cell>
          <cell r="X504" t="str">
            <v>镀锌卷 3.0t</v>
          </cell>
        </row>
        <row r="505">
          <cell r="A505" t="str">
            <v>136×400×t2.0</v>
          </cell>
          <cell r="C505">
            <v>0.85407999999999995</v>
          </cell>
          <cell r="J505">
            <v>6.5</v>
          </cell>
          <cell r="L505">
            <v>0.95</v>
          </cell>
          <cell r="M505">
            <v>2.2999999999999998</v>
          </cell>
          <cell r="O505">
            <v>2.2000000000000002</v>
          </cell>
          <cell r="W505" t="str">
            <v>热卷 2.0t</v>
          </cell>
          <cell r="X505" t="str">
            <v>镀锌卷 2.0t</v>
          </cell>
        </row>
        <row r="506">
          <cell r="A506" t="str">
            <v>150×50×3.0t</v>
          </cell>
          <cell r="C506">
            <v>0.176625</v>
          </cell>
          <cell r="J506">
            <v>6.5</v>
          </cell>
          <cell r="L506">
            <v>0.95</v>
          </cell>
          <cell r="M506">
            <v>2.2999999999999998</v>
          </cell>
          <cell r="O506">
            <v>2.2000000000000002</v>
          </cell>
          <cell r="W506" t="str">
            <v>热卷 3.0t</v>
          </cell>
          <cell r="X506" t="str">
            <v>镀锌卷 3.0t</v>
          </cell>
        </row>
        <row r="507">
          <cell r="A507" t="str">
            <v>58×100×3.0t</v>
          </cell>
          <cell r="C507">
            <v>0.13658999999999999</v>
          </cell>
          <cell r="J507">
            <v>6.5</v>
          </cell>
          <cell r="L507">
            <v>0.95</v>
          </cell>
          <cell r="M507">
            <v>2.2999999999999998</v>
          </cell>
          <cell r="O507">
            <v>2.2000000000000002</v>
          </cell>
          <cell r="W507" t="str">
            <v>热卷 3.0t</v>
          </cell>
          <cell r="X507" t="str">
            <v>镀锌卷 3.0t</v>
          </cell>
        </row>
        <row r="508">
          <cell r="A508" t="str">
            <v>H70×W86×2.5t</v>
          </cell>
          <cell r="C508">
            <v>0.30717050000000001</v>
          </cell>
          <cell r="J508">
            <v>6.5</v>
          </cell>
          <cell r="L508">
            <v>0.95</v>
          </cell>
          <cell r="M508">
            <v>2.2999999999999998</v>
          </cell>
          <cell r="O508">
            <v>2.2000000000000002</v>
          </cell>
          <cell r="W508" t="str">
            <v>热卷 2.5t</v>
          </cell>
          <cell r="X508" t="str">
            <v>镀锌卷 2.5t</v>
          </cell>
        </row>
        <row r="509">
          <cell r="A509" t="str">
            <v>u30/103×120×5.0t</v>
          </cell>
          <cell r="C509">
            <v>0.68294999999999995</v>
          </cell>
          <cell r="J509">
            <v>6.5</v>
          </cell>
          <cell r="L509">
            <v>0.95</v>
          </cell>
          <cell r="M509">
            <v>2.2999999999999998</v>
          </cell>
          <cell r="O509">
            <v>2.2000000000000002</v>
          </cell>
          <cell r="W509" t="str">
            <v>热卷 5.0t</v>
          </cell>
          <cell r="X509" t="str">
            <v>镀锌卷 5.0t</v>
          </cell>
        </row>
        <row r="514">
          <cell r="A514" t="str">
            <v>悬臂挡杆</v>
          </cell>
        </row>
        <row r="515">
          <cell r="A515" t="str">
            <v>φ20×2t×L220</v>
          </cell>
          <cell r="C515">
            <v>0.217021728</v>
          </cell>
          <cell r="J515">
            <v>4.2300000000000004</v>
          </cell>
          <cell r="K515">
            <v>6.91175032944167</v>
          </cell>
          <cell r="L515">
            <v>0.95</v>
          </cell>
          <cell r="M515">
            <v>2.8</v>
          </cell>
          <cell r="O515">
            <v>2.2000000000000002</v>
          </cell>
          <cell r="Q515" t="str">
            <v>ø4.5*40</v>
          </cell>
          <cell r="R515">
            <v>1</v>
          </cell>
          <cell r="W515" t="str">
            <v>圆管ø20-2.0t</v>
          </cell>
        </row>
        <row r="516">
          <cell r="A516" t="str">
            <v>φ20×2t×L360</v>
          </cell>
          <cell r="C516">
            <v>0.35512646399999998</v>
          </cell>
          <cell r="J516">
            <v>4.2300000000000004</v>
          </cell>
          <cell r="K516">
            <v>4.2238474235476904</v>
          </cell>
          <cell r="L516">
            <v>0.95</v>
          </cell>
          <cell r="M516">
            <v>2.8</v>
          </cell>
          <cell r="O516">
            <v>2.2000000000000002</v>
          </cell>
          <cell r="Q516" t="str">
            <v>ø4.5*40</v>
          </cell>
          <cell r="R516">
            <v>1</v>
          </cell>
          <cell r="W516" t="str">
            <v>圆管ø20-2.0t</v>
          </cell>
        </row>
        <row r="517">
          <cell r="A517" t="str">
            <v>φ16×2.5t×L285</v>
          </cell>
          <cell r="C517">
            <v>0.23699999999999999</v>
          </cell>
          <cell r="J517">
            <v>8.25</v>
          </cell>
          <cell r="K517">
            <v>6.3291139240506302</v>
          </cell>
          <cell r="L517">
            <v>0.95</v>
          </cell>
          <cell r="M517">
            <v>2.8</v>
          </cell>
          <cell r="O517">
            <v>2.2000000000000002</v>
          </cell>
          <cell r="W517" t="str">
            <v>无缝圆管ø16-2.5t</v>
          </cell>
        </row>
        <row r="523">
          <cell r="A523" t="str">
            <v>垫圈</v>
          </cell>
        </row>
        <row r="524">
          <cell r="A524" t="str">
            <v>ø39(ø21)×3.0t</v>
          </cell>
          <cell r="C524">
            <v>1.7000000000000001E-2</v>
          </cell>
          <cell r="E524">
            <v>11.764705882352899</v>
          </cell>
          <cell r="L524">
            <v>0.95</v>
          </cell>
          <cell r="M524">
            <v>2.2999999999999998</v>
          </cell>
          <cell r="O524">
            <v>2.2000000000000002</v>
          </cell>
        </row>
        <row r="525">
          <cell r="A525" t="str">
            <v>ø37(ø21)×3.0t</v>
          </cell>
          <cell r="C525">
            <v>1.7000000000000001E-2</v>
          </cell>
          <cell r="E525">
            <v>11.764705882352899</v>
          </cell>
          <cell r="L525">
            <v>0.95</v>
          </cell>
          <cell r="M525">
            <v>2.2999999999999998</v>
          </cell>
          <cell r="O525">
            <v>2.2000000000000002</v>
          </cell>
        </row>
        <row r="526">
          <cell r="A526" t="str">
            <v>ø30(ø20)×3.0t</v>
          </cell>
          <cell r="C526">
            <v>1.7000000000000001E-2</v>
          </cell>
          <cell r="E526">
            <v>11.764705882352899</v>
          </cell>
        </row>
        <row r="527">
          <cell r="A527" t="str">
            <v>ø30(ø17)×3.0t</v>
          </cell>
          <cell r="C527">
            <v>1.7000000000000001E-2</v>
          </cell>
          <cell r="E527">
            <v>11.764705882352899</v>
          </cell>
        </row>
        <row r="532">
          <cell r="A532" t="str">
            <v>悬臂拉杆</v>
          </cell>
          <cell r="K532" t="str">
            <v>按根</v>
          </cell>
        </row>
        <row r="533">
          <cell r="A533" t="str">
            <v>H Brace ø32×1.5t</v>
          </cell>
          <cell r="C533">
            <v>1.1279999999999999</v>
          </cell>
          <cell r="D533">
            <v>0.10048</v>
          </cell>
          <cell r="J533">
            <v>4.28</v>
          </cell>
          <cell r="K533">
            <v>1</v>
          </cell>
          <cell r="L533">
            <v>0.8</v>
          </cell>
          <cell r="M533">
            <v>3.6</v>
          </cell>
          <cell r="O533">
            <v>2.2000000000000002</v>
          </cell>
          <cell r="Q533" t="str">
            <v>M10*120 8.8G</v>
          </cell>
          <cell r="R533">
            <v>4</v>
          </cell>
          <cell r="S533" t="str">
            <v>M10*30  8.8G</v>
          </cell>
          <cell r="T533">
            <v>2</v>
          </cell>
          <cell r="W533" t="str">
            <v>退火圆管ø32-1.5t</v>
          </cell>
        </row>
        <row r="534">
          <cell r="A534" t="str">
            <v>D brace ø32×1.5t</v>
          </cell>
          <cell r="C534">
            <v>1.1279999999999999</v>
          </cell>
          <cell r="D534">
            <v>0.10048</v>
          </cell>
          <cell r="J534">
            <v>4.28</v>
          </cell>
          <cell r="K534">
            <v>1</v>
          </cell>
          <cell r="L534">
            <v>0.8</v>
          </cell>
          <cell r="M534">
            <v>3.6</v>
          </cell>
          <cell r="O534">
            <v>2.2000000000000002</v>
          </cell>
          <cell r="W534" t="str">
            <v>退火圆管ø32-1.5t</v>
          </cell>
        </row>
        <row r="535">
          <cell r="A535" t="str">
            <v xml:space="preserve">L50×4.0t </v>
          </cell>
          <cell r="C535">
            <v>3.06</v>
          </cell>
          <cell r="D535">
            <v>0.2</v>
          </cell>
          <cell r="E535">
            <v>4.13</v>
          </cell>
          <cell r="J535">
            <v>3.63</v>
          </cell>
          <cell r="K535">
            <v>1</v>
          </cell>
          <cell r="L535">
            <v>0.95</v>
          </cell>
          <cell r="W535" t="str">
            <v>角钢 L5050.4t</v>
          </cell>
          <cell r="X535" t="str">
            <v>镀锌角钢 L5050.4t</v>
          </cell>
        </row>
        <row r="536">
          <cell r="A536" t="str">
            <v>L40×4.0t</v>
          </cell>
          <cell r="C536">
            <v>2.4220000000000002</v>
          </cell>
          <cell r="D536">
            <v>0.16</v>
          </cell>
          <cell r="E536">
            <v>4.2300000000000004</v>
          </cell>
          <cell r="J536">
            <v>3.68</v>
          </cell>
          <cell r="K536">
            <v>1</v>
          </cell>
          <cell r="L536">
            <v>0.95</v>
          </cell>
          <cell r="W536" t="str">
            <v>角钢 L4040.4t</v>
          </cell>
          <cell r="X536" t="str">
            <v>镀锌角钢 L4040.4t</v>
          </cell>
        </row>
        <row r="542">
          <cell r="A542" t="str">
            <v>悬臂拉杆连接件</v>
          </cell>
        </row>
        <row r="543">
          <cell r="A543" t="str">
            <v>L105/50×H150×3t</v>
          </cell>
          <cell r="C543">
            <v>0.52987499999999998</v>
          </cell>
          <cell r="D543">
            <v>4.4999999999999998E-2</v>
          </cell>
          <cell r="J543">
            <v>7.5489502241094604</v>
          </cell>
          <cell r="L543">
            <v>0.95</v>
          </cell>
          <cell r="M543">
            <v>2.2999999999999998</v>
          </cell>
          <cell r="O543">
            <v>2.2000000000000002</v>
          </cell>
        </row>
        <row r="544">
          <cell r="A544" t="str">
            <v xml:space="preserve">L50×4.0t×H150 </v>
          </cell>
          <cell r="C544">
            <v>0.45900000000000002</v>
          </cell>
          <cell r="D544">
            <v>4.4999999999999998E-2</v>
          </cell>
          <cell r="E544">
            <v>4.13</v>
          </cell>
          <cell r="J544">
            <v>3.63</v>
          </cell>
          <cell r="K544">
            <v>1</v>
          </cell>
          <cell r="L544">
            <v>0.95</v>
          </cell>
          <cell r="M544">
            <v>2.2999999999999998</v>
          </cell>
          <cell r="O544">
            <v>2.2000000000000002</v>
          </cell>
          <cell r="Q544" t="str">
            <v>M10*110  8.8G</v>
          </cell>
          <cell r="R544">
            <v>2</v>
          </cell>
          <cell r="S544" t="str">
            <v>M10.L20</v>
          </cell>
          <cell r="T544">
            <v>2</v>
          </cell>
          <cell r="W544" t="str">
            <v>角钢 L5050.4t</v>
          </cell>
        </row>
        <row r="545">
          <cell r="A545" t="str">
            <v>Flat 50×60×5t</v>
          </cell>
          <cell r="C545">
            <v>0.11799999999999999</v>
          </cell>
          <cell r="D545">
            <v>7.4999999999999997E-3</v>
          </cell>
          <cell r="J545">
            <v>6</v>
          </cell>
          <cell r="K545">
            <v>1</v>
          </cell>
          <cell r="L545">
            <v>0.95</v>
          </cell>
          <cell r="M545">
            <v>2.2999999999999998</v>
          </cell>
          <cell r="O545">
            <v>2.2000000000000002</v>
          </cell>
          <cell r="W545" t="str">
            <v>角钢 L5050.4t</v>
          </cell>
          <cell r="X545" t="str">
            <v>镀锌角钢 L5050.4t</v>
          </cell>
        </row>
        <row r="546">
          <cell r="W546" t="str">
            <v>角钢 L5050.4t</v>
          </cell>
        </row>
        <row r="549">
          <cell r="A549" t="str">
            <v>护脚</v>
          </cell>
        </row>
        <row r="550">
          <cell r="A550" t="str">
            <v>H305×4.5t P</v>
          </cell>
          <cell r="B550" t="str">
            <v>横梁式</v>
          </cell>
          <cell r="C550">
            <v>4.8105585</v>
          </cell>
          <cell r="J550">
            <v>7.0677864119103804</v>
          </cell>
        </row>
        <row r="551">
          <cell r="A551" t="str">
            <v>H400×4.5t D</v>
          </cell>
          <cell r="B551" t="str">
            <v>驶入式</v>
          </cell>
          <cell r="C551">
            <v>6.4248403500000002</v>
          </cell>
          <cell r="J551">
            <v>7.1597109802113597</v>
          </cell>
        </row>
        <row r="552">
          <cell r="A552" t="str">
            <v>H600×4.5t D</v>
          </cell>
          <cell r="B552" t="str">
            <v>驶入式</v>
          </cell>
          <cell r="C552">
            <v>9.4839853499999993</v>
          </cell>
          <cell r="J552">
            <v>4.8502816381933798</v>
          </cell>
        </row>
        <row r="553">
          <cell r="A553" t="str">
            <v>H500×5.0t W</v>
          </cell>
          <cell r="B553" t="str">
            <v>一体式</v>
          </cell>
          <cell r="C553">
            <v>4.0557417500000001</v>
          </cell>
          <cell r="J553">
            <v>6</v>
          </cell>
        </row>
        <row r="554">
          <cell r="A554" t="str">
            <v>H1068×4.5t L</v>
          </cell>
          <cell r="B554" t="str">
            <v>角钢护脚</v>
          </cell>
          <cell r="C554">
            <v>7.2840224999999998</v>
          </cell>
          <cell r="J554">
            <v>6.5</v>
          </cell>
        </row>
        <row r="555">
          <cell r="A555" t="str">
            <v>H400×4.5t CPJA</v>
          </cell>
          <cell r="B555" t="str">
            <v>CPJ 护脚A</v>
          </cell>
          <cell r="C555">
            <v>6.3935777250000001</v>
          </cell>
          <cell r="J555">
            <v>7.1947197607580504</v>
          </cell>
        </row>
        <row r="556">
          <cell r="A556" t="str">
            <v>H400×4.5t CPJB</v>
          </cell>
          <cell r="B556" t="str">
            <v>CPJ 护脚B</v>
          </cell>
          <cell r="C556">
            <v>5.3264801249999998</v>
          </cell>
          <cell r="J556">
            <v>8.0728734531793602</v>
          </cell>
        </row>
        <row r="557">
          <cell r="A557" t="str">
            <v>H500×φ76×2.0</v>
          </cell>
          <cell r="B557" t="str">
            <v>圆管护脚</v>
          </cell>
          <cell r="C557">
            <v>2.7081249999999999</v>
          </cell>
          <cell r="J557">
            <v>7.5</v>
          </cell>
        </row>
        <row r="564">
          <cell r="A564" t="str">
            <v>钢层板筋的惯性矩及米重</v>
          </cell>
        </row>
        <row r="565">
          <cell r="A565" t="str">
            <v>厚度</v>
          </cell>
          <cell r="B565">
            <v>0.6</v>
          </cell>
          <cell r="D565">
            <v>0.7</v>
          </cell>
          <cell r="F565">
            <v>0.8</v>
          </cell>
          <cell r="H565">
            <v>1</v>
          </cell>
          <cell r="J565">
            <v>1.2</v>
          </cell>
          <cell r="N565" t="str">
            <v>横梁</v>
          </cell>
          <cell r="O565" t="str">
            <v>层板D</v>
          </cell>
          <cell r="P565" t="str">
            <v>H</v>
          </cell>
        </row>
        <row r="566">
          <cell r="A566" t="str">
            <v>筋高</v>
          </cell>
          <cell r="B566" t="str">
            <v>I</v>
          </cell>
          <cell r="C566" t="str">
            <v>kg/m</v>
          </cell>
          <cell r="D566" t="str">
            <v>I</v>
          </cell>
          <cell r="E566" t="str">
            <v>kg/m</v>
          </cell>
          <cell r="F566" t="str">
            <v>I</v>
          </cell>
          <cell r="G566" t="str">
            <v>kg/m</v>
          </cell>
          <cell r="H566" t="str">
            <v>I</v>
          </cell>
          <cell r="I566" t="str">
            <v>kg/m</v>
          </cell>
          <cell r="J566" t="str">
            <v>I</v>
          </cell>
          <cell r="K566" t="str">
            <v>kg/m</v>
          </cell>
          <cell r="N566" t="str">
            <v xml:space="preserve">P60*40  </v>
          </cell>
          <cell r="O566">
            <v>-40</v>
          </cell>
          <cell r="P566">
            <v>28</v>
          </cell>
        </row>
        <row r="567">
          <cell r="A567">
            <v>20</v>
          </cell>
          <cell r="B567">
            <v>0.45</v>
          </cell>
          <cell r="F567">
            <v>0.6</v>
          </cell>
          <cell r="L567">
            <v>20</v>
          </cell>
          <cell r="N567" t="str">
            <v xml:space="preserve">P60*40  </v>
          </cell>
          <cell r="O567">
            <v>-40</v>
          </cell>
          <cell r="P567">
            <v>28</v>
          </cell>
        </row>
        <row r="568">
          <cell r="A568">
            <v>24</v>
          </cell>
          <cell r="B568">
            <v>0.54</v>
          </cell>
          <cell r="D568">
            <v>0.63</v>
          </cell>
          <cell r="E568">
            <v>0.54</v>
          </cell>
          <cell r="L568">
            <v>25</v>
          </cell>
          <cell r="N568" t="str">
            <v>P80*50</v>
          </cell>
          <cell r="O568">
            <v>-50</v>
          </cell>
          <cell r="P568">
            <v>28</v>
          </cell>
        </row>
        <row r="569">
          <cell r="A569">
            <v>27</v>
          </cell>
          <cell r="B569">
            <v>0.71</v>
          </cell>
          <cell r="D569">
            <v>0.83</v>
          </cell>
          <cell r="E569">
            <v>0.57199999999999995</v>
          </cell>
          <cell r="F569">
            <v>0.94</v>
          </cell>
          <cell r="G569">
            <v>0.64700000000000002</v>
          </cell>
          <cell r="H569">
            <v>1.1399999999999999</v>
          </cell>
          <cell r="I569">
            <v>0.80100000000000005</v>
          </cell>
          <cell r="J569">
            <v>1.32</v>
          </cell>
          <cell r="K569">
            <v>0.94199999999999995</v>
          </cell>
          <cell r="L569">
            <v>28</v>
          </cell>
          <cell r="N569" t="str">
            <v>P80*50</v>
          </cell>
          <cell r="O569">
            <v>-50</v>
          </cell>
          <cell r="P569">
            <v>28</v>
          </cell>
        </row>
        <row r="570">
          <cell r="A570">
            <v>29</v>
          </cell>
          <cell r="B570">
            <v>0.84</v>
          </cell>
          <cell r="D570">
            <v>0.98</v>
          </cell>
          <cell r="E570">
            <v>0.59399999999999997</v>
          </cell>
          <cell r="F570">
            <v>1.1100000000000001</v>
          </cell>
          <cell r="G570">
            <v>0.67200000000000004</v>
          </cell>
          <cell r="H570">
            <v>1.34</v>
          </cell>
          <cell r="I570">
            <v>0.83299999999999996</v>
          </cell>
          <cell r="J570">
            <v>1.57</v>
          </cell>
          <cell r="K570">
            <v>0.98</v>
          </cell>
          <cell r="L570">
            <v>30</v>
          </cell>
          <cell r="N570" t="str">
            <v>PY</v>
          </cell>
          <cell r="O570">
            <v>-60</v>
          </cell>
          <cell r="P570">
            <v>40</v>
          </cell>
        </row>
        <row r="571">
          <cell r="A571">
            <v>39</v>
          </cell>
          <cell r="B571">
            <v>2.16</v>
          </cell>
          <cell r="D571">
            <v>2.52</v>
          </cell>
          <cell r="E571">
            <v>0.81899999999999995</v>
          </cell>
          <cell r="F571">
            <v>2.85</v>
          </cell>
          <cell r="G571">
            <v>0.93</v>
          </cell>
          <cell r="H571">
            <v>3.48</v>
          </cell>
          <cell r="I571">
            <v>1.1539999999999999</v>
          </cell>
          <cell r="J571">
            <v>4.09</v>
          </cell>
          <cell r="K571">
            <v>1.3660000000000001</v>
          </cell>
          <cell r="L571">
            <v>40</v>
          </cell>
        </row>
        <row r="574">
          <cell r="A574" t="str">
            <v>组合</v>
          </cell>
          <cell r="B574" t="str">
            <v>惯性矩I</v>
          </cell>
        </row>
        <row r="575">
          <cell r="A575" t="str">
            <v>20-0.6</v>
          </cell>
          <cell r="B575">
            <v>0.45</v>
          </cell>
        </row>
        <row r="576">
          <cell r="A576" t="str">
            <v>25-0.6</v>
          </cell>
          <cell r="B576">
            <v>0.54</v>
          </cell>
        </row>
        <row r="577">
          <cell r="A577" t="str">
            <v>28-0.6</v>
          </cell>
          <cell r="B577">
            <v>0.71</v>
          </cell>
        </row>
        <row r="578">
          <cell r="A578" t="str">
            <v>30-0.6</v>
          </cell>
          <cell r="B578">
            <v>0.84</v>
          </cell>
        </row>
        <row r="579">
          <cell r="A579" t="str">
            <v>40-0.6</v>
          </cell>
          <cell r="B579">
            <v>2.16</v>
          </cell>
        </row>
        <row r="580">
          <cell r="A580" t="str">
            <v>25-0.7</v>
          </cell>
          <cell r="B580">
            <v>0.63</v>
          </cell>
          <cell r="C580">
            <v>0.54</v>
          </cell>
        </row>
        <row r="581">
          <cell r="A581" t="str">
            <v>28-0.7</v>
          </cell>
          <cell r="B581">
            <v>0.83</v>
          </cell>
          <cell r="C581">
            <v>0.57199999999999995</v>
          </cell>
        </row>
        <row r="582">
          <cell r="A582" t="str">
            <v>30-0.7</v>
          </cell>
          <cell r="B582">
            <v>0.98</v>
          </cell>
          <cell r="C582">
            <v>0.59399999999999997</v>
          </cell>
        </row>
        <row r="583">
          <cell r="A583" t="str">
            <v>40-0.7</v>
          </cell>
          <cell r="B583">
            <v>2.52</v>
          </cell>
          <cell r="C583">
            <v>0.81899999999999995</v>
          </cell>
        </row>
        <row r="584">
          <cell r="A584" t="str">
            <v>20-0.8</v>
          </cell>
          <cell r="B584">
            <v>0.6</v>
          </cell>
        </row>
        <row r="585">
          <cell r="A585" t="str">
            <v>28-0.8</v>
          </cell>
          <cell r="B585">
            <v>0.94</v>
          </cell>
          <cell r="C585">
            <v>0.64700000000000002</v>
          </cell>
        </row>
        <row r="586">
          <cell r="A586" t="str">
            <v>30-0.8</v>
          </cell>
          <cell r="B586">
            <v>1.1100000000000001</v>
          </cell>
          <cell r="C586">
            <v>0.67200000000000004</v>
          </cell>
        </row>
        <row r="587">
          <cell r="A587" t="str">
            <v>40-0.8</v>
          </cell>
          <cell r="B587">
            <v>2.85</v>
          </cell>
          <cell r="C587">
            <v>0.93</v>
          </cell>
        </row>
        <row r="588">
          <cell r="A588" t="str">
            <v>28-1</v>
          </cell>
          <cell r="B588">
            <v>1.1399999999999999</v>
          </cell>
          <cell r="C588">
            <v>0.80100000000000005</v>
          </cell>
        </row>
        <row r="589">
          <cell r="A589" t="str">
            <v>30-1</v>
          </cell>
          <cell r="B589">
            <v>1.34</v>
          </cell>
          <cell r="C589">
            <v>0.83299999999999996</v>
          </cell>
        </row>
        <row r="590">
          <cell r="A590" t="str">
            <v>40-1</v>
          </cell>
          <cell r="B590">
            <v>3.48</v>
          </cell>
          <cell r="C590">
            <v>1.1539999999999999</v>
          </cell>
        </row>
        <row r="591">
          <cell r="A591" t="str">
            <v>28-1.2</v>
          </cell>
          <cell r="B591">
            <v>1.32</v>
          </cell>
          <cell r="C591">
            <v>0.94199999999999995</v>
          </cell>
        </row>
        <row r="592">
          <cell r="A592" t="str">
            <v>30-1.2</v>
          </cell>
          <cell r="B592">
            <v>1.57</v>
          </cell>
          <cell r="C592">
            <v>0.98</v>
          </cell>
        </row>
        <row r="593">
          <cell r="A593" t="str">
            <v>40-1.2</v>
          </cell>
          <cell r="B593">
            <v>4.09</v>
          </cell>
          <cell r="C593">
            <v>1.3660000000000001</v>
          </cell>
        </row>
        <row r="596">
          <cell r="A596" t="str">
            <v>方管</v>
          </cell>
        </row>
        <row r="597">
          <cell r="A597" t="str">
            <v>F30</v>
          </cell>
          <cell r="D597">
            <v>0.12</v>
          </cell>
          <cell r="G597">
            <v>120</v>
          </cell>
          <cell r="H597">
            <v>30</v>
          </cell>
          <cell r="I597">
            <v>30</v>
          </cell>
        </row>
        <row r="598">
          <cell r="A598" t="str">
            <v>F40</v>
          </cell>
          <cell r="D598">
            <v>0.16</v>
          </cell>
          <cell r="G598">
            <v>160</v>
          </cell>
          <cell r="H598">
            <v>40</v>
          </cell>
          <cell r="I598">
            <v>40</v>
          </cell>
        </row>
        <row r="599">
          <cell r="A599" t="str">
            <v>F100</v>
          </cell>
          <cell r="C599">
            <v>9.1373999999999995</v>
          </cell>
          <cell r="D599">
            <v>0.4</v>
          </cell>
          <cell r="F599">
            <v>3</v>
          </cell>
          <cell r="G599">
            <v>388</v>
          </cell>
          <cell r="H599">
            <v>100</v>
          </cell>
          <cell r="I599">
            <v>100</v>
          </cell>
          <cell r="L599">
            <v>0.95</v>
          </cell>
          <cell r="M599">
            <v>2.2999999999999998</v>
          </cell>
          <cell r="O599">
            <v>2.2000000000000002</v>
          </cell>
        </row>
        <row r="600">
          <cell r="A600" t="str">
            <v>F100</v>
          </cell>
          <cell r="C600">
            <v>12.057600000000001</v>
          </cell>
          <cell r="D600">
            <v>0.4</v>
          </cell>
          <cell r="F600">
            <v>4</v>
          </cell>
          <cell r="G600">
            <v>384</v>
          </cell>
          <cell r="H600">
            <v>100</v>
          </cell>
          <cell r="I600">
            <v>100</v>
          </cell>
          <cell r="L600">
            <v>0.95</v>
          </cell>
          <cell r="M600">
            <v>2.2999999999999998</v>
          </cell>
          <cell r="O600">
            <v>2.2000000000000002</v>
          </cell>
        </row>
        <row r="601">
          <cell r="A601" t="str">
            <v>F120</v>
          </cell>
          <cell r="C601">
            <v>11.0214</v>
          </cell>
          <cell r="D601">
            <v>0.48</v>
          </cell>
          <cell r="F601">
            <v>3</v>
          </cell>
          <cell r="G601">
            <v>468</v>
          </cell>
          <cell r="H601">
            <v>120</v>
          </cell>
          <cell r="I601">
            <v>120</v>
          </cell>
          <cell r="L601">
            <v>0.95</v>
          </cell>
          <cell r="M601">
            <v>2.2999999999999998</v>
          </cell>
          <cell r="O601">
            <v>2.2000000000000002</v>
          </cell>
        </row>
        <row r="602">
          <cell r="A602" t="str">
            <v>F120</v>
          </cell>
          <cell r="C602">
            <v>14.569599999999999</v>
          </cell>
          <cell r="D602">
            <v>0.48</v>
          </cell>
          <cell r="F602">
            <v>4</v>
          </cell>
          <cell r="G602">
            <v>464</v>
          </cell>
          <cell r="H602">
            <v>120</v>
          </cell>
          <cell r="I602">
            <v>120</v>
          </cell>
          <cell r="L602">
            <v>0.95</v>
          </cell>
          <cell r="M602">
            <v>2.2999999999999998</v>
          </cell>
          <cell r="O602">
            <v>2.2000000000000002</v>
          </cell>
        </row>
        <row r="603">
          <cell r="A603" t="str">
            <v>F150</v>
          </cell>
          <cell r="C603">
            <v>18.337599999999998</v>
          </cell>
          <cell r="D603">
            <v>0.6</v>
          </cell>
          <cell r="F603">
            <v>4</v>
          </cell>
          <cell r="G603">
            <v>584</v>
          </cell>
          <cell r="H603">
            <v>150</v>
          </cell>
          <cell r="I603">
            <v>150</v>
          </cell>
          <cell r="L603">
            <v>0.95</v>
          </cell>
          <cell r="M603">
            <v>2.2999999999999998</v>
          </cell>
          <cell r="O603">
            <v>2.2000000000000002</v>
          </cell>
        </row>
        <row r="604">
          <cell r="A604" t="str">
            <v>F150</v>
          </cell>
          <cell r="C604">
            <v>22.765000000000001</v>
          </cell>
          <cell r="D604">
            <v>0.6</v>
          </cell>
          <cell r="F604">
            <v>5</v>
          </cell>
          <cell r="G604">
            <v>580</v>
          </cell>
          <cell r="H604">
            <v>150</v>
          </cell>
          <cell r="I604">
            <v>150</v>
          </cell>
          <cell r="L604">
            <v>0.95</v>
          </cell>
          <cell r="M604">
            <v>2.2999999999999998</v>
          </cell>
          <cell r="O604">
            <v>2.2000000000000002</v>
          </cell>
        </row>
        <row r="605">
          <cell r="A605" t="str">
            <v>F180</v>
          </cell>
          <cell r="C605">
            <v>22.105599999999999</v>
          </cell>
          <cell r="D605">
            <v>0.72</v>
          </cell>
          <cell r="F605">
            <v>4</v>
          </cell>
          <cell r="G605">
            <v>704</v>
          </cell>
          <cell r="H605">
            <v>180</v>
          </cell>
          <cell r="I605">
            <v>180</v>
          </cell>
          <cell r="L605">
            <v>0.95</v>
          </cell>
          <cell r="M605">
            <v>2.2999999999999998</v>
          </cell>
          <cell r="O605">
            <v>2.2000000000000002</v>
          </cell>
        </row>
        <row r="606">
          <cell r="A606" t="str">
            <v>F180</v>
          </cell>
          <cell r="C606">
            <v>27.475000000000001</v>
          </cell>
          <cell r="D606">
            <v>0.72</v>
          </cell>
          <cell r="F606">
            <v>5</v>
          </cell>
          <cell r="G606">
            <v>700</v>
          </cell>
          <cell r="H606">
            <v>180</v>
          </cell>
          <cell r="I606">
            <v>180</v>
          </cell>
          <cell r="L606">
            <v>0.95</v>
          </cell>
          <cell r="M606">
            <v>2.2999999999999998</v>
          </cell>
          <cell r="O606">
            <v>2.2000000000000002</v>
          </cell>
        </row>
        <row r="607">
          <cell r="A607" t="str">
            <v>F200</v>
          </cell>
          <cell r="C607">
            <v>24.617599999999999</v>
          </cell>
          <cell r="D607">
            <v>0.8</v>
          </cell>
          <cell r="F607">
            <v>4</v>
          </cell>
          <cell r="G607">
            <v>784</v>
          </cell>
          <cell r="H607">
            <v>200</v>
          </cell>
          <cell r="I607">
            <v>200</v>
          </cell>
          <cell r="L607">
            <v>0.95</v>
          </cell>
          <cell r="M607">
            <v>2.2999999999999998</v>
          </cell>
          <cell r="O607">
            <v>2.2000000000000002</v>
          </cell>
        </row>
        <row r="608">
          <cell r="A608" t="str">
            <v>F200</v>
          </cell>
          <cell r="C608">
            <v>30.614999999999998</v>
          </cell>
          <cell r="D608">
            <v>0.8</v>
          </cell>
          <cell r="F608">
            <v>5</v>
          </cell>
          <cell r="G608">
            <v>780</v>
          </cell>
          <cell r="H608">
            <v>200</v>
          </cell>
          <cell r="I608">
            <v>200</v>
          </cell>
          <cell r="L608">
            <v>0.95</v>
          </cell>
          <cell r="M608">
            <v>2.2999999999999998</v>
          </cell>
          <cell r="O608">
            <v>2.2000000000000002</v>
          </cell>
        </row>
        <row r="609">
          <cell r="A609" t="str">
            <v>F200</v>
          </cell>
          <cell r="C609">
            <v>36.549599999999998</v>
          </cell>
          <cell r="D609">
            <v>0.8</v>
          </cell>
          <cell r="F609">
            <v>6</v>
          </cell>
          <cell r="G609">
            <v>776</v>
          </cell>
          <cell r="H609">
            <v>200</v>
          </cell>
          <cell r="I609">
            <v>200</v>
          </cell>
          <cell r="L609">
            <v>0.95</v>
          </cell>
          <cell r="M609">
            <v>2.2999999999999998</v>
          </cell>
          <cell r="O609">
            <v>2.2000000000000002</v>
          </cell>
        </row>
        <row r="610">
          <cell r="A610" t="str">
            <v>F250</v>
          </cell>
          <cell r="C610">
            <v>30.897600000000001</v>
          </cell>
          <cell r="D610">
            <v>1</v>
          </cell>
          <cell r="F610">
            <v>4</v>
          </cell>
          <cell r="G610">
            <v>984</v>
          </cell>
          <cell r="H610">
            <v>250</v>
          </cell>
          <cell r="I610">
            <v>250</v>
          </cell>
          <cell r="L610">
            <v>0.95</v>
          </cell>
          <cell r="M610">
            <v>2.2999999999999998</v>
          </cell>
          <cell r="O610">
            <v>2.2000000000000002</v>
          </cell>
        </row>
        <row r="611">
          <cell r="A611" t="str">
            <v>F250</v>
          </cell>
          <cell r="C611">
            <v>38.465000000000003</v>
          </cell>
          <cell r="D611">
            <v>1</v>
          </cell>
          <cell r="F611">
            <v>5</v>
          </cell>
          <cell r="G611">
            <v>980</v>
          </cell>
          <cell r="H611">
            <v>250</v>
          </cell>
          <cell r="I611">
            <v>250</v>
          </cell>
          <cell r="L611">
            <v>0.95</v>
          </cell>
          <cell r="M611">
            <v>2.2999999999999998</v>
          </cell>
          <cell r="O611">
            <v>2.2000000000000002</v>
          </cell>
        </row>
        <row r="612">
          <cell r="A612" t="str">
            <v>F250</v>
          </cell>
          <cell r="C612">
            <v>45.9696</v>
          </cell>
          <cell r="D612">
            <v>1</v>
          </cell>
          <cell r="F612">
            <v>6</v>
          </cell>
          <cell r="G612">
            <v>976</v>
          </cell>
          <cell r="H612">
            <v>250</v>
          </cell>
          <cell r="I612">
            <v>250</v>
          </cell>
          <cell r="L612">
            <v>0.95</v>
          </cell>
          <cell r="M612">
            <v>2.2999999999999998</v>
          </cell>
          <cell r="O612">
            <v>2.2000000000000002</v>
          </cell>
        </row>
        <row r="613">
          <cell r="A613" t="str">
            <v>F300</v>
          </cell>
          <cell r="C613">
            <v>37.177599999999998</v>
          </cell>
          <cell r="D613">
            <v>1.2</v>
          </cell>
          <cell r="F613">
            <v>4</v>
          </cell>
          <cell r="G613">
            <v>1184</v>
          </cell>
          <cell r="H613">
            <v>300</v>
          </cell>
          <cell r="I613">
            <v>300</v>
          </cell>
          <cell r="L613">
            <v>0.95</v>
          </cell>
          <cell r="M613">
            <v>2.2999999999999998</v>
          </cell>
          <cell r="O613">
            <v>2.2000000000000002</v>
          </cell>
        </row>
        <row r="614">
          <cell r="A614" t="str">
            <v>F300</v>
          </cell>
          <cell r="C614">
            <v>46.314999999999998</v>
          </cell>
          <cell r="D614">
            <v>1.2</v>
          </cell>
          <cell r="F614">
            <v>5</v>
          </cell>
          <cell r="G614">
            <v>1180</v>
          </cell>
          <cell r="H614">
            <v>300</v>
          </cell>
          <cell r="I614">
            <v>300</v>
          </cell>
          <cell r="L614">
            <v>0.95</v>
          </cell>
          <cell r="M614">
            <v>2.2999999999999998</v>
          </cell>
          <cell r="O614">
            <v>2.2000000000000002</v>
          </cell>
        </row>
        <row r="615">
          <cell r="A615" t="str">
            <v>F300</v>
          </cell>
          <cell r="C615">
            <v>55.389600000000002</v>
          </cell>
          <cell r="D615">
            <v>1.2</v>
          </cell>
          <cell r="F615">
            <v>6</v>
          </cell>
          <cell r="G615">
            <v>1176</v>
          </cell>
          <cell r="H615">
            <v>300</v>
          </cell>
          <cell r="I615">
            <v>300</v>
          </cell>
          <cell r="L615">
            <v>0.95</v>
          </cell>
          <cell r="M615">
            <v>2.2999999999999998</v>
          </cell>
          <cell r="O615">
            <v>2.2000000000000002</v>
          </cell>
        </row>
        <row r="617">
          <cell r="A617" t="str">
            <v>以下自由编辑区</v>
          </cell>
        </row>
      </sheetData>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 price 恒鑫荣"/>
      <sheetName val="SaleOrder Management"/>
      <sheetName val="Price PDF"/>
      <sheetName val="设计清单"/>
      <sheetName val="报价辅助计算"/>
      <sheetName val="报价辅助计算模板"/>
      <sheetName val="常规材料表"/>
      <sheetName val="Sheet1"/>
      <sheetName val="下拉菜单"/>
      <sheetName val="材料信息更新"/>
      <sheetName val="部件清单"/>
      <sheetName val="历史价格"/>
      <sheetName val="客户清单"/>
      <sheetName val="柱片老表"/>
      <sheetName val="横斜撑"/>
      <sheetName val="标准件价格"/>
      <sheetName val="穿梭板部件价格"/>
      <sheetName val="美式P梁价格"/>
      <sheetName val="标准件 每周更新"/>
    </sheetNames>
    <sheetDataSet>
      <sheetData sheetId="0" refreshError="1"/>
      <sheetData sheetId="1" refreshError="1"/>
      <sheetData sheetId="2" refreshError="1"/>
      <sheetData sheetId="3" refreshError="1"/>
      <sheetData sheetId="4"/>
      <sheetData sheetId="5" refreshError="1"/>
      <sheetData sheetId="6">
        <row r="1">
          <cell r="A1" t="str">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D1">
            <v>30</v>
          </cell>
        </row>
        <row r="2">
          <cell r="A2" t="str">
            <v>Product</v>
          </cell>
          <cell r="B2" t="str">
            <v>产品 (2021年4月）</v>
          </cell>
          <cell r="C2" t="str">
            <v>重量 kg</v>
          </cell>
          <cell r="D2" t="str">
            <v>面积 m2</v>
          </cell>
          <cell r="E2" t="str">
            <v>预镀锌单价</v>
          </cell>
          <cell r="F2" t="str">
            <v>厚度 mm</v>
          </cell>
          <cell r="G2" t="str">
            <v>料宽 mm</v>
          </cell>
          <cell r="H2" t="str">
            <v>L1 mm</v>
          </cell>
          <cell r="I2" t="str">
            <v>L2 mm</v>
          </cell>
          <cell r="J2" t="str">
            <v>热卷单价</v>
          </cell>
          <cell r="K2" t="str">
            <v>工费单价</v>
          </cell>
          <cell r="L2" t="str">
            <v>喷塑</v>
          </cell>
          <cell r="M2" t="str">
            <v>热镀锌</v>
          </cell>
          <cell r="N2" t="str">
            <v>预镀锌包装费</v>
          </cell>
          <cell r="O2" t="str">
            <v>冷镀锌</v>
          </cell>
          <cell r="P2" t="str">
            <v>额外成本</v>
          </cell>
          <cell r="Q2" t="str">
            <v>配件1</v>
          </cell>
          <cell r="R2" t="str">
            <v>配件1数量</v>
          </cell>
          <cell r="S2" t="str">
            <v>配件2</v>
          </cell>
          <cell r="T2" t="str">
            <v>配件2数量</v>
          </cell>
          <cell r="U2" t="str">
            <v>配件3</v>
          </cell>
          <cell r="V2" t="str">
            <v>配件3数量</v>
          </cell>
          <cell r="W2" t="str">
            <v>热卷单价搜索词</v>
          </cell>
          <cell r="X2" t="str">
            <v>预镀锌单价搜索词</v>
          </cell>
          <cell r="Y2" t="str">
            <v>Q355镀锌卷</v>
          </cell>
          <cell r="Z2" t="str">
            <v>产品类型</v>
          </cell>
          <cell r="AA2" t="str">
            <v>报价描述 中文</v>
          </cell>
          <cell r="AB2" t="str">
            <v>报价描述</v>
          </cell>
          <cell r="AC2" t="str">
            <v>Q355黑卷单价</v>
          </cell>
          <cell r="AD2" t="str">
            <v>Q355预镀锌单价</v>
          </cell>
          <cell r="AE2" t="str">
            <v>边距</v>
          </cell>
        </row>
        <row r="3">
          <cell r="A3" t="str">
            <v>中型黑卷立柱</v>
          </cell>
          <cell r="AE3" t="str">
            <v>待完善</v>
          </cell>
        </row>
        <row r="4">
          <cell r="A4" t="str">
            <v>L5547-15</v>
          </cell>
          <cell r="B4" t="str">
            <v>AB不带小边148MM展开</v>
          </cell>
          <cell r="C4">
            <v>1.754475</v>
          </cell>
          <cell r="D4">
            <v>0.29799999999999999</v>
          </cell>
          <cell r="E4">
            <v>4.1100000000000003</v>
          </cell>
          <cell r="F4">
            <v>1.5</v>
          </cell>
          <cell r="G4">
            <v>149</v>
          </cell>
          <cell r="H4">
            <v>372.5</v>
          </cell>
          <cell r="J4">
            <v>3.77</v>
          </cell>
          <cell r="K4">
            <v>1.8</v>
          </cell>
          <cell r="L4">
            <v>9</v>
          </cell>
          <cell r="N4">
            <v>0.2</v>
          </cell>
          <cell r="W4" t="str">
            <v>热卷 1.5t</v>
          </cell>
          <cell r="X4" t="str">
            <v>镀锌卷 1.5t</v>
          </cell>
          <cell r="Z4" t="str">
            <v>中型黑卷立柱</v>
          </cell>
          <cell r="AB4" t="str">
            <v>55*47*1.5 mm,</v>
          </cell>
          <cell r="AC4">
            <v>4.0199999999999996</v>
          </cell>
          <cell r="AD4">
            <v>4.6100000000000003</v>
          </cell>
          <cell r="AE4">
            <v>38.5</v>
          </cell>
        </row>
        <row r="5">
          <cell r="A5" t="str">
            <v>L5547-18</v>
          </cell>
          <cell r="C5">
            <v>2.1053700000000002</v>
          </cell>
          <cell r="D5">
            <v>0.29799999999999999</v>
          </cell>
          <cell r="E5">
            <v>4.03</v>
          </cell>
          <cell r="F5">
            <v>1.8</v>
          </cell>
          <cell r="G5">
            <v>149</v>
          </cell>
          <cell r="H5">
            <v>372.5</v>
          </cell>
          <cell r="J5">
            <v>3.65</v>
          </cell>
          <cell r="K5">
            <v>1.8</v>
          </cell>
          <cell r="L5">
            <v>9</v>
          </cell>
          <cell r="N5">
            <v>0.2</v>
          </cell>
          <cell r="W5" t="str">
            <v>热卷 1.8t</v>
          </cell>
          <cell r="X5" t="str">
            <v>镀锌卷 1.8t</v>
          </cell>
          <cell r="Y5" t="str">
            <v>Q355镀锌卷 1.8t</v>
          </cell>
          <cell r="Z5" t="str">
            <v>中型黑卷立柱</v>
          </cell>
          <cell r="AB5" t="str">
            <v>55*47*1.8 mm,</v>
          </cell>
          <cell r="AC5">
            <v>3.9</v>
          </cell>
          <cell r="AD5">
            <v>4.53</v>
          </cell>
          <cell r="AE5">
            <v>38.5</v>
          </cell>
        </row>
        <row r="6">
          <cell r="A6" t="str">
            <v>L55C47RF-15</v>
          </cell>
          <cell r="B6" t="str">
            <v>AB带小边161MM展开</v>
          </cell>
          <cell r="C6">
            <v>1.9075500000000001</v>
          </cell>
          <cell r="D6">
            <v>0.32400000000000001</v>
          </cell>
          <cell r="E6">
            <v>4.1100000000000003</v>
          </cell>
          <cell r="F6">
            <v>1.5</v>
          </cell>
          <cell r="G6">
            <v>162</v>
          </cell>
          <cell r="H6">
            <v>405</v>
          </cell>
          <cell r="J6">
            <v>3.77</v>
          </cell>
          <cell r="K6">
            <v>1.8</v>
          </cell>
          <cell r="L6">
            <v>9</v>
          </cell>
          <cell r="N6">
            <v>0.2</v>
          </cell>
          <cell r="W6" t="str">
            <v>热卷 1.5t</v>
          </cell>
          <cell r="X6" t="str">
            <v>镀锌卷 1.5t</v>
          </cell>
          <cell r="Z6" t="str">
            <v>中型黑卷立柱</v>
          </cell>
          <cell r="AB6" t="str">
            <v>55*47*1.5 mm,</v>
          </cell>
          <cell r="AC6">
            <v>4.0199999999999996</v>
          </cell>
          <cell r="AD6">
            <v>4.6100000000000003</v>
          </cell>
          <cell r="AE6">
            <v>38.5</v>
          </cell>
        </row>
        <row r="7">
          <cell r="A7" t="str">
            <v>L55C47RF-18</v>
          </cell>
          <cell r="B7" t="str">
            <v>C不带小边161MM展开</v>
          </cell>
          <cell r="C7">
            <v>2.2890600000000001</v>
          </cell>
          <cell r="D7">
            <v>0.32400000000000001</v>
          </cell>
          <cell r="E7">
            <v>4.03</v>
          </cell>
          <cell r="F7">
            <v>1.8</v>
          </cell>
          <cell r="G7">
            <v>162</v>
          </cell>
          <cell r="H7">
            <v>405</v>
          </cell>
          <cell r="J7">
            <v>3.65</v>
          </cell>
          <cell r="K7">
            <v>1.8</v>
          </cell>
          <cell r="L7">
            <v>9</v>
          </cell>
          <cell r="N7">
            <v>0.2</v>
          </cell>
          <cell r="W7" t="str">
            <v>热卷 1.8t</v>
          </cell>
          <cell r="X7" t="str">
            <v>镀锌卷 1.8t</v>
          </cell>
          <cell r="Y7" t="str">
            <v>Q355镀锌卷 1.8t</v>
          </cell>
          <cell r="Z7" t="str">
            <v>中型黑卷立柱</v>
          </cell>
          <cell r="AB7" t="str">
            <v>55*47*1.8 mm,</v>
          </cell>
          <cell r="AC7">
            <v>3.9</v>
          </cell>
          <cell r="AD7">
            <v>4.53</v>
          </cell>
          <cell r="AE7">
            <v>38.5</v>
          </cell>
        </row>
        <row r="8">
          <cell r="A8" t="str">
            <v>L5549-15</v>
          </cell>
          <cell r="C8">
            <v>1.9075500000000001</v>
          </cell>
          <cell r="D8">
            <v>0.32400000000000001</v>
          </cell>
          <cell r="E8">
            <v>4.1100000000000003</v>
          </cell>
          <cell r="F8">
            <v>1.5</v>
          </cell>
          <cell r="G8">
            <v>162</v>
          </cell>
          <cell r="H8">
            <v>405</v>
          </cell>
          <cell r="J8">
            <v>3.77</v>
          </cell>
          <cell r="K8">
            <v>1.8</v>
          </cell>
          <cell r="L8">
            <v>9</v>
          </cell>
          <cell r="N8">
            <v>0.2</v>
          </cell>
          <cell r="W8" t="str">
            <v>热卷 1.5t</v>
          </cell>
          <cell r="X8" t="str">
            <v>镀锌卷 1.5t</v>
          </cell>
          <cell r="Z8" t="str">
            <v>中型黑卷立柱</v>
          </cell>
          <cell r="AB8" t="str">
            <v>55*49*1.5 mm,</v>
          </cell>
          <cell r="AC8">
            <v>4.0199999999999996</v>
          </cell>
          <cell r="AD8">
            <v>4.6100000000000003</v>
          </cell>
          <cell r="AE8">
            <v>38.5</v>
          </cell>
        </row>
        <row r="9">
          <cell r="A9" t="str">
            <v>L5550RF-15</v>
          </cell>
          <cell r="C9">
            <v>1.9075500000000001</v>
          </cell>
          <cell r="D9">
            <v>0.32400000000000001</v>
          </cell>
          <cell r="E9">
            <v>4.1100000000000003</v>
          </cell>
          <cell r="F9">
            <v>1.5</v>
          </cell>
          <cell r="G9">
            <v>162</v>
          </cell>
          <cell r="H9">
            <v>405</v>
          </cell>
          <cell r="J9">
            <v>3.77</v>
          </cell>
          <cell r="K9">
            <v>1.8</v>
          </cell>
          <cell r="L9">
            <v>9</v>
          </cell>
          <cell r="N9">
            <v>0.2</v>
          </cell>
          <cell r="W9" t="str">
            <v>热卷 1.5t</v>
          </cell>
          <cell r="X9" t="str">
            <v>镀锌卷 1.5t</v>
          </cell>
          <cell r="Z9" t="str">
            <v>中型黑卷立柱</v>
          </cell>
          <cell r="AB9" t="str">
            <v>55*50*1.5 mm,</v>
          </cell>
          <cell r="AC9">
            <v>4.0199999999999996</v>
          </cell>
          <cell r="AD9">
            <v>4.6100000000000003</v>
          </cell>
          <cell r="AE9">
            <v>38.5</v>
          </cell>
        </row>
        <row r="10">
          <cell r="A10" t="str">
            <v>L5550RF-18</v>
          </cell>
          <cell r="B10" t="str">
            <v>C带小边175MM展开</v>
          </cell>
          <cell r="C10">
            <v>2.2890600000000001</v>
          </cell>
          <cell r="D10">
            <v>0.32400000000000001</v>
          </cell>
          <cell r="E10">
            <v>4.03</v>
          </cell>
          <cell r="F10">
            <v>1.8</v>
          </cell>
          <cell r="G10">
            <v>162</v>
          </cell>
          <cell r="H10">
            <v>405</v>
          </cell>
          <cell r="J10">
            <v>3.65</v>
          </cell>
          <cell r="K10">
            <v>1.8</v>
          </cell>
          <cell r="L10">
            <v>9</v>
          </cell>
          <cell r="N10">
            <v>0.2</v>
          </cell>
          <cell r="W10" t="str">
            <v>热卷 1.8t</v>
          </cell>
          <cell r="X10" t="str">
            <v>镀锌卷 1.8t</v>
          </cell>
          <cell r="Y10" t="str">
            <v>Q355镀锌卷 1.8t</v>
          </cell>
          <cell r="Z10" t="str">
            <v>中型黑卷立柱</v>
          </cell>
          <cell r="AB10" t="str">
            <v>55*50*1.8 mm,</v>
          </cell>
          <cell r="AC10">
            <v>3.9</v>
          </cell>
          <cell r="AD10">
            <v>4.53</v>
          </cell>
          <cell r="AE10">
            <v>38.5</v>
          </cell>
        </row>
        <row r="11">
          <cell r="A11" t="str">
            <v>L6050-15</v>
          </cell>
          <cell r="C11">
            <v>1.9782</v>
          </cell>
          <cell r="D11">
            <v>0.33600000000000002</v>
          </cell>
          <cell r="E11">
            <v>4.1100000000000003</v>
          </cell>
          <cell r="F11">
            <v>1.5</v>
          </cell>
          <cell r="G11">
            <v>168</v>
          </cell>
          <cell r="H11">
            <v>420</v>
          </cell>
          <cell r="J11">
            <v>3.77</v>
          </cell>
          <cell r="K11">
            <v>0</v>
          </cell>
          <cell r="L11">
            <v>9</v>
          </cell>
          <cell r="N11">
            <v>0.2</v>
          </cell>
          <cell r="W11" t="str">
            <v>热卷 1.5t</v>
          </cell>
          <cell r="X11" t="str">
            <v>镀锌卷 1.5t</v>
          </cell>
          <cell r="AB11" t="str">
            <v>60*50*1.5 mm,</v>
          </cell>
          <cell r="AC11">
            <v>4.0199999999999996</v>
          </cell>
          <cell r="AD11">
            <v>4.6100000000000003</v>
          </cell>
          <cell r="AE11">
            <v>38.5</v>
          </cell>
        </row>
        <row r="12">
          <cell r="A12" t="str">
            <v>L6050-18</v>
          </cell>
          <cell r="C12">
            <v>2.37384</v>
          </cell>
          <cell r="D12">
            <v>0.33600000000000002</v>
          </cell>
          <cell r="E12">
            <v>4.1100000000000003</v>
          </cell>
          <cell r="F12">
            <v>1.8</v>
          </cell>
          <cell r="G12">
            <v>168</v>
          </cell>
          <cell r="H12">
            <v>420</v>
          </cell>
          <cell r="J12">
            <v>3.77</v>
          </cell>
          <cell r="K12">
            <v>0</v>
          </cell>
          <cell r="L12">
            <v>9</v>
          </cell>
          <cell r="N12">
            <v>0.2</v>
          </cell>
          <cell r="W12" t="str">
            <v>热卷 1.5t</v>
          </cell>
          <cell r="X12" t="str">
            <v>镀锌卷 1.5t</v>
          </cell>
          <cell r="AB12" t="str">
            <v>60*50*1.8 mm,</v>
          </cell>
          <cell r="AC12">
            <v>4.0199999999999996</v>
          </cell>
          <cell r="AD12">
            <v>4.6100000000000003</v>
          </cell>
          <cell r="AE12">
            <v>38.5</v>
          </cell>
        </row>
        <row r="18">
          <cell r="A18" t="str">
            <v>重型立柱</v>
          </cell>
        </row>
        <row r="19">
          <cell r="A19" t="str">
            <v>8060-20</v>
          </cell>
          <cell r="C19">
            <v>3.14</v>
          </cell>
          <cell r="D19">
            <v>0.4</v>
          </cell>
          <cell r="E19">
            <v>4</v>
          </cell>
          <cell r="F19">
            <v>2</v>
          </cell>
          <cell r="G19">
            <v>200</v>
          </cell>
          <cell r="H19">
            <v>500</v>
          </cell>
          <cell r="J19">
            <v>3.63</v>
          </cell>
          <cell r="K19">
            <v>2.2000000000000002</v>
          </cell>
          <cell r="L19">
            <v>9</v>
          </cell>
          <cell r="M19" t="str">
            <v>待定</v>
          </cell>
          <cell r="N19">
            <v>0.4</v>
          </cell>
          <cell r="O19" t="str">
            <v>待定</v>
          </cell>
          <cell r="P19">
            <v>0.2</v>
          </cell>
          <cell r="W19" t="str">
            <v>热卷 2.0t</v>
          </cell>
          <cell r="X19" t="str">
            <v>镀锌卷 2.0t</v>
          </cell>
          <cell r="Y19" t="str">
            <v>Q355镀锌卷 2.0t</v>
          </cell>
          <cell r="AB19" t="str">
            <v>80*60*2 mm,</v>
          </cell>
          <cell r="AC19">
            <v>3.9299999999999997</v>
          </cell>
          <cell r="AD19">
            <v>4.8</v>
          </cell>
          <cell r="AE19">
            <v>54</v>
          </cell>
        </row>
        <row r="20">
          <cell r="A20" t="str">
            <v>9068-18</v>
          </cell>
          <cell r="C20">
            <v>3.2781600000000002</v>
          </cell>
          <cell r="D20">
            <v>0.46400000000000002</v>
          </cell>
          <cell r="E20">
            <v>4.03</v>
          </cell>
          <cell r="F20">
            <v>1.8</v>
          </cell>
          <cell r="G20">
            <v>232</v>
          </cell>
          <cell r="H20">
            <v>580</v>
          </cell>
          <cell r="J20">
            <v>3.65</v>
          </cell>
          <cell r="K20">
            <v>2.2000000000000002</v>
          </cell>
          <cell r="L20">
            <v>9</v>
          </cell>
          <cell r="M20" t="str">
            <v>待定</v>
          </cell>
          <cell r="N20">
            <v>0.4</v>
          </cell>
          <cell r="O20" t="str">
            <v>待定</v>
          </cell>
          <cell r="P20">
            <v>0.2</v>
          </cell>
          <cell r="W20" t="str">
            <v>热卷 1.8t</v>
          </cell>
          <cell r="X20" t="str">
            <v>镀锌卷 1.8t</v>
          </cell>
          <cell r="Y20" t="str">
            <v>Q355镀锌卷 1.8t</v>
          </cell>
          <cell r="AB20" t="str">
            <v>90*68*1.8 mm,</v>
          </cell>
          <cell r="AC20">
            <v>3.9499999999999997</v>
          </cell>
          <cell r="AD20">
            <v>4.83</v>
          </cell>
          <cell r="AE20">
            <v>54</v>
          </cell>
        </row>
        <row r="21">
          <cell r="A21" t="str">
            <v>9068-20</v>
          </cell>
          <cell r="C21">
            <v>3.6423999999999999</v>
          </cell>
          <cell r="D21">
            <v>0.46400000000000002</v>
          </cell>
          <cell r="E21">
            <v>4</v>
          </cell>
          <cell r="F21">
            <v>2</v>
          </cell>
          <cell r="G21">
            <v>232</v>
          </cell>
          <cell r="H21">
            <v>580</v>
          </cell>
          <cell r="J21">
            <v>3.63</v>
          </cell>
          <cell r="K21">
            <v>2.2000000000000002</v>
          </cell>
          <cell r="L21">
            <v>9</v>
          </cell>
          <cell r="M21" t="str">
            <v>待定</v>
          </cell>
          <cell r="N21">
            <v>0.4</v>
          </cell>
          <cell r="O21" t="str">
            <v>待定</v>
          </cell>
          <cell r="P21">
            <v>0.2</v>
          </cell>
          <cell r="W21" t="str">
            <v>热卷 2.0t</v>
          </cell>
          <cell r="X21" t="str">
            <v>镀锌卷 2.0t</v>
          </cell>
          <cell r="Y21" t="str">
            <v>Q355镀锌卷 2.0t</v>
          </cell>
          <cell r="AB21" t="str">
            <v>90*68*2 mm,</v>
          </cell>
          <cell r="AC21">
            <v>3.9299999999999997</v>
          </cell>
          <cell r="AD21">
            <v>4.8</v>
          </cell>
          <cell r="AE21">
            <v>54</v>
          </cell>
        </row>
        <row r="22">
          <cell r="A22" t="str">
            <v>9070-18</v>
          </cell>
          <cell r="C22">
            <v>3.51837</v>
          </cell>
          <cell r="D22">
            <v>0.498</v>
          </cell>
          <cell r="E22">
            <v>4.03</v>
          </cell>
          <cell r="F22">
            <v>1.8</v>
          </cell>
          <cell r="G22">
            <v>249</v>
          </cell>
          <cell r="H22">
            <v>622.5</v>
          </cell>
          <cell r="J22">
            <v>3.65</v>
          </cell>
          <cell r="K22">
            <v>2.2000000000000002</v>
          </cell>
          <cell r="L22">
            <v>9</v>
          </cell>
          <cell r="M22" t="str">
            <v>待定</v>
          </cell>
          <cell r="N22">
            <v>0.4</v>
          </cell>
          <cell r="O22" t="str">
            <v>待定</v>
          </cell>
          <cell r="P22">
            <v>0.2</v>
          </cell>
          <cell r="W22" t="str">
            <v>热卷 1.8t</v>
          </cell>
          <cell r="X22" t="str">
            <v>镀锌卷 1.8t</v>
          </cell>
          <cell r="Y22" t="str">
            <v>Q355镀锌卷 1.8t</v>
          </cell>
          <cell r="AB22" t="str">
            <v>90*70*1.8 mm,</v>
          </cell>
          <cell r="AC22">
            <v>3.9499999999999997</v>
          </cell>
          <cell r="AD22">
            <v>4.83</v>
          </cell>
          <cell r="AE22">
            <v>54</v>
          </cell>
        </row>
        <row r="23">
          <cell r="A23" t="str">
            <v>9070-20</v>
          </cell>
          <cell r="C23">
            <v>3.9093</v>
          </cell>
          <cell r="D23">
            <v>0.498</v>
          </cell>
          <cell r="E23">
            <v>4</v>
          </cell>
          <cell r="F23">
            <v>2</v>
          </cell>
          <cell r="G23">
            <v>249</v>
          </cell>
          <cell r="H23">
            <v>622.5</v>
          </cell>
          <cell r="J23">
            <v>3.63</v>
          </cell>
          <cell r="K23">
            <v>2.2000000000000002</v>
          </cell>
          <cell r="L23">
            <v>9</v>
          </cell>
          <cell r="M23" t="str">
            <v>待定</v>
          </cell>
          <cell r="N23">
            <v>0.4</v>
          </cell>
          <cell r="O23" t="str">
            <v>待定</v>
          </cell>
          <cell r="P23">
            <v>0.2</v>
          </cell>
          <cell r="W23" t="str">
            <v>热卷 2.0t</v>
          </cell>
          <cell r="X23" t="str">
            <v>镀锌卷 2.0t</v>
          </cell>
          <cell r="Y23" t="str">
            <v>Q355镀锌卷 2.0t</v>
          </cell>
          <cell r="AB23" t="str">
            <v>90*70*2 mm,</v>
          </cell>
          <cell r="AC23">
            <v>3.9299999999999997</v>
          </cell>
          <cell r="AD23">
            <v>4.8</v>
          </cell>
          <cell r="AE23">
            <v>54</v>
          </cell>
        </row>
        <row r="24">
          <cell r="A24" t="str">
            <v>9070-23</v>
          </cell>
          <cell r="C24">
            <v>4.4956950000000004</v>
          </cell>
          <cell r="D24">
            <v>0.498</v>
          </cell>
          <cell r="E24">
            <v>4</v>
          </cell>
          <cell r="F24">
            <v>2.2999999999999998</v>
          </cell>
          <cell r="G24">
            <v>249</v>
          </cell>
          <cell r="H24">
            <v>622.5</v>
          </cell>
          <cell r="J24">
            <v>3.55</v>
          </cell>
          <cell r="K24">
            <v>2.2000000000000002</v>
          </cell>
          <cell r="L24">
            <v>9</v>
          </cell>
          <cell r="M24" t="str">
            <v>待定</v>
          </cell>
          <cell r="N24">
            <v>0.4</v>
          </cell>
          <cell r="O24" t="str">
            <v>待定</v>
          </cell>
          <cell r="P24">
            <v>0.2</v>
          </cell>
          <cell r="W24" t="str">
            <v>热卷 2.3t</v>
          </cell>
          <cell r="X24" t="str">
            <v>镀锌卷 2.3t</v>
          </cell>
          <cell r="AB24" t="str">
            <v>90*70*2.3 mm,</v>
          </cell>
          <cell r="AC24">
            <v>3.8499999999999996</v>
          </cell>
          <cell r="AD24">
            <v>4.8</v>
          </cell>
          <cell r="AE24">
            <v>54</v>
          </cell>
        </row>
        <row r="25">
          <cell r="A25" t="str">
            <v>10070-20</v>
          </cell>
          <cell r="C25">
            <v>4.2389999999999999</v>
          </cell>
          <cell r="D25">
            <v>0.54</v>
          </cell>
          <cell r="E25">
            <v>4</v>
          </cell>
          <cell r="F25">
            <v>2</v>
          </cell>
          <cell r="G25">
            <v>270</v>
          </cell>
          <cell r="H25">
            <v>675</v>
          </cell>
          <cell r="J25">
            <v>3.63</v>
          </cell>
          <cell r="K25">
            <v>2.2000000000000002</v>
          </cell>
          <cell r="L25">
            <v>9</v>
          </cell>
          <cell r="M25" t="str">
            <v>待定</v>
          </cell>
          <cell r="N25">
            <v>0.6</v>
          </cell>
          <cell r="O25" t="str">
            <v>待定</v>
          </cell>
          <cell r="P25">
            <v>0.2</v>
          </cell>
          <cell r="W25" t="str">
            <v>热卷 2.0t</v>
          </cell>
          <cell r="X25" t="str">
            <v>镀锌卷 2.0t</v>
          </cell>
          <cell r="Y25" t="str">
            <v>Q355镀锌卷 2.0t</v>
          </cell>
          <cell r="AB25" t="str">
            <v>100*70*2 mm,</v>
          </cell>
          <cell r="AC25">
            <v>3.9299999999999997</v>
          </cell>
          <cell r="AD25">
            <v>4.8</v>
          </cell>
          <cell r="AE25">
            <v>54</v>
          </cell>
        </row>
        <row r="26">
          <cell r="A26" t="str">
            <v>10070-23</v>
          </cell>
          <cell r="C26">
            <v>4.8748500000000003</v>
          </cell>
          <cell r="D26">
            <v>0.54</v>
          </cell>
          <cell r="E26">
            <v>4</v>
          </cell>
          <cell r="F26">
            <v>2.2999999999999998</v>
          </cell>
          <cell r="G26">
            <v>270</v>
          </cell>
          <cell r="H26">
            <v>675</v>
          </cell>
          <cell r="J26">
            <v>3.55</v>
          </cell>
          <cell r="K26">
            <v>2.2000000000000002</v>
          </cell>
          <cell r="L26">
            <v>9</v>
          </cell>
          <cell r="M26" t="str">
            <v>待定</v>
          </cell>
          <cell r="N26">
            <v>0.6</v>
          </cell>
          <cell r="O26" t="str">
            <v>待定</v>
          </cell>
          <cell r="P26">
            <v>0.2</v>
          </cell>
          <cell r="W26" t="str">
            <v>热卷 2.3t</v>
          </cell>
          <cell r="X26" t="str">
            <v>镀锌卷 2.3t</v>
          </cell>
          <cell r="AB26" t="str">
            <v>100*70*2.3 mm,</v>
          </cell>
          <cell r="AC26">
            <v>3.8499999999999996</v>
          </cell>
          <cell r="AD26">
            <v>4.8</v>
          </cell>
          <cell r="AE26">
            <v>54</v>
          </cell>
        </row>
        <row r="27">
          <cell r="A27" t="str">
            <v>10070-25</v>
          </cell>
          <cell r="C27">
            <v>5.2987500000000001</v>
          </cell>
          <cell r="D27">
            <v>0.54</v>
          </cell>
          <cell r="E27">
            <v>4</v>
          </cell>
          <cell r="F27">
            <v>2.5</v>
          </cell>
          <cell r="G27">
            <v>270</v>
          </cell>
          <cell r="H27">
            <v>675</v>
          </cell>
          <cell r="J27">
            <v>3.57</v>
          </cell>
          <cell r="K27">
            <v>2.2000000000000002</v>
          </cell>
          <cell r="L27">
            <v>9</v>
          </cell>
          <cell r="M27" t="str">
            <v>待定</v>
          </cell>
          <cell r="N27">
            <v>0.6</v>
          </cell>
          <cell r="O27" t="str">
            <v>待定</v>
          </cell>
          <cell r="P27">
            <v>0.2</v>
          </cell>
          <cell r="W27" t="str">
            <v>热卷 2.5t</v>
          </cell>
          <cell r="X27" t="str">
            <v>镀锌卷 2.5t</v>
          </cell>
          <cell r="Y27" t="str">
            <v>Q355镀锌卷 2.5t</v>
          </cell>
          <cell r="AB27" t="str">
            <v>100*70*2.5 mm,</v>
          </cell>
          <cell r="AC27">
            <v>3.8699999999999997</v>
          </cell>
          <cell r="AD27">
            <v>4.8</v>
          </cell>
          <cell r="AE27">
            <v>54</v>
          </cell>
        </row>
        <row r="28">
          <cell r="A28" t="str">
            <v>10070-275</v>
          </cell>
          <cell r="C28">
            <v>5.8286249999999997</v>
          </cell>
          <cell r="D28">
            <v>0.54</v>
          </cell>
          <cell r="E28">
            <v>4</v>
          </cell>
          <cell r="F28">
            <v>2.75</v>
          </cell>
          <cell r="G28">
            <v>270</v>
          </cell>
          <cell r="H28">
            <v>675</v>
          </cell>
          <cell r="J28">
            <v>3.52</v>
          </cell>
          <cell r="K28">
            <v>2.2000000000000002</v>
          </cell>
          <cell r="L28">
            <v>9</v>
          </cell>
          <cell r="M28" t="str">
            <v>待定</v>
          </cell>
          <cell r="N28">
            <v>0.6</v>
          </cell>
          <cell r="O28" t="str">
            <v>待定</v>
          </cell>
          <cell r="P28">
            <v>0.2</v>
          </cell>
          <cell r="W28" t="str">
            <v>热卷 2.75t</v>
          </cell>
          <cell r="X28" t="str">
            <v>镀锌卷 2.75t</v>
          </cell>
          <cell r="Y28" t="str">
            <v>Q355镀锌卷 2.75t</v>
          </cell>
          <cell r="AB28" t="str">
            <v>100*70*2.75 mm,</v>
          </cell>
          <cell r="AC28">
            <v>3.82</v>
          </cell>
          <cell r="AD28">
            <v>4.8</v>
          </cell>
          <cell r="AE28">
            <v>54</v>
          </cell>
        </row>
        <row r="29">
          <cell r="A29" t="str">
            <v>10075-20</v>
          </cell>
          <cell r="B29" t="str">
            <v>老立柱，有库存</v>
          </cell>
          <cell r="C29">
            <v>4.2704000000000004</v>
          </cell>
          <cell r="D29">
            <v>0.54400000000000004</v>
          </cell>
          <cell r="E29">
            <v>4</v>
          </cell>
          <cell r="F29">
            <v>2</v>
          </cell>
          <cell r="G29">
            <v>272</v>
          </cell>
          <cell r="H29">
            <v>680</v>
          </cell>
          <cell r="J29">
            <v>3.63</v>
          </cell>
          <cell r="K29">
            <v>2.2000000000000002</v>
          </cell>
          <cell r="L29">
            <v>9</v>
          </cell>
          <cell r="M29" t="str">
            <v>待定</v>
          </cell>
          <cell r="N29">
            <v>0.6</v>
          </cell>
          <cell r="O29" t="str">
            <v>待定</v>
          </cell>
          <cell r="P29">
            <v>0.2</v>
          </cell>
          <cell r="W29" t="str">
            <v>热卷 2.0t</v>
          </cell>
          <cell r="X29" t="str">
            <v>镀锌卷 2.0t</v>
          </cell>
          <cell r="Y29" t="str">
            <v>Q355镀锌卷 2.0t</v>
          </cell>
          <cell r="AB29" t="str">
            <v>100*75*2 mm,</v>
          </cell>
          <cell r="AC29">
            <v>3.9299999999999997</v>
          </cell>
          <cell r="AD29">
            <v>4.8</v>
          </cell>
          <cell r="AE29">
            <v>54</v>
          </cell>
        </row>
        <row r="30">
          <cell r="A30" t="str">
            <v>10075-23</v>
          </cell>
          <cell r="B30" t="str">
            <v>老立柱，有库存</v>
          </cell>
          <cell r="C30">
            <v>4.9109600000000002</v>
          </cell>
          <cell r="D30">
            <v>0.54400000000000004</v>
          </cell>
          <cell r="E30">
            <v>4</v>
          </cell>
          <cell r="F30">
            <v>2.2999999999999998</v>
          </cell>
          <cell r="G30">
            <v>272</v>
          </cell>
          <cell r="H30">
            <v>680</v>
          </cell>
          <cell r="J30">
            <v>3.55</v>
          </cell>
          <cell r="K30">
            <v>2.2000000000000002</v>
          </cell>
          <cell r="L30">
            <v>9</v>
          </cell>
          <cell r="M30" t="str">
            <v>待定</v>
          </cell>
          <cell r="N30">
            <v>0.6</v>
          </cell>
          <cell r="O30" t="str">
            <v>待定</v>
          </cell>
          <cell r="P30">
            <v>0.2</v>
          </cell>
          <cell r="W30" t="str">
            <v>热卷 2.3t</v>
          </cell>
          <cell r="X30" t="str">
            <v>镀锌卷 2.3t</v>
          </cell>
          <cell r="AB30" t="str">
            <v>100*75*2.3 mm,</v>
          </cell>
          <cell r="AC30">
            <v>3.8499999999999996</v>
          </cell>
          <cell r="AD30">
            <v>4.8</v>
          </cell>
          <cell r="AE30">
            <v>54</v>
          </cell>
        </row>
        <row r="31">
          <cell r="A31" t="str">
            <v>10075-25</v>
          </cell>
          <cell r="B31" t="str">
            <v>老立柱，有库存</v>
          </cell>
          <cell r="C31">
            <v>5.3380000000000001</v>
          </cell>
          <cell r="D31">
            <v>0.54400000000000004</v>
          </cell>
          <cell r="E31">
            <v>4</v>
          </cell>
          <cell r="F31">
            <v>2.5</v>
          </cell>
          <cell r="G31">
            <v>272</v>
          </cell>
          <cell r="H31">
            <v>680</v>
          </cell>
          <cell r="J31">
            <v>3.57</v>
          </cell>
          <cell r="K31">
            <v>2.2000000000000002</v>
          </cell>
          <cell r="L31">
            <v>9</v>
          </cell>
          <cell r="M31" t="str">
            <v>待定</v>
          </cell>
          <cell r="N31">
            <v>0.6</v>
          </cell>
          <cell r="O31" t="str">
            <v>待定</v>
          </cell>
          <cell r="P31">
            <v>0.2</v>
          </cell>
          <cell r="W31" t="str">
            <v>热卷 2.5t</v>
          </cell>
          <cell r="X31" t="str">
            <v>镀锌卷 2.5t</v>
          </cell>
          <cell r="Y31" t="str">
            <v>Q355镀锌卷 2.5t</v>
          </cell>
          <cell r="AB31" t="str">
            <v>100*75*2.5 mm,</v>
          </cell>
          <cell r="AC31">
            <v>3.8699999999999997</v>
          </cell>
          <cell r="AD31">
            <v>4.8</v>
          </cell>
          <cell r="AE31">
            <v>54</v>
          </cell>
        </row>
        <row r="32">
          <cell r="A32" t="str">
            <v>10095-20</v>
          </cell>
          <cell r="C32">
            <v>5.0083000000000002</v>
          </cell>
          <cell r="D32">
            <v>0.63800000000000001</v>
          </cell>
          <cell r="E32">
            <v>4</v>
          </cell>
          <cell r="F32">
            <v>2</v>
          </cell>
          <cell r="G32">
            <v>319</v>
          </cell>
          <cell r="H32">
            <v>797.5</v>
          </cell>
          <cell r="J32">
            <v>3.63</v>
          </cell>
          <cell r="K32">
            <v>2.2000000000000002</v>
          </cell>
          <cell r="L32">
            <v>9</v>
          </cell>
          <cell r="M32" t="str">
            <v>待定</v>
          </cell>
          <cell r="N32">
            <v>0.85</v>
          </cell>
          <cell r="O32" t="str">
            <v>待定</v>
          </cell>
          <cell r="P32">
            <v>0.2</v>
          </cell>
          <cell r="W32" t="str">
            <v>热卷 2.0t</v>
          </cell>
          <cell r="X32" t="str">
            <v>镀锌卷 2.0t</v>
          </cell>
          <cell r="Y32" t="str">
            <v>Q355镀锌卷 2.0t</v>
          </cell>
          <cell r="AB32" t="str">
            <v>100*95*2 mm,</v>
          </cell>
          <cell r="AC32">
            <v>3.9299999999999997</v>
          </cell>
          <cell r="AD32">
            <v>4.8</v>
          </cell>
          <cell r="AE32">
            <v>78</v>
          </cell>
        </row>
        <row r="33">
          <cell r="A33" t="str">
            <v>10095-23</v>
          </cell>
          <cell r="C33">
            <v>5.7595450000000001</v>
          </cell>
          <cell r="D33">
            <v>0.63800000000000001</v>
          </cell>
          <cell r="E33">
            <v>4</v>
          </cell>
          <cell r="F33">
            <v>2.2999999999999998</v>
          </cell>
          <cell r="G33">
            <v>319</v>
          </cell>
          <cell r="H33">
            <v>797.5</v>
          </cell>
          <cell r="J33">
            <v>3.55</v>
          </cell>
          <cell r="K33">
            <v>2.2000000000000002</v>
          </cell>
          <cell r="L33">
            <v>9</v>
          </cell>
          <cell r="M33" t="str">
            <v>待定</v>
          </cell>
          <cell r="N33">
            <v>0.85</v>
          </cell>
          <cell r="O33" t="str">
            <v>待定</v>
          </cell>
          <cell r="P33">
            <v>0.2</v>
          </cell>
          <cell r="W33" t="str">
            <v>热卷 2.3t</v>
          </cell>
          <cell r="X33" t="str">
            <v>镀锌卷 2.3t</v>
          </cell>
          <cell r="Y33" t="str">
            <v>Q355镀锌卷 2.3t</v>
          </cell>
          <cell r="AB33" t="str">
            <v>100*95*2.3 mm,</v>
          </cell>
          <cell r="AC33">
            <v>3.8499999999999996</v>
          </cell>
          <cell r="AD33">
            <v>4.8</v>
          </cell>
          <cell r="AE33">
            <v>78</v>
          </cell>
        </row>
        <row r="34">
          <cell r="A34" t="str">
            <v>10095-25</v>
          </cell>
          <cell r="C34">
            <v>6.2603749999999998</v>
          </cell>
          <cell r="D34">
            <v>0.63800000000000001</v>
          </cell>
          <cell r="E34">
            <v>4</v>
          </cell>
          <cell r="F34">
            <v>2.5</v>
          </cell>
          <cell r="G34">
            <v>319</v>
          </cell>
          <cell r="H34">
            <v>797.5</v>
          </cell>
          <cell r="J34">
            <v>3.57</v>
          </cell>
          <cell r="K34">
            <v>2.2000000000000002</v>
          </cell>
          <cell r="L34">
            <v>9</v>
          </cell>
          <cell r="M34" t="str">
            <v>待定</v>
          </cell>
          <cell r="N34">
            <v>0.85</v>
          </cell>
          <cell r="O34" t="str">
            <v>待定</v>
          </cell>
          <cell r="P34">
            <v>0.2</v>
          </cell>
          <cell r="W34" t="str">
            <v>热卷 2.5t</v>
          </cell>
          <cell r="X34" t="str">
            <v>镀锌卷 2.5t</v>
          </cell>
          <cell r="Y34" t="str">
            <v>Q355镀锌卷 2.5t</v>
          </cell>
          <cell r="AB34" t="str">
            <v>100*95*2.5 mm,</v>
          </cell>
          <cell r="AC34">
            <v>3.8699999999999997</v>
          </cell>
          <cell r="AD34">
            <v>4.8</v>
          </cell>
          <cell r="AE34">
            <v>78</v>
          </cell>
        </row>
        <row r="35">
          <cell r="A35" t="str">
            <v>10095-275</v>
          </cell>
          <cell r="C35">
            <v>6.8864124999999996</v>
          </cell>
          <cell r="D35">
            <v>0.63800000000000001</v>
          </cell>
          <cell r="E35">
            <v>4</v>
          </cell>
          <cell r="F35">
            <v>2.75</v>
          </cell>
          <cell r="G35">
            <v>319</v>
          </cell>
          <cell r="H35">
            <v>797.5</v>
          </cell>
          <cell r="J35">
            <v>3.52</v>
          </cell>
          <cell r="K35">
            <v>2.2000000000000002</v>
          </cell>
          <cell r="L35">
            <v>9</v>
          </cell>
          <cell r="M35" t="str">
            <v>待定</v>
          </cell>
          <cell r="N35">
            <v>0.85</v>
          </cell>
          <cell r="O35" t="str">
            <v>待定</v>
          </cell>
          <cell r="P35">
            <v>0.2</v>
          </cell>
          <cell r="W35" t="str">
            <v>热卷 2.75t</v>
          </cell>
          <cell r="X35" t="str">
            <v>镀锌卷 2.75t</v>
          </cell>
          <cell r="Y35" t="str">
            <v>Q355镀锌卷 2.75t</v>
          </cell>
          <cell r="AB35" t="str">
            <v>100*95*2.75 mm,</v>
          </cell>
          <cell r="AC35">
            <v>3.82</v>
          </cell>
          <cell r="AD35">
            <v>4.8</v>
          </cell>
          <cell r="AE35">
            <v>78</v>
          </cell>
        </row>
        <row r="36">
          <cell r="A36" t="str">
            <v>10095-30</v>
          </cell>
          <cell r="C36">
            <v>7.5359999999999996</v>
          </cell>
          <cell r="D36">
            <v>0.64</v>
          </cell>
          <cell r="E36">
            <v>4</v>
          </cell>
          <cell r="F36">
            <v>3</v>
          </cell>
          <cell r="G36">
            <v>320</v>
          </cell>
          <cell r="H36">
            <v>800</v>
          </cell>
          <cell r="J36">
            <v>3.5</v>
          </cell>
          <cell r="K36">
            <v>2.2000000000000002</v>
          </cell>
          <cell r="L36">
            <v>9</v>
          </cell>
          <cell r="M36" t="str">
            <v>待定</v>
          </cell>
          <cell r="N36">
            <v>0.85</v>
          </cell>
          <cell r="O36" t="str">
            <v>待定</v>
          </cell>
          <cell r="P36">
            <v>0.2</v>
          </cell>
          <cell r="W36" t="str">
            <v>热卷 3.0t</v>
          </cell>
          <cell r="X36" t="str">
            <v>镀锌卷 3.0t</v>
          </cell>
          <cell r="Y36" t="str">
            <v>Q355镀锌卷 3.0t</v>
          </cell>
          <cell r="AB36" t="str">
            <v>100*95*3 mm,</v>
          </cell>
          <cell r="AC36">
            <v>3.8</v>
          </cell>
          <cell r="AD36">
            <v>4.8</v>
          </cell>
          <cell r="AE36">
            <v>78</v>
          </cell>
        </row>
        <row r="37">
          <cell r="A37" t="str">
            <v>100135-23</v>
          </cell>
          <cell r="C37">
            <v>7.6011550000000003</v>
          </cell>
          <cell r="D37">
            <v>0.84199999999999997</v>
          </cell>
          <cell r="E37">
            <v>4</v>
          </cell>
          <cell r="F37">
            <v>2.2999999999999998</v>
          </cell>
          <cell r="G37">
            <v>421</v>
          </cell>
          <cell r="H37">
            <v>1052.5</v>
          </cell>
          <cell r="J37">
            <v>3.55</v>
          </cell>
          <cell r="K37">
            <v>2.2000000000000002</v>
          </cell>
          <cell r="L37">
            <v>9</v>
          </cell>
          <cell r="M37" t="str">
            <v>待定</v>
          </cell>
          <cell r="N37">
            <v>1</v>
          </cell>
          <cell r="O37" t="str">
            <v>待定</v>
          </cell>
          <cell r="P37">
            <v>0.2</v>
          </cell>
          <cell r="W37" t="str">
            <v>热卷 2.3t</v>
          </cell>
          <cell r="X37" t="str">
            <v>镀锌卷 2.3t</v>
          </cell>
          <cell r="Y37" t="str">
            <v>Q355镀锌卷 2.3t</v>
          </cell>
          <cell r="AB37" t="str">
            <v>100*135*2.3 mm,</v>
          </cell>
          <cell r="AC37">
            <v>3.8499999999999996</v>
          </cell>
          <cell r="AD37">
            <v>4.8</v>
          </cell>
          <cell r="AE37">
            <v>60</v>
          </cell>
        </row>
        <row r="38">
          <cell r="A38" t="str">
            <v>100135-25</v>
          </cell>
          <cell r="C38">
            <v>8.2621249999999993</v>
          </cell>
          <cell r="D38">
            <v>0.84199999999999997</v>
          </cell>
          <cell r="E38">
            <v>4</v>
          </cell>
          <cell r="F38">
            <v>2.5</v>
          </cell>
          <cell r="G38">
            <v>421</v>
          </cell>
          <cell r="H38">
            <v>1052.5</v>
          </cell>
          <cell r="J38">
            <v>3.57</v>
          </cell>
          <cell r="K38">
            <v>2.2000000000000002</v>
          </cell>
          <cell r="L38">
            <v>9</v>
          </cell>
          <cell r="M38" t="str">
            <v>待定</v>
          </cell>
          <cell r="N38">
            <v>1</v>
          </cell>
          <cell r="O38" t="str">
            <v>待定</v>
          </cell>
          <cell r="P38">
            <v>0.2</v>
          </cell>
          <cell r="W38" t="str">
            <v>热卷 2.5t</v>
          </cell>
          <cell r="X38" t="str">
            <v>镀锌卷 2.5t</v>
          </cell>
          <cell r="Y38" t="str">
            <v>Q355镀锌卷 2.5t</v>
          </cell>
          <cell r="AB38" t="str">
            <v>100*135*2.5 mm,</v>
          </cell>
          <cell r="AC38">
            <v>3.8699999999999997</v>
          </cell>
          <cell r="AD38">
            <v>4.8</v>
          </cell>
          <cell r="AE38">
            <v>60</v>
          </cell>
        </row>
        <row r="39">
          <cell r="A39" t="str">
            <v>100135-275</v>
          </cell>
          <cell r="C39">
            <v>9.0883374999999997</v>
          </cell>
          <cell r="D39">
            <v>0.84199999999999997</v>
          </cell>
          <cell r="E39">
            <v>4</v>
          </cell>
          <cell r="F39">
            <v>2.75</v>
          </cell>
          <cell r="G39">
            <v>421</v>
          </cell>
          <cell r="H39">
            <v>1052.5</v>
          </cell>
          <cell r="J39">
            <v>3.52</v>
          </cell>
          <cell r="K39">
            <v>2.2000000000000002</v>
          </cell>
          <cell r="L39">
            <v>9</v>
          </cell>
          <cell r="M39" t="str">
            <v>待定</v>
          </cell>
          <cell r="N39">
            <v>1</v>
          </cell>
          <cell r="O39" t="str">
            <v>待定</v>
          </cell>
          <cell r="P39">
            <v>0.2</v>
          </cell>
          <cell r="W39" t="str">
            <v>热卷 2.75t</v>
          </cell>
          <cell r="X39" t="str">
            <v>镀锌卷 2.75t</v>
          </cell>
          <cell r="Y39" t="str">
            <v>Q355镀锌卷 2.75t</v>
          </cell>
          <cell r="AB39" t="str">
            <v>100*135*2.75 mm,</v>
          </cell>
          <cell r="AC39">
            <v>3.82</v>
          </cell>
          <cell r="AD39">
            <v>4.8</v>
          </cell>
          <cell r="AE39">
            <v>60</v>
          </cell>
        </row>
        <row r="40">
          <cell r="A40" t="str">
            <v>100135-30</v>
          </cell>
          <cell r="C40">
            <v>9.9145500000000002</v>
          </cell>
          <cell r="D40">
            <v>0.84199999999999997</v>
          </cell>
          <cell r="E40">
            <v>4</v>
          </cell>
          <cell r="F40">
            <v>3</v>
          </cell>
          <cell r="G40">
            <v>421</v>
          </cell>
          <cell r="H40">
            <v>1052.5</v>
          </cell>
          <cell r="J40">
            <v>3.5</v>
          </cell>
          <cell r="K40">
            <v>2.2000000000000002</v>
          </cell>
          <cell r="L40">
            <v>9</v>
          </cell>
          <cell r="M40" t="str">
            <v>待定</v>
          </cell>
          <cell r="N40">
            <v>1</v>
          </cell>
          <cell r="O40" t="str">
            <v>待定</v>
          </cell>
          <cell r="P40">
            <v>0.2</v>
          </cell>
          <cell r="W40" t="str">
            <v>热卷 3.0t</v>
          </cell>
          <cell r="X40" t="str">
            <v>镀锌卷 3.0t</v>
          </cell>
          <cell r="Y40" t="str">
            <v>Q355镀锌卷 3.0t</v>
          </cell>
          <cell r="AB40" t="str">
            <v>100*135*3 mm,</v>
          </cell>
          <cell r="AC40">
            <v>3.8</v>
          </cell>
          <cell r="AD40">
            <v>4.8</v>
          </cell>
          <cell r="AE40">
            <v>60</v>
          </cell>
        </row>
        <row r="41">
          <cell r="A41" t="str">
            <v>12070-20</v>
          </cell>
          <cell r="C41">
            <v>4.5529999999999999</v>
          </cell>
          <cell r="D41">
            <v>0.57999999999999996</v>
          </cell>
          <cell r="E41">
            <v>4</v>
          </cell>
          <cell r="F41">
            <v>2</v>
          </cell>
          <cell r="G41">
            <v>290</v>
          </cell>
          <cell r="H41">
            <v>725</v>
          </cell>
          <cell r="J41">
            <v>3.63</v>
          </cell>
          <cell r="K41">
            <v>2.2000000000000002</v>
          </cell>
          <cell r="L41">
            <v>9</v>
          </cell>
          <cell r="M41" t="str">
            <v>待定</v>
          </cell>
          <cell r="N41">
            <v>1</v>
          </cell>
          <cell r="O41" t="str">
            <v>待定</v>
          </cell>
          <cell r="P41">
            <v>0.2</v>
          </cell>
          <cell r="W41" t="str">
            <v>热卷 2.0t</v>
          </cell>
          <cell r="X41" t="str">
            <v>镀锌卷 2.0t</v>
          </cell>
          <cell r="Y41" t="str">
            <v>Q355镀锌卷 2.0t</v>
          </cell>
          <cell r="AB41" t="str">
            <v>120*70*2 mm,</v>
          </cell>
          <cell r="AC41">
            <v>3.9299999999999997</v>
          </cell>
          <cell r="AD41">
            <v>4.8</v>
          </cell>
          <cell r="AE41">
            <v>60</v>
          </cell>
        </row>
        <row r="42">
          <cell r="A42" t="str">
            <v>12070-23</v>
          </cell>
          <cell r="C42">
            <v>5.2359499999999999</v>
          </cell>
          <cell r="D42">
            <v>0.57999999999999996</v>
          </cell>
          <cell r="E42">
            <v>4</v>
          </cell>
          <cell r="F42">
            <v>2.2999999999999998</v>
          </cell>
          <cell r="G42">
            <v>290</v>
          </cell>
          <cell r="H42">
            <v>725</v>
          </cell>
          <cell r="J42">
            <v>3.55</v>
          </cell>
          <cell r="K42">
            <v>2.2000000000000002</v>
          </cell>
          <cell r="L42">
            <v>9</v>
          </cell>
          <cell r="M42" t="str">
            <v>待定</v>
          </cell>
          <cell r="N42">
            <v>1</v>
          </cell>
          <cell r="O42" t="str">
            <v>待定</v>
          </cell>
          <cell r="P42">
            <v>0.2</v>
          </cell>
          <cell r="W42" t="str">
            <v>热卷 2.3t</v>
          </cell>
          <cell r="X42" t="str">
            <v>镀锌卷 2.3t</v>
          </cell>
          <cell r="Y42" t="str">
            <v>Q355镀锌卷 2.3t</v>
          </cell>
          <cell r="AB42" t="str">
            <v>120*70*2.3 mm,</v>
          </cell>
          <cell r="AC42">
            <v>3.8499999999999996</v>
          </cell>
          <cell r="AD42">
            <v>4.8</v>
          </cell>
          <cell r="AE42">
            <v>60</v>
          </cell>
        </row>
        <row r="43">
          <cell r="A43" t="str">
            <v>12070-25</v>
          </cell>
          <cell r="C43">
            <v>5.6912500000000001</v>
          </cell>
          <cell r="D43">
            <v>0.57999999999999996</v>
          </cell>
          <cell r="E43">
            <v>4</v>
          </cell>
          <cell r="F43">
            <v>2.5</v>
          </cell>
          <cell r="G43">
            <v>290</v>
          </cell>
          <cell r="H43">
            <v>725</v>
          </cell>
          <cell r="J43">
            <v>3.57</v>
          </cell>
          <cell r="K43">
            <v>2.2000000000000002</v>
          </cell>
          <cell r="L43">
            <v>9</v>
          </cell>
          <cell r="M43" t="str">
            <v>待定</v>
          </cell>
          <cell r="N43">
            <v>1</v>
          </cell>
          <cell r="O43" t="str">
            <v>待定</v>
          </cell>
          <cell r="P43">
            <v>0.2</v>
          </cell>
          <cell r="W43" t="str">
            <v>热卷 2.5t</v>
          </cell>
          <cell r="X43" t="str">
            <v>镀锌卷 2.5t</v>
          </cell>
          <cell r="Y43" t="str">
            <v>Q355镀锌卷 2.5t</v>
          </cell>
          <cell r="AB43" t="str">
            <v>120*70*2.5 mm,</v>
          </cell>
          <cell r="AC43">
            <v>3.8699999999999997</v>
          </cell>
          <cell r="AD43">
            <v>4.8</v>
          </cell>
          <cell r="AE43">
            <v>60</v>
          </cell>
        </row>
        <row r="44">
          <cell r="A44" t="str">
            <v>12070-275</v>
          </cell>
          <cell r="C44">
            <v>6.2603749999999998</v>
          </cell>
          <cell r="D44">
            <v>0.57999999999999996</v>
          </cell>
          <cell r="E44">
            <v>4</v>
          </cell>
          <cell r="F44">
            <v>2.75</v>
          </cell>
          <cell r="G44">
            <v>290</v>
          </cell>
          <cell r="H44">
            <v>725</v>
          </cell>
          <cell r="J44">
            <v>3.52</v>
          </cell>
          <cell r="K44">
            <v>2.2000000000000002</v>
          </cell>
          <cell r="L44">
            <v>9</v>
          </cell>
          <cell r="M44" t="str">
            <v>待定</v>
          </cell>
          <cell r="N44">
            <v>1</v>
          </cell>
          <cell r="O44" t="str">
            <v>待定</v>
          </cell>
          <cell r="P44">
            <v>0.2</v>
          </cell>
          <cell r="W44" t="str">
            <v>热卷 2.75t</v>
          </cell>
          <cell r="X44" t="str">
            <v>镀锌卷 2.75t</v>
          </cell>
          <cell r="Y44" t="str">
            <v>Q355镀锌卷 2.75t</v>
          </cell>
          <cell r="AB44" t="str">
            <v>120*70*2.75 mm,</v>
          </cell>
          <cell r="AC44">
            <v>3.82</v>
          </cell>
          <cell r="AD44">
            <v>4.8</v>
          </cell>
          <cell r="AE44">
            <v>60</v>
          </cell>
        </row>
        <row r="45">
          <cell r="A45" t="str">
            <v>12070-30</v>
          </cell>
          <cell r="C45">
            <v>6.8295000000000003</v>
          </cell>
          <cell r="D45">
            <v>0.57999999999999996</v>
          </cell>
          <cell r="E45">
            <v>4</v>
          </cell>
          <cell r="F45">
            <v>3</v>
          </cell>
          <cell r="G45">
            <v>290</v>
          </cell>
          <cell r="H45">
            <v>725</v>
          </cell>
          <cell r="J45">
            <v>3.5</v>
          </cell>
          <cell r="K45">
            <v>2.2000000000000002</v>
          </cell>
          <cell r="L45">
            <v>9</v>
          </cell>
          <cell r="M45" t="str">
            <v>待定</v>
          </cell>
          <cell r="N45">
            <v>1</v>
          </cell>
          <cell r="O45" t="str">
            <v>待定</v>
          </cell>
          <cell r="P45">
            <v>0.2</v>
          </cell>
          <cell r="W45" t="str">
            <v>热卷 3.0t</v>
          </cell>
          <cell r="X45" t="str">
            <v>镀锌卷 3.0t</v>
          </cell>
          <cell r="Y45" t="str">
            <v>Q355镀锌卷 3.0t</v>
          </cell>
          <cell r="AB45" t="str">
            <v>120*70*3 mm,</v>
          </cell>
          <cell r="AC45">
            <v>3.8</v>
          </cell>
          <cell r="AD45">
            <v>4.8</v>
          </cell>
          <cell r="AE45">
            <v>60</v>
          </cell>
        </row>
        <row r="46">
          <cell r="A46" t="str">
            <v>12075-20</v>
          </cell>
          <cell r="B46" t="str">
            <v>老立柱，取消生产</v>
          </cell>
          <cell r="C46">
            <v>4.6315</v>
          </cell>
          <cell r="D46">
            <v>0.59</v>
          </cell>
          <cell r="E46">
            <v>4</v>
          </cell>
          <cell r="F46">
            <v>2</v>
          </cell>
          <cell r="G46">
            <v>295</v>
          </cell>
          <cell r="H46">
            <v>737.5</v>
          </cell>
          <cell r="J46">
            <v>3.63</v>
          </cell>
          <cell r="K46">
            <v>2.2000000000000002</v>
          </cell>
          <cell r="L46">
            <v>9</v>
          </cell>
          <cell r="M46" t="str">
            <v>待定</v>
          </cell>
          <cell r="N46">
            <v>1</v>
          </cell>
          <cell r="O46" t="str">
            <v>待定</v>
          </cell>
          <cell r="P46">
            <v>0.2</v>
          </cell>
          <cell r="W46" t="str">
            <v>热卷 2.0t</v>
          </cell>
          <cell r="X46" t="str">
            <v>镀锌卷 2.0t</v>
          </cell>
          <cell r="Y46" t="str">
            <v>Q355镀锌卷 2.0t</v>
          </cell>
          <cell r="AB46" t="str">
            <v>120*75*2 mm,</v>
          </cell>
          <cell r="AC46">
            <v>3.9299999999999997</v>
          </cell>
          <cell r="AD46">
            <v>4.8</v>
          </cell>
          <cell r="AE46">
            <v>60</v>
          </cell>
        </row>
        <row r="47">
          <cell r="A47" t="str">
            <v>12075-23</v>
          </cell>
          <cell r="B47" t="str">
            <v>老立柱，取消生产</v>
          </cell>
          <cell r="C47">
            <v>5.326225</v>
          </cell>
          <cell r="D47">
            <v>0.59</v>
          </cell>
          <cell r="E47">
            <v>4</v>
          </cell>
          <cell r="F47">
            <v>2.2999999999999998</v>
          </cell>
          <cell r="G47">
            <v>295</v>
          </cell>
          <cell r="H47">
            <v>737.5</v>
          </cell>
          <cell r="J47">
            <v>3.55</v>
          </cell>
          <cell r="K47">
            <v>2.2000000000000002</v>
          </cell>
          <cell r="L47">
            <v>9</v>
          </cell>
          <cell r="M47" t="str">
            <v>待定</v>
          </cell>
          <cell r="N47">
            <v>1</v>
          </cell>
          <cell r="O47" t="str">
            <v>待定</v>
          </cell>
          <cell r="P47">
            <v>0.2</v>
          </cell>
          <cell r="W47" t="str">
            <v>热卷 2.3t</v>
          </cell>
          <cell r="X47" t="str">
            <v>镀锌卷 2.3t</v>
          </cell>
          <cell r="Y47" t="str">
            <v>Q355镀锌卷 2.3t</v>
          </cell>
          <cell r="AB47" t="str">
            <v>120*75*2.3 mm,</v>
          </cell>
          <cell r="AC47">
            <v>3.8499999999999996</v>
          </cell>
          <cell r="AD47">
            <v>4.8</v>
          </cell>
          <cell r="AE47">
            <v>60</v>
          </cell>
        </row>
        <row r="48">
          <cell r="A48" t="str">
            <v>12075-25</v>
          </cell>
          <cell r="B48" t="str">
            <v>老立柱，取消生产</v>
          </cell>
          <cell r="C48">
            <v>5.7893749999999997</v>
          </cell>
          <cell r="D48">
            <v>0.59</v>
          </cell>
          <cell r="E48">
            <v>4</v>
          </cell>
          <cell r="F48">
            <v>2.5</v>
          </cell>
          <cell r="G48">
            <v>295</v>
          </cell>
          <cell r="H48">
            <v>737.5</v>
          </cell>
          <cell r="J48">
            <v>3.57</v>
          </cell>
          <cell r="K48">
            <v>2.2000000000000002</v>
          </cell>
          <cell r="L48">
            <v>9</v>
          </cell>
          <cell r="M48" t="str">
            <v>待定</v>
          </cell>
          <cell r="N48">
            <v>1</v>
          </cell>
          <cell r="O48" t="str">
            <v>待定</v>
          </cell>
          <cell r="P48">
            <v>0.2</v>
          </cell>
          <cell r="W48" t="str">
            <v>热卷 2.5t</v>
          </cell>
          <cell r="X48" t="str">
            <v>镀锌卷 2.5t</v>
          </cell>
          <cell r="Y48" t="str">
            <v>Q355镀锌卷 2.5t</v>
          </cell>
          <cell r="AB48" t="str">
            <v>120*75*2.5 mm,</v>
          </cell>
          <cell r="AC48">
            <v>3.8699999999999997</v>
          </cell>
          <cell r="AD48">
            <v>4.8</v>
          </cell>
          <cell r="AE48">
            <v>60</v>
          </cell>
        </row>
        <row r="49">
          <cell r="A49" t="str">
            <v>12095-23</v>
          </cell>
          <cell r="C49">
            <v>6.1206449999999997</v>
          </cell>
          <cell r="D49">
            <v>0.67800000000000005</v>
          </cell>
          <cell r="E49">
            <v>4</v>
          </cell>
          <cell r="F49">
            <v>2.2999999999999998</v>
          </cell>
          <cell r="G49">
            <v>339</v>
          </cell>
          <cell r="H49">
            <v>779.7</v>
          </cell>
          <cell r="J49">
            <v>3.55</v>
          </cell>
          <cell r="K49">
            <v>2.2000000000000002</v>
          </cell>
          <cell r="L49">
            <v>9</v>
          </cell>
          <cell r="M49" t="str">
            <v>待定</v>
          </cell>
          <cell r="N49">
            <v>1</v>
          </cell>
          <cell r="O49" t="str">
            <v>待定</v>
          </cell>
          <cell r="P49">
            <v>0.2</v>
          </cell>
          <cell r="W49" t="str">
            <v>热卷 2.3t</v>
          </cell>
          <cell r="X49" t="str">
            <v>镀锌卷 2.3t</v>
          </cell>
          <cell r="Y49" t="str">
            <v>Q355镀锌卷 2.3t</v>
          </cell>
          <cell r="AB49" t="str">
            <v>120*95*2.3 mm,</v>
          </cell>
          <cell r="AC49">
            <v>3.8499999999999996</v>
          </cell>
          <cell r="AD49">
            <v>4.8</v>
          </cell>
          <cell r="AE49">
            <v>60</v>
          </cell>
        </row>
        <row r="50">
          <cell r="A50" t="str">
            <v>12095-25</v>
          </cell>
          <cell r="C50">
            <v>6.6528749999999999</v>
          </cell>
          <cell r="D50">
            <v>0.67800000000000005</v>
          </cell>
          <cell r="E50">
            <v>4</v>
          </cell>
          <cell r="F50">
            <v>2.5</v>
          </cell>
          <cell r="G50">
            <v>339</v>
          </cell>
          <cell r="H50">
            <v>779.7</v>
          </cell>
          <cell r="J50">
            <v>3.57</v>
          </cell>
          <cell r="K50">
            <v>2.2000000000000002</v>
          </cell>
          <cell r="L50">
            <v>9</v>
          </cell>
          <cell r="M50" t="str">
            <v>待定</v>
          </cell>
          <cell r="N50">
            <v>1</v>
          </cell>
          <cell r="O50" t="str">
            <v>待定</v>
          </cell>
          <cell r="P50">
            <v>0.2</v>
          </cell>
          <cell r="W50" t="str">
            <v>热卷 2.5t</v>
          </cell>
          <cell r="X50" t="str">
            <v>镀锌卷 2.5t</v>
          </cell>
          <cell r="Y50" t="str">
            <v>Q355镀锌卷 2.5t</v>
          </cell>
          <cell r="AB50" t="str">
            <v>120*95*2.5 mm,</v>
          </cell>
          <cell r="AC50">
            <v>3.8699999999999997</v>
          </cell>
          <cell r="AD50">
            <v>4.8</v>
          </cell>
          <cell r="AE50">
            <v>60</v>
          </cell>
        </row>
        <row r="51">
          <cell r="A51" t="str">
            <v>12095-275</v>
          </cell>
          <cell r="C51">
            <v>7.3181624999999997</v>
          </cell>
          <cell r="D51">
            <v>0.67800000000000005</v>
          </cell>
          <cell r="E51">
            <v>4</v>
          </cell>
          <cell r="F51">
            <v>2.75</v>
          </cell>
          <cell r="G51">
            <v>339</v>
          </cell>
          <cell r="H51">
            <v>847.5</v>
          </cell>
          <cell r="J51">
            <v>3.52</v>
          </cell>
          <cell r="K51">
            <v>2.2000000000000002</v>
          </cell>
          <cell r="L51">
            <v>9</v>
          </cell>
          <cell r="M51" t="str">
            <v>待定</v>
          </cell>
          <cell r="N51">
            <v>1</v>
          </cell>
          <cell r="O51" t="str">
            <v>待定</v>
          </cell>
          <cell r="P51">
            <v>0.2</v>
          </cell>
          <cell r="W51" t="str">
            <v>热卷 2.75t</v>
          </cell>
          <cell r="X51" t="str">
            <v>镀锌卷 2.75t</v>
          </cell>
          <cell r="Y51" t="str">
            <v>Q355镀锌卷 2.75t</v>
          </cell>
          <cell r="AB51" t="str">
            <v>120*95*2.75 mm,</v>
          </cell>
          <cell r="AC51">
            <v>3.82</v>
          </cell>
          <cell r="AD51">
            <v>4.8</v>
          </cell>
          <cell r="AE51">
            <v>60</v>
          </cell>
        </row>
        <row r="52">
          <cell r="A52" t="str">
            <v>12095-30</v>
          </cell>
          <cell r="C52">
            <v>7.9834500000000004</v>
          </cell>
          <cell r="D52">
            <v>0.67800000000000005</v>
          </cell>
          <cell r="E52">
            <v>4</v>
          </cell>
          <cell r="F52">
            <v>3</v>
          </cell>
          <cell r="G52">
            <v>339</v>
          </cell>
          <cell r="H52">
            <v>847.5</v>
          </cell>
          <cell r="J52">
            <v>3.5</v>
          </cell>
          <cell r="K52">
            <v>2.2000000000000002</v>
          </cell>
          <cell r="L52">
            <v>9</v>
          </cell>
          <cell r="M52" t="str">
            <v>待定</v>
          </cell>
          <cell r="N52">
            <v>1</v>
          </cell>
          <cell r="O52" t="str">
            <v>待定</v>
          </cell>
          <cell r="P52">
            <v>0.2</v>
          </cell>
          <cell r="W52" t="str">
            <v>热卷 3.0t</v>
          </cell>
          <cell r="X52" t="str">
            <v>镀锌卷 3.0t</v>
          </cell>
          <cell r="Y52" t="str">
            <v>Q355镀锌卷 3.0t</v>
          </cell>
          <cell r="AB52" t="str">
            <v>120*95*3 mm,</v>
          </cell>
          <cell r="AC52">
            <v>3.8</v>
          </cell>
          <cell r="AD52">
            <v>4.8</v>
          </cell>
          <cell r="AE52">
            <v>60</v>
          </cell>
        </row>
        <row r="53">
          <cell r="A53" t="str">
            <v>120135-23</v>
          </cell>
          <cell r="C53">
            <v>7.6011550000000003</v>
          </cell>
          <cell r="D53">
            <v>0.84199999999999997</v>
          </cell>
          <cell r="E53">
            <v>4</v>
          </cell>
          <cell r="F53">
            <v>2.2999999999999998</v>
          </cell>
          <cell r="G53">
            <v>421</v>
          </cell>
          <cell r="H53">
            <v>968.3</v>
          </cell>
          <cell r="J53">
            <v>3.55</v>
          </cell>
          <cell r="K53">
            <v>2.2000000000000002</v>
          </cell>
          <cell r="L53">
            <v>9</v>
          </cell>
          <cell r="M53" t="str">
            <v>待定</v>
          </cell>
          <cell r="N53">
            <v>1</v>
          </cell>
          <cell r="O53" t="str">
            <v>待定</v>
          </cell>
          <cell r="P53">
            <v>0.2</v>
          </cell>
          <cell r="W53" t="str">
            <v>热卷 2.3t</v>
          </cell>
          <cell r="X53" t="str">
            <v>镀锌卷 2.3t</v>
          </cell>
          <cell r="Y53" t="str">
            <v>Q355镀锌卷 2.3t</v>
          </cell>
          <cell r="AB53" t="str">
            <v>120*135*2.3 mm,</v>
          </cell>
          <cell r="AC53">
            <v>3.8499999999999996</v>
          </cell>
          <cell r="AD53">
            <v>4.8</v>
          </cell>
        </row>
        <row r="54">
          <cell r="A54" t="str">
            <v>120135-25</v>
          </cell>
          <cell r="C54">
            <v>8.2621249999999993</v>
          </cell>
          <cell r="D54">
            <v>0.84199999999999997</v>
          </cell>
          <cell r="E54">
            <v>4</v>
          </cell>
          <cell r="F54">
            <v>2.5</v>
          </cell>
          <cell r="G54">
            <v>421</v>
          </cell>
          <cell r="H54">
            <v>968.3</v>
          </cell>
          <cell r="J54">
            <v>3.57</v>
          </cell>
          <cell r="K54">
            <v>2.2000000000000002</v>
          </cell>
          <cell r="L54">
            <v>9</v>
          </cell>
          <cell r="M54" t="str">
            <v>待定</v>
          </cell>
          <cell r="N54">
            <v>1</v>
          </cell>
          <cell r="O54" t="str">
            <v>待定</v>
          </cell>
          <cell r="P54">
            <v>0.2</v>
          </cell>
          <cell r="W54" t="str">
            <v>热卷 2.5t</v>
          </cell>
          <cell r="X54" t="str">
            <v>镀锌卷 2.5t</v>
          </cell>
          <cell r="Y54" t="str">
            <v>Q355镀锌卷 2.5t</v>
          </cell>
          <cell r="AB54" t="str">
            <v>120*135*2.5 mm,</v>
          </cell>
          <cell r="AC54">
            <v>3.8699999999999997</v>
          </cell>
          <cell r="AD54">
            <v>4.8</v>
          </cell>
        </row>
        <row r="55">
          <cell r="A55" t="str">
            <v>120135-275</v>
          </cell>
          <cell r="C55">
            <v>9.0883374999999997</v>
          </cell>
          <cell r="D55">
            <v>0.84199999999999997</v>
          </cell>
          <cell r="E55">
            <v>4</v>
          </cell>
          <cell r="F55">
            <v>2.75</v>
          </cell>
          <cell r="G55">
            <v>421</v>
          </cell>
          <cell r="H55">
            <v>968.3</v>
          </cell>
          <cell r="J55">
            <v>3.52</v>
          </cell>
          <cell r="K55">
            <v>2.2000000000000002</v>
          </cell>
          <cell r="L55">
            <v>9</v>
          </cell>
          <cell r="M55" t="str">
            <v>待定</v>
          </cell>
          <cell r="N55">
            <v>1</v>
          </cell>
          <cell r="O55" t="str">
            <v>待定</v>
          </cell>
          <cell r="P55">
            <v>0.2</v>
          </cell>
          <cell r="W55" t="str">
            <v>热卷 2.75t</v>
          </cell>
          <cell r="X55" t="str">
            <v>镀锌卷 2.75t</v>
          </cell>
          <cell r="Y55" t="str">
            <v>Q355镀锌卷 2.75t</v>
          </cell>
          <cell r="AB55" t="str">
            <v>120*135*2.75 mm,</v>
          </cell>
          <cell r="AC55">
            <v>3.82</v>
          </cell>
          <cell r="AD55">
            <v>4.8</v>
          </cell>
        </row>
        <row r="56">
          <cell r="A56" t="str">
            <v>120135-30</v>
          </cell>
          <cell r="C56">
            <v>9.9145500000000002</v>
          </cell>
          <cell r="D56">
            <v>0.84199999999999997</v>
          </cell>
          <cell r="E56">
            <v>4</v>
          </cell>
          <cell r="F56">
            <v>3</v>
          </cell>
          <cell r="G56">
            <v>421</v>
          </cell>
          <cell r="H56">
            <v>968.3</v>
          </cell>
          <cell r="J56">
            <v>3.5</v>
          </cell>
          <cell r="K56">
            <v>2.2000000000000002</v>
          </cell>
          <cell r="L56">
            <v>9</v>
          </cell>
          <cell r="M56" t="str">
            <v>待定</v>
          </cell>
          <cell r="N56">
            <v>1</v>
          </cell>
          <cell r="O56" t="str">
            <v>待定</v>
          </cell>
          <cell r="P56">
            <v>0.2</v>
          </cell>
          <cell r="W56" t="str">
            <v>热卷 3.0t</v>
          </cell>
          <cell r="X56" t="str">
            <v>镀锌卷 3.0t</v>
          </cell>
          <cell r="Y56" t="str">
            <v>Q355镀锌卷 3.0t</v>
          </cell>
          <cell r="AB56" t="str">
            <v>120*135*3 mm,</v>
          </cell>
          <cell r="AC56">
            <v>3.8</v>
          </cell>
          <cell r="AD56">
            <v>4.8</v>
          </cell>
        </row>
        <row r="57">
          <cell r="A57" t="str">
            <v>140135-23</v>
          </cell>
          <cell r="C57">
            <v>7.9622549999999999</v>
          </cell>
          <cell r="D57">
            <v>0.88200000000000001</v>
          </cell>
          <cell r="E57">
            <v>4</v>
          </cell>
          <cell r="F57">
            <v>2.2999999999999998</v>
          </cell>
          <cell r="G57">
            <v>441</v>
          </cell>
          <cell r="H57">
            <v>1014.3</v>
          </cell>
          <cell r="J57">
            <v>3.55</v>
          </cell>
          <cell r="K57">
            <v>2.2000000000000002</v>
          </cell>
          <cell r="L57">
            <v>9</v>
          </cell>
          <cell r="M57" t="str">
            <v>待定</v>
          </cell>
          <cell r="N57">
            <v>1</v>
          </cell>
          <cell r="O57" t="str">
            <v>待定</v>
          </cell>
          <cell r="P57">
            <v>0.2</v>
          </cell>
          <cell r="W57" t="str">
            <v>热卷 2.3t</v>
          </cell>
          <cell r="X57" t="str">
            <v>镀锌卷 2.3t</v>
          </cell>
          <cell r="Y57" t="str">
            <v>Q355镀锌卷 2.3t</v>
          </cell>
          <cell r="AB57" t="str">
            <v>140*135*2.3 mm,</v>
          </cell>
          <cell r="AC57">
            <v>3.8499999999999996</v>
          </cell>
          <cell r="AD57">
            <v>4.8</v>
          </cell>
        </row>
        <row r="58">
          <cell r="A58" t="str">
            <v>140135-25</v>
          </cell>
          <cell r="C58">
            <v>8.6546249999999993</v>
          </cell>
          <cell r="D58">
            <v>0.88200000000000001</v>
          </cell>
          <cell r="E58">
            <v>4</v>
          </cell>
          <cell r="F58">
            <v>2.5</v>
          </cell>
          <cell r="G58">
            <v>441</v>
          </cell>
          <cell r="H58">
            <v>1014.3</v>
          </cell>
          <cell r="J58">
            <v>3.57</v>
          </cell>
          <cell r="K58">
            <v>2.2000000000000002</v>
          </cell>
          <cell r="L58">
            <v>9</v>
          </cell>
          <cell r="M58" t="str">
            <v>待定</v>
          </cell>
          <cell r="N58">
            <v>1</v>
          </cell>
          <cell r="O58" t="str">
            <v>待定</v>
          </cell>
          <cell r="P58">
            <v>0.2</v>
          </cell>
          <cell r="W58" t="str">
            <v>热卷 2.5t</v>
          </cell>
          <cell r="X58" t="str">
            <v>镀锌卷 2.5t</v>
          </cell>
          <cell r="Y58" t="str">
            <v>Q355镀锌卷 2.5t</v>
          </cell>
          <cell r="AB58" t="str">
            <v>140*135*2.5 mm,</v>
          </cell>
          <cell r="AC58">
            <v>3.8699999999999997</v>
          </cell>
          <cell r="AD58">
            <v>4.8</v>
          </cell>
        </row>
        <row r="59">
          <cell r="A59" t="str">
            <v>140135-275</v>
          </cell>
          <cell r="C59">
            <v>9.5200875000000007</v>
          </cell>
          <cell r="D59">
            <v>0.88200000000000001</v>
          </cell>
          <cell r="E59">
            <v>4</v>
          </cell>
          <cell r="F59">
            <v>2.75</v>
          </cell>
          <cell r="G59">
            <v>441</v>
          </cell>
          <cell r="H59">
            <v>1014.3</v>
          </cell>
          <cell r="J59">
            <v>3.52</v>
          </cell>
          <cell r="K59">
            <v>2.2000000000000002</v>
          </cell>
          <cell r="L59">
            <v>9</v>
          </cell>
          <cell r="M59" t="str">
            <v>待定</v>
          </cell>
          <cell r="N59">
            <v>1</v>
          </cell>
          <cell r="O59" t="str">
            <v>待定</v>
          </cell>
          <cell r="P59">
            <v>0.2</v>
          </cell>
          <cell r="W59" t="str">
            <v>热卷 2.75t</v>
          </cell>
          <cell r="X59" t="str">
            <v>镀锌卷 2.75t</v>
          </cell>
          <cell r="Y59" t="str">
            <v>Q355镀锌卷 2.75t</v>
          </cell>
          <cell r="AB59" t="str">
            <v>140*135*2.75 mm,</v>
          </cell>
          <cell r="AC59">
            <v>3.82</v>
          </cell>
          <cell r="AD59">
            <v>4.8</v>
          </cell>
        </row>
        <row r="60">
          <cell r="A60" t="str">
            <v>140135-30</v>
          </cell>
          <cell r="C60">
            <v>10.38555</v>
          </cell>
          <cell r="D60">
            <v>0.88200000000000001</v>
          </cell>
          <cell r="E60">
            <v>4</v>
          </cell>
          <cell r="F60">
            <v>3</v>
          </cell>
          <cell r="G60">
            <v>441</v>
          </cell>
          <cell r="H60">
            <v>1014.3</v>
          </cell>
          <cell r="J60">
            <v>3.5</v>
          </cell>
          <cell r="K60">
            <v>2.2000000000000002</v>
          </cell>
          <cell r="L60">
            <v>9</v>
          </cell>
          <cell r="M60" t="str">
            <v>待定</v>
          </cell>
          <cell r="N60">
            <v>1</v>
          </cell>
          <cell r="O60" t="str">
            <v>待定</v>
          </cell>
          <cell r="P60">
            <v>0.2</v>
          </cell>
          <cell r="W60" t="str">
            <v>热卷 3.0t</v>
          </cell>
          <cell r="X60" t="str">
            <v>镀锌卷 3.0t</v>
          </cell>
          <cell r="Y60" t="str">
            <v>Q355镀锌卷 3.0t</v>
          </cell>
          <cell r="AB60" t="str">
            <v>140*135*3 mm,</v>
          </cell>
          <cell r="AC60">
            <v>3.8</v>
          </cell>
          <cell r="AD60">
            <v>4.8</v>
          </cell>
        </row>
        <row r="65">
          <cell r="A65" t="str">
            <v>横斜撑</v>
          </cell>
        </row>
        <row r="66">
          <cell r="A66" t="str">
            <v>90.Br2435.14</v>
          </cell>
          <cell r="C66">
            <v>0.96711999999999998</v>
          </cell>
          <cell r="D66">
            <v>0.17599999999999999</v>
          </cell>
          <cell r="E66">
            <v>4.12</v>
          </cell>
          <cell r="F66">
            <v>1.4</v>
          </cell>
          <cell r="G66">
            <v>88</v>
          </cell>
          <cell r="H66">
            <v>88</v>
          </cell>
          <cell r="J66">
            <v>3.78</v>
          </cell>
          <cell r="K66">
            <v>0.11</v>
          </cell>
          <cell r="L66">
            <v>9</v>
          </cell>
          <cell r="M66" t="str">
            <v>待定</v>
          </cell>
          <cell r="N66">
            <v>0.09</v>
          </cell>
          <cell r="O66" t="str">
            <v>待定</v>
          </cell>
          <cell r="Q66" t="str">
            <v>M10.L65.Socket.Wz</v>
          </cell>
          <cell r="R66">
            <v>1</v>
          </cell>
          <cell r="S66" t="str">
            <v>Spacer.90.φ14.L47</v>
          </cell>
          <cell r="T66">
            <v>1</v>
          </cell>
          <cell r="W66" t="str">
            <v>热卷 1.4t</v>
          </cell>
          <cell r="X66" t="str">
            <v>镀锌卷 1.4t</v>
          </cell>
          <cell r="AB66" t="str">
            <v>24*35*1.4 mm,</v>
          </cell>
        </row>
        <row r="67">
          <cell r="A67" t="str">
            <v>90.Br2440.12</v>
          </cell>
          <cell r="C67">
            <v>0.87605999999999995</v>
          </cell>
          <cell r="D67">
            <v>0.186</v>
          </cell>
          <cell r="E67">
            <v>4.25</v>
          </cell>
          <cell r="F67">
            <v>1.2</v>
          </cell>
          <cell r="G67">
            <v>93</v>
          </cell>
          <cell r="H67">
            <v>93</v>
          </cell>
          <cell r="J67">
            <v>3.82</v>
          </cell>
          <cell r="K67">
            <v>0.11</v>
          </cell>
          <cell r="L67">
            <v>9</v>
          </cell>
          <cell r="M67" t="str">
            <v>待定</v>
          </cell>
          <cell r="N67">
            <v>0.09</v>
          </cell>
          <cell r="O67" t="str">
            <v>待定</v>
          </cell>
          <cell r="Q67" t="str">
            <v>M10.L65.Socket.Wz</v>
          </cell>
          <cell r="R67">
            <v>1</v>
          </cell>
          <cell r="S67" t="str">
            <v>Spacer.90.φ14.L47</v>
          </cell>
          <cell r="T67">
            <v>1</v>
          </cell>
          <cell r="W67" t="str">
            <v>热卷 1.2t</v>
          </cell>
          <cell r="X67" t="str">
            <v>镀锌卷 1.2t</v>
          </cell>
          <cell r="AB67" t="str">
            <v>24*40*1.2 mm,</v>
          </cell>
        </row>
        <row r="68">
          <cell r="A68" t="str">
            <v>90.Br2440.14</v>
          </cell>
          <cell r="C68">
            <v>1.02207</v>
          </cell>
          <cell r="D68">
            <v>0.186</v>
          </cell>
          <cell r="E68">
            <v>4.12</v>
          </cell>
          <cell r="F68">
            <v>1.4</v>
          </cell>
          <cell r="G68">
            <v>93</v>
          </cell>
          <cell r="H68">
            <v>93</v>
          </cell>
          <cell r="J68">
            <v>3.78</v>
          </cell>
          <cell r="K68">
            <v>0.11</v>
          </cell>
          <cell r="L68">
            <v>9</v>
          </cell>
          <cell r="M68" t="str">
            <v>待定</v>
          </cell>
          <cell r="N68">
            <v>0.09</v>
          </cell>
          <cell r="O68" t="str">
            <v>待定</v>
          </cell>
          <cell r="Q68" t="str">
            <v>M10.L65.Socket.Wz</v>
          </cell>
          <cell r="R68">
            <v>1</v>
          </cell>
          <cell r="S68" t="str">
            <v>Spacer.90.φ14.L47</v>
          </cell>
          <cell r="T68">
            <v>1</v>
          </cell>
          <cell r="W68" t="str">
            <v>热卷 1.4t</v>
          </cell>
          <cell r="X68" t="str">
            <v>镀锌卷 1.4t</v>
          </cell>
          <cell r="AB68" t="str">
            <v>24*40*1.4 mm,</v>
          </cell>
        </row>
        <row r="69">
          <cell r="A69" t="str">
            <v>90.Br2440.15</v>
          </cell>
          <cell r="C69">
            <v>1.095075</v>
          </cell>
          <cell r="D69">
            <v>0.186</v>
          </cell>
          <cell r="E69">
            <v>4.1100000000000003</v>
          </cell>
          <cell r="F69">
            <v>1.5</v>
          </cell>
          <cell r="G69">
            <v>93</v>
          </cell>
          <cell r="H69">
            <v>93</v>
          </cell>
          <cell r="J69">
            <v>3.77</v>
          </cell>
          <cell r="K69">
            <v>0.11</v>
          </cell>
          <cell r="L69">
            <v>9</v>
          </cell>
          <cell r="M69" t="str">
            <v>待定</v>
          </cell>
          <cell r="N69">
            <v>0.09</v>
          </cell>
          <cell r="O69" t="str">
            <v>待定</v>
          </cell>
          <cell r="Q69" t="str">
            <v>M10.L65.Socket.Wz</v>
          </cell>
          <cell r="R69">
            <v>1</v>
          </cell>
          <cell r="S69" t="str">
            <v>Spacer.90.φ14.L47</v>
          </cell>
          <cell r="T69">
            <v>1</v>
          </cell>
          <cell r="W69" t="str">
            <v>热卷 1.5t</v>
          </cell>
          <cell r="X69" t="str">
            <v>镀锌卷 1.5t</v>
          </cell>
          <cell r="AB69" t="str">
            <v>24*40*1.5 mm,</v>
          </cell>
        </row>
        <row r="70">
          <cell r="A70" t="str">
            <v>90.Br2440.18</v>
          </cell>
          <cell r="C70">
            <v>1.31409</v>
          </cell>
          <cell r="D70">
            <v>0.186</v>
          </cell>
          <cell r="E70">
            <v>4.03</v>
          </cell>
          <cell r="F70">
            <v>1.8</v>
          </cell>
          <cell r="G70">
            <v>93</v>
          </cell>
          <cell r="H70">
            <v>93</v>
          </cell>
          <cell r="J70">
            <v>3.65</v>
          </cell>
          <cell r="K70">
            <v>0.11</v>
          </cell>
          <cell r="L70">
            <v>9</v>
          </cell>
          <cell r="M70" t="str">
            <v>待定</v>
          </cell>
          <cell r="N70">
            <v>0.09</v>
          </cell>
          <cell r="O70" t="str">
            <v>待定</v>
          </cell>
          <cell r="Q70" t="str">
            <v>M10.L65.Socket.Wz</v>
          </cell>
          <cell r="R70">
            <v>1</v>
          </cell>
          <cell r="S70" t="str">
            <v>Spacer.90.φ14.L47</v>
          </cell>
          <cell r="T70">
            <v>1</v>
          </cell>
          <cell r="W70" t="str">
            <v>热卷 1.8t</v>
          </cell>
          <cell r="X70" t="str">
            <v>镀锌卷 1.8t</v>
          </cell>
          <cell r="AB70" t="str">
            <v>24*40*1.8 mm,</v>
          </cell>
        </row>
        <row r="71">
          <cell r="A71" t="str">
            <v>100.Br3040.12</v>
          </cell>
          <cell r="C71">
            <v>0.96084000000000003</v>
          </cell>
          <cell r="D71">
            <v>0.20399999999999999</v>
          </cell>
          <cell r="E71">
            <v>4.25</v>
          </cell>
          <cell r="F71">
            <v>1.2</v>
          </cell>
          <cell r="G71">
            <v>102</v>
          </cell>
          <cell r="H71">
            <v>102</v>
          </cell>
          <cell r="J71">
            <v>3.82</v>
          </cell>
          <cell r="K71">
            <v>0.11</v>
          </cell>
          <cell r="L71">
            <v>9</v>
          </cell>
          <cell r="M71" t="str">
            <v>待定</v>
          </cell>
          <cell r="N71">
            <v>0.09</v>
          </cell>
          <cell r="O71" t="str">
            <v>待定</v>
          </cell>
          <cell r="Q71" t="str">
            <v>M10.L75.Socket.Wz</v>
          </cell>
          <cell r="R71">
            <v>1</v>
          </cell>
          <cell r="S71" t="str">
            <v>Spacer.100.φ14.L57</v>
          </cell>
          <cell r="T71">
            <v>1</v>
          </cell>
          <cell r="W71" t="str">
            <v>热卷 1.2t</v>
          </cell>
          <cell r="X71" t="str">
            <v>镀锌卷 1.2t</v>
          </cell>
          <cell r="AB71" t="str">
            <v>30*40*1.2 mm,</v>
          </cell>
        </row>
        <row r="72">
          <cell r="A72" t="str">
            <v>100.Br3040.14</v>
          </cell>
          <cell r="C72">
            <v>1.1209800000000001</v>
          </cell>
          <cell r="D72">
            <v>0.20399999999999999</v>
          </cell>
          <cell r="E72">
            <v>4.12</v>
          </cell>
          <cell r="F72">
            <v>1.4</v>
          </cell>
          <cell r="G72">
            <v>102</v>
          </cell>
          <cell r="H72">
            <v>102</v>
          </cell>
          <cell r="J72">
            <v>3.78</v>
          </cell>
          <cell r="K72">
            <v>0.11</v>
          </cell>
          <cell r="L72">
            <v>9</v>
          </cell>
          <cell r="M72" t="str">
            <v>待定</v>
          </cell>
          <cell r="N72">
            <v>0.09</v>
          </cell>
          <cell r="O72" t="str">
            <v>待定</v>
          </cell>
          <cell r="Q72" t="str">
            <v>M10.L75.Socket.Wz</v>
          </cell>
          <cell r="R72">
            <v>1</v>
          </cell>
          <cell r="S72" t="str">
            <v>Spacer.100.φ14.L57</v>
          </cell>
          <cell r="T72">
            <v>1</v>
          </cell>
          <cell r="W72" t="str">
            <v>热卷 1.4t</v>
          </cell>
          <cell r="X72" t="str">
            <v>镀锌卷 1.4t</v>
          </cell>
          <cell r="AB72" t="str">
            <v>30*40*1.4 mm,</v>
          </cell>
        </row>
        <row r="73">
          <cell r="A73" t="str">
            <v>100.Br3040.15</v>
          </cell>
          <cell r="C73">
            <v>1.20105</v>
          </cell>
          <cell r="D73">
            <v>0.20399999999999999</v>
          </cell>
          <cell r="E73">
            <v>4.1100000000000003</v>
          </cell>
          <cell r="F73">
            <v>1.5</v>
          </cell>
          <cell r="G73">
            <v>102</v>
          </cell>
          <cell r="H73">
            <v>102</v>
          </cell>
          <cell r="J73">
            <v>3.77</v>
          </cell>
          <cell r="K73">
            <v>0.11</v>
          </cell>
          <cell r="L73">
            <v>9</v>
          </cell>
          <cell r="M73" t="str">
            <v>待定</v>
          </cell>
          <cell r="N73">
            <v>0.09</v>
          </cell>
          <cell r="O73" t="str">
            <v>待定</v>
          </cell>
          <cell r="Q73" t="str">
            <v>M10.L75.Socket.Wz</v>
          </cell>
          <cell r="R73">
            <v>1</v>
          </cell>
          <cell r="S73" t="str">
            <v>Spacer.100.φ14.L57</v>
          </cell>
          <cell r="T73">
            <v>1</v>
          </cell>
          <cell r="W73" t="str">
            <v>热卷 1.5t</v>
          </cell>
          <cell r="X73" t="str">
            <v>镀锌卷 1.5t</v>
          </cell>
          <cell r="AB73" t="str">
            <v>30*40*1.5 mm,</v>
          </cell>
        </row>
        <row r="74">
          <cell r="A74" t="str">
            <v>100.Br3040.18</v>
          </cell>
          <cell r="C74">
            <v>1.44126</v>
          </cell>
          <cell r="D74">
            <v>0.20399999999999999</v>
          </cell>
          <cell r="E74">
            <v>4.03</v>
          </cell>
          <cell r="F74">
            <v>1.8</v>
          </cell>
          <cell r="G74">
            <v>102</v>
          </cell>
          <cell r="H74">
            <v>102</v>
          </cell>
          <cell r="J74">
            <v>3.65</v>
          </cell>
          <cell r="K74">
            <v>0.11</v>
          </cell>
          <cell r="L74">
            <v>9</v>
          </cell>
          <cell r="M74" t="str">
            <v>待定</v>
          </cell>
          <cell r="N74">
            <v>0.09</v>
          </cell>
          <cell r="O74" t="str">
            <v>待定</v>
          </cell>
          <cell r="Q74" t="str">
            <v>M10.L75.Socket.Wz</v>
          </cell>
          <cell r="R74">
            <v>1</v>
          </cell>
          <cell r="S74" t="str">
            <v>Spacer.100.φ14.L57</v>
          </cell>
          <cell r="T74">
            <v>1</v>
          </cell>
          <cell r="W74" t="str">
            <v>热卷 1.8t</v>
          </cell>
          <cell r="X74" t="str">
            <v>镀锌卷 1.8t</v>
          </cell>
          <cell r="AB74" t="str">
            <v>30*40*1.8 mm,</v>
          </cell>
        </row>
        <row r="75">
          <cell r="A75" t="str">
            <v>120.Br4040.14</v>
          </cell>
          <cell r="C75">
            <v>1.36276</v>
          </cell>
          <cell r="D75">
            <v>0.248</v>
          </cell>
          <cell r="E75">
            <v>4.12</v>
          </cell>
          <cell r="F75">
            <v>1.4</v>
          </cell>
          <cell r="G75">
            <v>124</v>
          </cell>
          <cell r="H75">
            <v>124</v>
          </cell>
          <cell r="J75">
            <v>3.78</v>
          </cell>
          <cell r="K75">
            <v>0.11</v>
          </cell>
          <cell r="L75">
            <v>9</v>
          </cell>
          <cell r="M75" t="str">
            <v>待定</v>
          </cell>
          <cell r="N75">
            <v>0.09</v>
          </cell>
          <cell r="O75" t="str">
            <v>待定</v>
          </cell>
          <cell r="Q75" t="str">
            <v>M10.L95.Socket.Wz</v>
          </cell>
          <cell r="R75">
            <v>1</v>
          </cell>
          <cell r="S75" t="str">
            <v>Spacer.120.φ14.L77</v>
          </cell>
          <cell r="T75">
            <v>1</v>
          </cell>
          <cell r="W75" t="str">
            <v>热卷 1.4t</v>
          </cell>
          <cell r="X75" t="str">
            <v>镀锌卷 1.4t</v>
          </cell>
          <cell r="AB75" t="str">
            <v>40*40*1.4 mm,</v>
          </cell>
        </row>
        <row r="76">
          <cell r="A76" t="str">
            <v>120.Br4040.15</v>
          </cell>
          <cell r="C76">
            <v>1.4601</v>
          </cell>
          <cell r="D76">
            <v>0.248</v>
          </cell>
          <cell r="E76">
            <v>4.1100000000000003</v>
          </cell>
          <cell r="F76">
            <v>1.5</v>
          </cell>
          <cell r="G76">
            <v>124</v>
          </cell>
          <cell r="H76">
            <v>124</v>
          </cell>
          <cell r="J76">
            <v>3.77</v>
          </cell>
          <cell r="K76">
            <v>0.11</v>
          </cell>
          <cell r="L76">
            <v>9</v>
          </cell>
          <cell r="M76" t="str">
            <v>待定</v>
          </cell>
          <cell r="N76">
            <v>0.09</v>
          </cell>
          <cell r="O76" t="str">
            <v>待定</v>
          </cell>
          <cell r="Q76" t="str">
            <v>M10.L95.Socket.Wz</v>
          </cell>
          <cell r="R76">
            <v>1</v>
          </cell>
          <cell r="S76" t="str">
            <v>Spacer.120.φ14.L77</v>
          </cell>
          <cell r="T76">
            <v>1</v>
          </cell>
          <cell r="W76" t="str">
            <v>热卷 1.5t</v>
          </cell>
          <cell r="X76" t="str">
            <v>镀锌卷 1.5t</v>
          </cell>
          <cell r="AB76" t="str">
            <v>40*40*1.5 mm,</v>
          </cell>
        </row>
        <row r="77">
          <cell r="A77" t="str">
            <v>120.Br4040.12</v>
          </cell>
          <cell r="C77">
            <v>1.16808</v>
          </cell>
          <cell r="D77">
            <v>0.248</v>
          </cell>
          <cell r="E77">
            <v>4.25</v>
          </cell>
          <cell r="F77">
            <v>1.2</v>
          </cell>
          <cell r="G77">
            <v>124</v>
          </cell>
          <cell r="H77">
            <v>124</v>
          </cell>
          <cell r="J77">
            <v>3.82</v>
          </cell>
          <cell r="K77">
            <v>0.11</v>
          </cell>
          <cell r="L77">
            <v>9</v>
          </cell>
          <cell r="M77" t="str">
            <v>待定</v>
          </cell>
          <cell r="N77">
            <v>0.09</v>
          </cell>
          <cell r="O77" t="str">
            <v>待定</v>
          </cell>
          <cell r="Q77" t="str">
            <v>M10.L95.Socket.Wz</v>
          </cell>
          <cell r="R77">
            <v>1</v>
          </cell>
          <cell r="S77" t="str">
            <v>Spacer.120.φ14.L77</v>
          </cell>
          <cell r="T77">
            <v>1</v>
          </cell>
          <cell r="W77" t="str">
            <v>热卷 1.2t</v>
          </cell>
          <cell r="X77" t="str">
            <v>镀锌卷 1.2t</v>
          </cell>
          <cell r="AB77" t="str">
            <v>40*40*1.2 mm,</v>
          </cell>
        </row>
        <row r="78">
          <cell r="A78" t="str">
            <v>55.Br1830.12</v>
          </cell>
          <cell r="C78">
            <v>0.63114000000000003</v>
          </cell>
          <cell r="D78">
            <v>0.13400000000000001</v>
          </cell>
          <cell r="E78">
            <v>4.25</v>
          </cell>
          <cell r="F78">
            <v>1.2</v>
          </cell>
          <cell r="G78">
            <v>67</v>
          </cell>
          <cell r="H78">
            <v>67</v>
          </cell>
          <cell r="J78">
            <v>3.82</v>
          </cell>
          <cell r="K78">
            <v>0.1</v>
          </cell>
          <cell r="L78">
            <v>9</v>
          </cell>
          <cell r="M78" t="str">
            <v>待定</v>
          </cell>
          <cell r="N78">
            <v>0.09</v>
          </cell>
          <cell r="O78" t="str">
            <v>待定</v>
          </cell>
          <cell r="Q78" t="str">
            <v>M8.L45 Socket</v>
          </cell>
          <cell r="R78">
            <v>1</v>
          </cell>
          <cell r="S78" t="str">
            <v>Spacer.L55.φ14.L33</v>
          </cell>
          <cell r="T78">
            <v>1</v>
          </cell>
          <cell r="W78" t="str">
            <v>热卷 1.2t</v>
          </cell>
          <cell r="X78" t="str">
            <v>镀锌卷 1.2t</v>
          </cell>
          <cell r="AB78" t="str">
            <v>18*30*1.2 mm,</v>
          </cell>
        </row>
        <row r="79">
          <cell r="A79" t="str">
            <v>55.Br1830.13</v>
          </cell>
          <cell r="C79">
            <v>0.68373499999999998</v>
          </cell>
          <cell r="D79">
            <v>0.13400000000000001</v>
          </cell>
          <cell r="F79">
            <v>1.3</v>
          </cell>
          <cell r="G79">
            <v>67</v>
          </cell>
          <cell r="H79">
            <v>67</v>
          </cell>
          <cell r="J79">
            <v>0</v>
          </cell>
          <cell r="K79">
            <v>0.1</v>
          </cell>
          <cell r="L79">
            <v>9</v>
          </cell>
          <cell r="M79" t="str">
            <v>待定</v>
          </cell>
          <cell r="N79">
            <v>0.09</v>
          </cell>
          <cell r="O79" t="str">
            <v>待定</v>
          </cell>
          <cell r="Q79" t="str">
            <v>M8.L45 Socket</v>
          </cell>
          <cell r="R79">
            <v>1</v>
          </cell>
          <cell r="S79" t="str">
            <v>Spacer.L55.φ14.L33</v>
          </cell>
          <cell r="T79">
            <v>1</v>
          </cell>
          <cell r="W79" t="str">
            <v>热卷 1.3t</v>
          </cell>
          <cell r="AB79" t="str">
            <v>18*30*1.3 mm,</v>
          </cell>
        </row>
        <row r="80">
          <cell r="A80" t="str">
            <v xml:space="preserve">55.Br2530.13 </v>
          </cell>
          <cell r="C80">
            <v>0.83681000000000005</v>
          </cell>
          <cell r="D80">
            <v>0.16400000000000001</v>
          </cell>
          <cell r="F80">
            <v>1.3</v>
          </cell>
          <cell r="G80">
            <v>82</v>
          </cell>
          <cell r="H80">
            <v>82</v>
          </cell>
          <cell r="J80">
            <v>0</v>
          </cell>
          <cell r="K80">
            <v>0.1</v>
          </cell>
          <cell r="L80">
            <v>9</v>
          </cell>
          <cell r="M80" t="str">
            <v>待定</v>
          </cell>
          <cell r="N80">
            <v>0.09</v>
          </cell>
          <cell r="O80" t="str">
            <v>待定</v>
          </cell>
          <cell r="Q80" t="str">
            <v>M8.L40 Socket</v>
          </cell>
          <cell r="R80">
            <v>1</v>
          </cell>
          <cell r="W80" t="str">
            <v>热卷 1.3t</v>
          </cell>
          <cell r="AB80" t="str">
            <v>25*30*1.3 mm,</v>
          </cell>
        </row>
        <row r="81">
          <cell r="A81" t="str">
            <v>60.Br1830.12</v>
          </cell>
          <cell r="C81">
            <v>0.63114000000000003</v>
          </cell>
          <cell r="D81">
            <v>0.13400000000000001</v>
          </cell>
          <cell r="E81">
            <v>4.25</v>
          </cell>
          <cell r="F81">
            <v>1.2</v>
          </cell>
          <cell r="G81">
            <v>67</v>
          </cell>
          <cell r="H81">
            <v>67</v>
          </cell>
          <cell r="J81">
            <v>3.82</v>
          </cell>
          <cell r="K81">
            <v>0.1</v>
          </cell>
          <cell r="L81">
            <v>9</v>
          </cell>
          <cell r="M81" t="str">
            <v>待定</v>
          </cell>
          <cell r="N81">
            <v>0.09</v>
          </cell>
          <cell r="O81" t="str">
            <v>待定</v>
          </cell>
          <cell r="Q81" t="str">
            <v>M6.L45 Socket</v>
          </cell>
          <cell r="R81">
            <v>1</v>
          </cell>
          <cell r="S81" t="str">
            <v>Spacer.L55.φ14.L33</v>
          </cell>
          <cell r="T81">
            <v>1</v>
          </cell>
          <cell r="W81" t="str">
            <v>热卷 1.2t</v>
          </cell>
          <cell r="X81" t="str">
            <v>镀锌卷 1.2t</v>
          </cell>
          <cell r="AB81" t="str">
            <v>18*30*1.2 mm,</v>
          </cell>
        </row>
        <row r="88">
          <cell r="A88" t="str">
            <v>K抱梁</v>
          </cell>
          <cell r="R88" t="str">
            <v>大货架柱卡面宽</v>
          </cell>
        </row>
        <row r="89">
          <cell r="A89" t="str">
            <v>B8050.15</v>
          </cell>
          <cell r="C89">
            <v>4.3096500000000004</v>
          </cell>
          <cell r="D89">
            <v>0.26</v>
          </cell>
          <cell r="F89">
            <v>1.5</v>
          </cell>
          <cell r="G89">
            <v>183</v>
          </cell>
          <cell r="H89">
            <v>80</v>
          </cell>
          <cell r="I89">
            <v>50</v>
          </cell>
          <cell r="J89">
            <v>3.77</v>
          </cell>
          <cell r="K89">
            <v>2.6</v>
          </cell>
          <cell r="L89">
            <v>9.1999999999999993</v>
          </cell>
          <cell r="M89" t="str">
            <v>待定</v>
          </cell>
          <cell r="O89" t="str">
            <v>待定</v>
          </cell>
          <cell r="R89">
            <v>60</v>
          </cell>
          <cell r="W89" t="str">
            <v>热卷 1.5t</v>
          </cell>
          <cell r="AB89" t="str">
            <v>B80*50*1.5 mm,</v>
          </cell>
          <cell r="AC89">
            <v>4.0199999999999996</v>
          </cell>
        </row>
        <row r="90">
          <cell r="A90" t="str">
            <v>B9050.15</v>
          </cell>
          <cell r="C90">
            <v>4.5451499999999996</v>
          </cell>
          <cell r="D90">
            <v>0.28000000000000003</v>
          </cell>
          <cell r="F90">
            <v>1.5</v>
          </cell>
          <cell r="G90">
            <v>193</v>
          </cell>
          <cell r="H90">
            <v>90</v>
          </cell>
          <cell r="I90">
            <v>50</v>
          </cell>
          <cell r="J90">
            <v>3.77</v>
          </cell>
          <cell r="K90">
            <v>2.6</v>
          </cell>
          <cell r="L90">
            <v>9.1999999999999993</v>
          </cell>
          <cell r="M90" t="str">
            <v>待定</v>
          </cell>
          <cell r="O90" t="str">
            <v>待定</v>
          </cell>
          <cell r="R90">
            <v>60</v>
          </cell>
          <cell r="W90" t="str">
            <v>热卷 1.5t</v>
          </cell>
          <cell r="AB90" t="str">
            <v>B90*50*1.5 mm,</v>
          </cell>
          <cell r="AC90">
            <v>4.0199999999999996</v>
          </cell>
        </row>
        <row r="91">
          <cell r="A91" t="str">
            <v>B10050.15</v>
          </cell>
          <cell r="C91">
            <v>4.82775</v>
          </cell>
          <cell r="D91">
            <v>0.3</v>
          </cell>
          <cell r="F91">
            <v>1.5</v>
          </cell>
          <cell r="G91">
            <v>205</v>
          </cell>
          <cell r="H91">
            <v>100</v>
          </cell>
          <cell r="I91">
            <v>50</v>
          </cell>
          <cell r="J91">
            <v>3.77</v>
          </cell>
          <cell r="K91">
            <v>2.6</v>
          </cell>
          <cell r="L91">
            <v>9.1999999999999993</v>
          </cell>
          <cell r="M91" t="str">
            <v>待定</v>
          </cell>
          <cell r="O91" t="str">
            <v>待定</v>
          </cell>
          <cell r="R91">
            <v>60</v>
          </cell>
          <cell r="W91" t="str">
            <v>热卷 1.5t</v>
          </cell>
          <cell r="AB91" t="str">
            <v>B100*50*1.5 mm,</v>
          </cell>
          <cell r="AC91">
            <v>4.0199999999999996</v>
          </cell>
        </row>
        <row r="92">
          <cell r="A92" t="str">
            <v>B11050.15</v>
          </cell>
          <cell r="C92">
            <v>5.06325</v>
          </cell>
          <cell r="D92">
            <v>0.32</v>
          </cell>
          <cell r="F92">
            <v>1.5</v>
          </cell>
          <cell r="G92">
            <v>215</v>
          </cell>
          <cell r="H92">
            <v>110</v>
          </cell>
          <cell r="I92">
            <v>50</v>
          </cell>
          <cell r="J92">
            <v>3.77</v>
          </cell>
          <cell r="K92">
            <v>2.6</v>
          </cell>
          <cell r="L92">
            <v>9.1999999999999993</v>
          </cell>
          <cell r="M92" t="str">
            <v>待定</v>
          </cell>
          <cell r="O92" t="str">
            <v>待定</v>
          </cell>
          <cell r="R92">
            <v>60</v>
          </cell>
          <cell r="W92" t="str">
            <v>热卷 1.5t</v>
          </cell>
          <cell r="AB92" t="str">
            <v>B110*50*1.5 mm,</v>
          </cell>
          <cell r="AC92">
            <v>4.0199999999999996</v>
          </cell>
        </row>
        <row r="93">
          <cell r="A93" t="str">
            <v>B12050.15</v>
          </cell>
          <cell r="B93">
            <v>15.3804</v>
          </cell>
          <cell r="C93">
            <v>5.2987500000000001</v>
          </cell>
          <cell r="D93">
            <v>0.34</v>
          </cell>
          <cell r="F93">
            <v>1.5</v>
          </cell>
          <cell r="G93">
            <v>225</v>
          </cell>
          <cell r="H93">
            <v>120</v>
          </cell>
          <cell r="I93">
            <v>50</v>
          </cell>
          <cell r="J93">
            <v>3.77</v>
          </cell>
          <cell r="K93">
            <v>2.6</v>
          </cell>
          <cell r="L93">
            <v>9.1999999999999993</v>
          </cell>
          <cell r="M93" t="str">
            <v>待定</v>
          </cell>
          <cell r="O93" t="str">
            <v>待定</v>
          </cell>
          <cell r="R93">
            <v>60</v>
          </cell>
          <cell r="W93" t="str">
            <v>热卷 1.5t</v>
          </cell>
          <cell r="AB93" t="str">
            <v>B120*50*1.5 mm,</v>
          </cell>
          <cell r="AC93">
            <v>4.0199999999999996</v>
          </cell>
        </row>
        <row r="94">
          <cell r="A94" t="str">
            <v>B13050.15</v>
          </cell>
          <cell r="C94">
            <v>5.5342500000000001</v>
          </cell>
          <cell r="D94">
            <v>0.36</v>
          </cell>
          <cell r="F94">
            <v>1.5</v>
          </cell>
          <cell r="G94">
            <v>235</v>
          </cell>
          <cell r="H94">
            <v>130</v>
          </cell>
          <cell r="I94">
            <v>50</v>
          </cell>
          <cell r="J94">
            <v>3.77</v>
          </cell>
          <cell r="K94">
            <v>3</v>
          </cell>
          <cell r="L94">
            <v>9.1999999999999993</v>
          </cell>
          <cell r="M94" t="str">
            <v>待定</v>
          </cell>
          <cell r="O94" t="str">
            <v>待定</v>
          </cell>
          <cell r="R94">
            <v>60</v>
          </cell>
          <cell r="W94" t="str">
            <v>热卷 1.5t</v>
          </cell>
          <cell r="AB94" t="str">
            <v>B130*50*1.5 mm,</v>
          </cell>
          <cell r="AC94">
            <v>4.0199999999999996</v>
          </cell>
        </row>
        <row r="95">
          <cell r="A95" t="str">
            <v>B14050.15</v>
          </cell>
          <cell r="C95">
            <v>5.7697500000000002</v>
          </cell>
          <cell r="D95">
            <v>0.38</v>
          </cell>
          <cell r="F95">
            <v>1.5</v>
          </cell>
          <cell r="G95">
            <v>245</v>
          </cell>
          <cell r="H95">
            <v>140</v>
          </cell>
          <cell r="I95">
            <v>50</v>
          </cell>
          <cell r="J95">
            <v>3.77</v>
          </cell>
          <cell r="K95">
            <v>3</v>
          </cell>
          <cell r="L95">
            <v>9.1999999999999993</v>
          </cell>
          <cell r="M95" t="str">
            <v>待定</v>
          </cell>
          <cell r="O95" t="str">
            <v>待定</v>
          </cell>
          <cell r="R95">
            <v>60</v>
          </cell>
          <cell r="W95" t="str">
            <v>热卷 1.5t</v>
          </cell>
          <cell r="AB95" t="str">
            <v>B140*50*1.5 mm,</v>
          </cell>
          <cell r="AC95">
            <v>4.0199999999999996</v>
          </cell>
        </row>
        <row r="96">
          <cell r="A96" t="str">
            <v>B15050.15</v>
          </cell>
          <cell r="C96">
            <v>6.0052500000000002</v>
          </cell>
          <cell r="D96">
            <v>0.4</v>
          </cell>
          <cell r="F96">
            <v>1.5</v>
          </cell>
          <cell r="G96">
            <v>255</v>
          </cell>
          <cell r="H96">
            <v>150</v>
          </cell>
          <cell r="I96">
            <v>50</v>
          </cell>
          <cell r="J96">
            <v>3.77</v>
          </cell>
          <cell r="K96">
            <v>3</v>
          </cell>
          <cell r="L96">
            <v>9.1999999999999993</v>
          </cell>
          <cell r="M96" t="str">
            <v>待定</v>
          </cell>
          <cell r="O96" t="str">
            <v>待定</v>
          </cell>
          <cell r="R96">
            <v>60</v>
          </cell>
          <cell r="W96" t="str">
            <v>热卷 1.5t</v>
          </cell>
          <cell r="AB96" t="str">
            <v>B150*50*1.5 mm,</v>
          </cell>
          <cell r="AC96">
            <v>4.0199999999999996</v>
          </cell>
        </row>
        <row r="97">
          <cell r="A97" t="str">
            <v>B15550.15</v>
          </cell>
          <cell r="C97">
            <v>6.1230000000000002</v>
          </cell>
          <cell r="D97">
            <v>0.41</v>
          </cell>
          <cell r="F97">
            <v>1.5</v>
          </cell>
          <cell r="G97">
            <v>260</v>
          </cell>
          <cell r="H97">
            <v>155</v>
          </cell>
          <cell r="I97">
            <v>50</v>
          </cell>
          <cell r="J97">
            <v>3.77</v>
          </cell>
          <cell r="K97">
            <v>3.2</v>
          </cell>
          <cell r="L97">
            <v>9.1999999999999993</v>
          </cell>
          <cell r="M97" t="str">
            <v>待定</v>
          </cell>
          <cell r="O97" t="str">
            <v>待定</v>
          </cell>
          <cell r="R97">
            <v>60</v>
          </cell>
          <cell r="W97" t="str">
            <v>热卷 1.5t</v>
          </cell>
          <cell r="AB97" t="str">
            <v>B155*50*1.5 mm,</v>
          </cell>
          <cell r="AC97">
            <v>4.0199999999999996</v>
          </cell>
        </row>
        <row r="98">
          <cell r="A98" t="str">
            <v>B16050.15</v>
          </cell>
          <cell r="C98">
            <v>6.2407500000000002</v>
          </cell>
          <cell r="D98">
            <v>0.42</v>
          </cell>
          <cell r="F98">
            <v>1.5</v>
          </cell>
          <cell r="G98">
            <v>265</v>
          </cell>
          <cell r="H98">
            <v>160</v>
          </cell>
          <cell r="I98">
            <v>50</v>
          </cell>
          <cell r="J98">
            <v>3.77</v>
          </cell>
          <cell r="K98">
            <v>3.4</v>
          </cell>
          <cell r="L98">
            <v>9.1999999999999993</v>
          </cell>
          <cell r="M98" t="str">
            <v>待定</v>
          </cell>
          <cell r="O98" t="str">
            <v>待定</v>
          </cell>
          <cell r="R98">
            <v>60</v>
          </cell>
          <cell r="W98" t="str">
            <v>热卷 1.5t</v>
          </cell>
          <cell r="AB98" t="str">
            <v>B160*50*1.5 mm,</v>
          </cell>
          <cell r="AC98">
            <v>4.0199999999999996</v>
          </cell>
        </row>
        <row r="99">
          <cell r="A99" t="str">
            <v>B18050.15</v>
          </cell>
          <cell r="C99">
            <v>6.7117500000000003</v>
          </cell>
          <cell r="D99">
            <v>0.46</v>
          </cell>
          <cell r="F99">
            <v>1.5</v>
          </cell>
          <cell r="G99">
            <v>285</v>
          </cell>
          <cell r="H99">
            <v>180</v>
          </cell>
          <cell r="I99">
            <v>50</v>
          </cell>
          <cell r="J99">
            <v>3.77</v>
          </cell>
          <cell r="K99">
            <v>3.7</v>
          </cell>
          <cell r="L99">
            <v>9.1999999999999993</v>
          </cell>
          <cell r="M99" t="str">
            <v>待定</v>
          </cell>
          <cell r="O99" t="str">
            <v>待定</v>
          </cell>
          <cell r="R99">
            <v>60</v>
          </cell>
          <cell r="W99" t="str">
            <v>热卷 1.5t</v>
          </cell>
          <cell r="AB99" t="str">
            <v>B180*50*1.5 mm,</v>
          </cell>
          <cell r="AC99">
            <v>4.0199999999999996</v>
          </cell>
        </row>
        <row r="100">
          <cell r="A100" t="str">
            <v>B12050.18</v>
          </cell>
          <cell r="B100">
            <v>15.3804</v>
          </cell>
          <cell r="C100">
            <v>6.3585000000000003</v>
          </cell>
          <cell r="D100">
            <v>0.34</v>
          </cell>
          <cell r="F100">
            <v>1.8</v>
          </cell>
          <cell r="G100">
            <v>225</v>
          </cell>
          <cell r="H100">
            <v>120</v>
          </cell>
          <cell r="I100">
            <v>50</v>
          </cell>
          <cell r="J100">
            <v>3.65</v>
          </cell>
          <cell r="K100">
            <v>2.6</v>
          </cell>
          <cell r="L100">
            <v>9.1999999999999993</v>
          </cell>
          <cell r="M100" t="str">
            <v>待定</v>
          </cell>
          <cell r="O100" t="str">
            <v>待定</v>
          </cell>
          <cell r="R100">
            <v>60</v>
          </cell>
          <cell r="W100" t="str">
            <v>热卷 1.8t</v>
          </cell>
          <cell r="AB100" t="str">
            <v>B120*50*1.8 mm,</v>
          </cell>
          <cell r="AC100">
            <v>3.9</v>
          </cell>
        </row>
        <row r="101">
          <cell r="A101" t="str">
            <v>B15550.18</v>
          </cell>
          <cell r="C101">
            <v>7.3475999999999999</v>
          </cell>
          <cell r="D101">
            <v>0.41</v>
          </cell>
          <cell r="F101">
            <v>1.8</v>
          </cell>
          <cell r="G101">
            <v>260</v>
          </cell>
          <cell r="H101">
            <v>155</v>
          </cell>
          <cell r="I101">
            <v>50</v>
          </cell>
          <cell r="J101">
            <v>3.65</v>
          </cell>
          <cell r="K101">
            <v>3.2</v>
          </cell>
          <cell r="L101">
            <v>9.1999999999999993</v>
          </cell>
          <cell r="M101" t="str">
            <v>待定</v>
          </cell>
          <cell r="O101" t="str">
            <v>待定</v>
          </cell>
          <cell r="R101">
            <v>60</v>
          </cell>
          <cell r="W101" t="str">
            <v>热卷 1.8t</v>
          </cell>
          <cell r="AB101" t="str">
            <v>B155*50*1.8 mm,</v>
          </cell>
          <cell r="AC101">
            <v>3.9</v>
          </cell>
        </row>
        <row r="102">
          <cell r="A102" t="str">
            <v>B16050.18</v>
          </cell>
          <cell r="C102">
            <v>7.4889000000000001</v>
          </cell>
          <cell r="D102">
            <v>0.42</v>
          </cell>
          <cell r="F102">
            <v>1.8</v>
          </cell>
          <cell r="G102">
            <v>265</v>
          </cell>
          <cell r="H102">
            <v>160</v>
          </cell>
          <cell r="I102">
            <v>50</v>
          </cell>
          <cell r="J102">
            <v>3.65</v>
          </cell>
          <cell r="K102">
            <v>3.4</v>
          </cell>
          <cell r="L102">
            <v>9.1999999999999993</v>
          </cell>
          <cell r="M102" t="str">
            <v>待定</v>
          </cell>
          <cell r="O102" t="str">
            <v>待定</v>
          </cell>
          <cell r="R102">
            <v>60</v>
          </cell>
          <cell r="W102" t="str">
            <v>热卷 1.8t</v>
          </cell>
          <cell r="AB102" t="str">
            <v>B160*50*1.8 mm,</v>
          </cell>
          <cell r="AC102">
            <v>3.9</v>
          </cell>
        </row>
        <row r="103">
          <cell r="A103" t="str">
            <v>B18050.18</v>
          </cell>
          <cell r="C103">
            <v>8.0541</v>
          </cell>
          <cell r="D103">
            <v>0.46</v>
          </cell>
          <cell r="F103">
            <v>1.8</v>
          </cell>
          <cell r="G103">
            <v>285</v>
          </cell>
          <cell r="H103">
            <v>180</v>
          </cell>
          <cell r="I103">
            <v>50</v>
          </cell>
          <cell r="J103">
            <v>3.65</v>
          </cell>
          <cell r="K103">
            <v>3.7</v>
          </cell>
          <cell r="L103">
            <v>9.1999999999999993</v>
          </cell>
          <cell r="M103" t="str">
            <v>待定</v>
          </cell>
          <cell r="O103" t="str">
            <v>待定</v>
          </cell>
          <cell r="R103">
            <v>60</v>
          </cell>
          <cell r="W103" t="str">
            <v>热卷 1.8t</v>
          </cell>
          <cell r="AB103" t="str">
            <v>B180*50*1.8 mm,</v>
          </cell>
          <cell r="AC103">
            <v>3.9</v>
          </cell>
        </row>
        <row r="104">
          <cell r="A104" t="str">
            <v>B12050.20</v>
          </cell>
          <cell r="B104">
            <v>15.3804</v>
          </cell>
          <cell r="C104">
            <v>7.0650000000000004</v>
          </cell>
          <cell r="D104">
            <v>0.34</v>
          </cell>
          <cell r="F104">
            <v>2</v>
          </cell>
          <cell r="G104">
            <v>225</v>
          </cell>
          <cell r="H104">
            <v>120</v>
          </cell>
          <cell r="I104">
            <v>50</v>
          </cell>
          <cell r="J104">
            <v>3.63</v>
          </cell>
          <cell r="K104">
            <v>2.6</v>
          </cell>
          <cell r="L104">
            <v>9.1999999999999993</v>
          </cell>
          <cell r="M104" t="str">
            <v>待定</v>
          </cell>
          <cell r="O104" t="str">
            <v>待定</v>
          </cell>
          <cell r="R104">
            <v>60</v>
          </cell>
          <cell r="W104" t="str">
            <v>热卷 2.0t</v>
          </cell>
          <cell r="AB104" t="str">
            <v>B120*50*2 mm,</v>
          </cell>
          <cell r="AC104">
            <v>3.88</v>
          </cell>
        </row>
        <row r="105">
          <cell r="A105" t="str">
            <v>B16050.20</v>
          </cell>
          <cell r="C105">
            <v>8.3209999999999997</v>
          </cell>
          <cell r="D105">
            <v>0.42</v>
          </cell>
          <cell r="F105">
            <v>2</v>
          </cell>
          <cell r="G105">
            <v>265</v>
          </cell>
          <cell r="H105">
            <v>160</v>
          </cell>
          <cell r="I105">
            <v>50</v>
          </cell>
          <cell r="J105">
            <v>3.63</v>
          </cell>
          <cell r="K105">
            <v>3.4</v>
          </cell>
          <cell r="L105">
            <v>9.1999999999999993</v>
          </cell>
          <cell r="M105" t="str">
            <v>待定</v>
          </cell>
          <cell r="O105" t="str">
            <v>待定</v>
          </cell>
          <cell r="R105">
            <v>60</v>
          </cell>
          <cell r="W105" t="str">
            <v>热卷 2.0t</v>
          </cell>
          <cell r="AB105" t="str">
            <v>B160*50*2 mm,</v>
          </cell>
          <cell r="AC105">
            <v>3.88</v>
          </cell>
        </row>
        <row r="106">
          <cell r="A106" t="str">
            <v>B18050.20</v>
          </cell>
          <cell r="C106">
            <v>8.9489999999999998</v>
          </cell>
          <cell r="D106">
            <v>0.46</v>
          </cell>
          <cell r="F106">
            <v>2</v>
          </cell>
          <cell r="G106">
            <v>285</v>
          </cell>
          <cell r="H106">
            <v>180</v>
          </cell>
          <cell r="I106">
            <v>50</v>
          </cell>
          <cell r="J106">
            <v>3.63</v>
          </cell>
          <cell r="K106">
            <v>3.7</v>
          </cell>
          <cell r="L106">
            <v>9.1999999999999993</v>
          </cell>
          <cell r="M106" t="str">
            <v>待定</v>
          </cell>
          <cell r="O106" t="str">
            <v>待定</v>
          </cell>
          <cell r="R106">
            <v>60</v>
          </cell>
          <cell r="W106" t="str">
            <v>热卷 2.0t</v>
          </cell>
          <cell r="AB106" t="str">
            <v>B180*50*2 mm,</v>
          </cell>
          <cell r="AC106">
            <v>3.88</v>
          </cell>
        </row>
        <row r="107">
          <cell r="A107" t="str">
            <v>B8050.14</v>
          </cell>
          <cell r="C107">
            <v>4.0223399999999998</v>
          </cell>
          <cell r="D107">
            <v>0.26</v>
          </cell>
          <cell r="F107">
            <v>1.4</v>
          </cell>
          <cell r="G107">
            <v>183</v>
          </cell>
          <cell r="H107">
            <v>80</v>
          </cell>
          <cell r="I107">
            <v>50</v>
          </cell>
          <cell r="J107">
            <v>3.78</v>
          </cell>
          <cell r="K107">
            <v>2.6</v>
          </cell>
          <cell r="L107">
            <v>9.1999999999999993</v>
          </cell>
          <cell r="M107" t="str">
            <v>待定</v>
          </cell>
          <cell r="O107" t="str">
            <v>待定</v>
          </cell>
          <cell r="R107">
            <v>60</v>
          </cell>
          <cell r="W107" t="str">
            <v>热卷 1.4t</v>
          </cell>
          <cell r="AB107" t="str">
            <v>B80*50*1.4 mm,</v>
          </cell>
          <cell r="AC107">
            <v>4.0299999999999994</v>
          </cell>
        </row>
        <row r="108">
          <cell r="A108" t="str">
            <v>B10050.13</v>
          </cell>
          <cell r="C108">
            <v>4.18405</v>
          </cell>
          <cell r="D108">
            <v>0.3</v>
          </cell>
          <cell r="F108">
            <v>1.3</v>
          </cell>
          <cell r="G108">
            <v>205</v>
          </cell>
          <cell r="H108">
            <v>100</v>
          </cell>
          <cell r="I108">
            <v>50</v>
          </cell>
          <cell r="J108">
            <v>0</v>
          </cell>
          <cell r="K108">
            <v>2.6</v>
          </cell>
          <cell r="L108">
            <v>9.1999999999999993</v>
          </cell>
          <cell r="M108" t="str">
            <v>待定</v>
          </cell>
          <cell r="O108" t="str">
            <v>待定</v>
          </cell>
          <cell r="R108">
            <v>60</v>
          </cell>
          <cell r="W108" t="str">
            <v>热卷 1.3t</v>
          </cell>
          <cell r="AB108" t="str">
            <v>B100*50*1.3 mm,</v>
          </cell>
          <cell r="AC108">
            <v>0.25</v>
          </cell>
        </row>
        <row r="114">
          <cell r="A114" t="str">
            <v>P-型梁</v>
          </cell>
          <cell r="Q114" t="str">
            <v>中型货架面宽</v>
          </cell>
          <cell r="R114" t="str">
            <v>中型/重型柱卡面宽</v>
          </cell>
        </row>
        <row r="115">
          <cell r="A115" t="str">
            <v>P5030/25.12</v>
          </cell>
          <cell r="C115">
            <v>1.4601</v>
          </cell>
          <cell r="D115">
            <v>0.16</v>
          </cell>
          <cell r="F115">
            <v>1.2</v>
          </cell>
          <cell r="G115">
            <v>155</v>
          </cell>
          <cell r="H115">
            <v>50</v>
          </cell>
          <cell r="I115">
            <v>30</v>
          </cell>
          <cell r="J115">
            <v>4.16</v>
          </cell>
          <cell r="K115">
            <v>2</v>
          </cell>
          <cell r="L115">
            <v>9.6999999999999993</v>
          </cell>
          <cell r="Q115">
            <v>50</v>
          </cell>
          <cell r="R115" t="str">
            <v>50/60</v>
          </cell>
          <cell r="W115" t="str">
            <v>P型梁半光亮 1.2t</v>
          </cell>
          <cell r="AB115" t="str">
            <v>P50*30*1.2 mm,</v>
          </cell>
        </row>
        <row r="116">
          <cell r="A116" t="str">
            <v>P5030/25.15</v>
          </cell>
          <cell r="C116">
            <v>1.81335</v>
          </cell>
          <cell r="D116">
            <v>0.16</v>
          </cell>
          <cell r="F116">
            <v>1.5</v>
          </cell>
          <cell r="G116">
            <v>154</v>
          </cell>
          <cell r="H116">
            <v>50</v>
          </cell>
          <cell r="I116">
            <v>30</v>
          </cell>
          <cell r="J116">
            <v>4.16</v>
          </cell>
          <cell r="K116">
            <v>2</v>
          </cell>
          <cell r="L116">
            <v>9.6999999999999993</v>
          </cell>
          <cell r="Q116">
            <v>50</v>
          </cell>
          <cell r="R116" t="str">
            <v>50/60</v>
          </cell>
          <cell r="W116" t="str">
            <v>P型梁半光亮 1.5t</v>
          </cell>
          <cell r="AB116" t="str">
            <v>P50*30*1.5 mm,</v>
          </cell>
        </row>
        <row r="117">
          <cell r="A117" t="str">
            <v>P6040/18.12</v>
          </cell>
          <cell r="C117">
            <v>1.8369</v>
          </cell>
          <cell r="D117">
            <v>0.2</v>
          </cell>
          <cell r="F117">
            <v>1.2</v>
          </cell>
          <cell r="G117">
            <v>195</v>
          </cell>
          <cell r="H117">
            <v>60</v>
          </cell>
          <cell r="I117">
            <v>40</v>
          </cell>
          <cell r="J117">
            <v>4.16</v>
          </cell>
          <cell r="K117">
            <v>2</v>
          </cell>
          <cell r="L117">
            <v>9.6999999999999993</v>
          </cell>
          <cell r="Q117">
            <v>50</v>
          </cell>
          <cell r="R117" t="str">
            <v>50/60</v>
          </cell>
          <cell r="W117" t="str">
            <v>P型梁半光亮 1.2t</v>
          </cell>
          <cell r="AB117" t="str">
            <v>P60*40*1.2 mm,</v>
          </cell>
        </row>
        <row r="118">
          <cell r="A118" t="str">
            <v>P6040/28.15</v>
          </cell>
          <cell r="C118">
            <v>2.2843499999999999</v>
          </cell>
          <cell r="D118">
            <v>0.2</v>
          </cell>
          <cell r="F118">
            <v>1.5</v>
          </cell>
          <cell r="G118">
            <v>194</v>
          </cell>
          <cell r="H118">
            <v>60</v>
          </cell>
          <cell r="I118">
            <v>40</v>
          </cell>
          <cell r="J118">
            <v>4.16</v>
          </cell>
          <cell r="K118">
            <v>2</v>
          </cell>
          <cell r="L118">
            <v>9.6999999999999993</v>
          </cell>
          <cell r="Q118">
            <v>50</v>
          </cell>
          <cell r="R118" t="str">
            <v>50/60</v>
          </cell>
          <cell r="W118" t="str">
            <v>P型梁半光亮 1.5t</v>
          </cell>
          <cell r="AB118" t="str">
            <v>P60*40*1.5 mm,</v>
          </cell>
        </row>
        <row r="119">
          <cell r="A119" t="str">
            <v>P6040/18.20</v>
          </cell>
          <cell r="C119">
            <v>3.0144000000000002</v>
          </cell>
          <cell r="D119">
            <v>0.2</v>
          </cell>
          <cell r="F119">
            <v>2</v>
          </cell>
          <cell r="G119">
            <v>192</v>
          </cell>
          <cell r="H119">
            <v>60</v>
          </cell>
          <cell r="I119">
            <v>40</v>
          </cell>
          <cell r="J119">
            <v>4.16</v>
          </cell>
          <cell r="K119">
            <v>2</v>
          </cell>
          <cell r="L119">
            <v>9.6999999999999993</v>
          </cell>
          <cell r="Q119">
            <v>50</v>
          </cell>
          <cell r="R119" t="str">
            <v>50/60</v>
          </cell>
          <cell r="W119" t="str">
            <v>P型梁半光亮 2.0t</v>
          </cell>
          <cell r="AB119" t="str">
            <v>P60*40*2 mm,</v>
          </cell>
        </row>
        <row r="120">
          <cell r="A120" t="str">
            <v>P6040/28.20</v>
          </cell>
          <cell r="C120">
            <v>3.0144000000000002</v>
          </cell>
          <cell r="D120">
            <v>0.2</v>
          </cell>
          <cell r="F120">
            <v>2</v>
          </cell>
          <cell r="G120">
            <v>192</v>
          </cell>
          <cell r="H120">
            <v>60</v>
          </cell>
          <cell r="I120">
            <v>40</v>
          </cell>
          <cell r="J120">
            <v>4.16</v>
          </cell>
          <cell r="K120">
            <v>2</v>
          </cell>
          <cell r="L120">
            <v>9.6999999999999993</v>
          </cell>
          <cell r="Q120">
            <v>50</v>
          </cell>
          <cell r="R120" t="str">
            <v>50/60</v>
          </cell>
          <cell r="W120" t="str">
            <v>P型梁半光亮 2.0t</v>
          </cell>
          <cell r="AB120" t="str">
            <v>P60*40*2 mm,</v>
          </cell>
        </row>
        <row r="121">
          <cell r="A121" t="str">
            <v>P8050/28.12</v>
          </cell>
          <cell r="C121">
            <v>2.4039839999999999</v>
          </cell>
          <cell r="D121">
            <v>0.26</v>
          </cell>
          <cell r="F121">
            <v>1.2</v>
          </cell>
          <cell r="G121">
            <v>255.2</v>
          </cell>
          <cell r="H121">
            <v>80</v>
          </cell>
          <cell r="I121">
            <v>50</v>
          </cell>
          <cell r="J121">
            <v>4.16</v>
          </cell>
          <cell r="K121">
            <v>2.4</v>
          </cell>
          <cell r="L121">
            <v>9.1999999999999993</v>
          </cell>
          <cell r="Q121">
            <v>60</v>
          </cell>
          <cell r="R121">
            <v>60</v>
          </cell>
          <cell r="W121" t="str">
            <v>P型梁半光亮 1.2t</v>
          </cell>
          <cell r="AB121" t="str">
            <v>P80*50*1.2 mm,</v>
          </cell>
        </row>
        <row r="122">
          <cell r="A122" t="str">
            <v>P8050/28.15</v>
          </cell>
          <cell r="C122">
            <v>2.99085</v>
          </cell>
          <cell r="D122">
            <v>0.26</v>
          </cell>
          <cell r="F122">
            <v>1.5</v>
          </cell>
          <cell r="G122">
            <v>254</v>
          </cell>
          <cell r="H122">
            <v>80</v>
          </cell>
          <cell r="I122">
            <v>50</v>
          </cell>
          <cell r="J122">
            <v>4.16</v>
          </cell>
          <cell r="K122">
            <v>2.4</v>
          </cell>
          <cell r="L122">
            <v>9.1999999999999993</v>
          </cell>
          <cell r="Q122">
            <v>60</v>
          </cell>
          <cell r="R122">
            <v>60</v>
          </cell>
          <cell r="W122" t="str">
            <v>P型梁半光亮 1.5t</v>
          </cell>
          <cell r="AB122" t="str">
            <v>P80*50*1.5 mm,</v>
          </cell>
        </row>
        <row r="123">
          <cell r="A123" t="str">
            <v>P8050/28.20</v>
          </cell>
          <cell r="C123">
            <v>3.9563999999999999</v>
          </cell>
          <cell r="D123">
            <v>0.26</v>
          </cell>
          <cell r="F123">
            <v>2</v>
          </cell>
          <cell r="G123">
            <v>252</v>
          </cell>
          <cell r="H123">
            <v>80</v>
          </cell>
          <cell r="I123">
            <v>50</v>
          </cell>
          <cell r="J123">
            <v>4.16</v>
          </cell>
          <cell r="K123">
            <v>2.4</v>
          </cell>
          <cell r="L123">
            <v>9.1999999999999993</v>
          </cell>
          <cell r="Q123">
            <v>60</v>
          </cell>
          <cell r="R123">
            <v>60</v>
          </cell>
          <cell r="W123" t="str">
            <v>P型梁半光亮 2.0t</v>
          </cell>
          <cell r="AB123" t="str">
            <v>P80*50*2 mm,</v>
          </cell>
        </row>
        <row r="124">
          <cell r="A124" t="str">
            <v>P11050/28.15</v>
          </cell>
          <cell r="C124">
            <v>3.6973500000000001</v>
          </cell>
          <cell r="D124">
            <v>0.32</v>
          </cell>
          <cell r="F124">
            <v>1.5</v>
          </cell>
          <cell r="G124">
            <v>314</v>
          </cell>
          <cell r="H124">
            <v>110</v>
          </cell>
          <cell r="I124">
            <v>50</v>
          </cell>
          <cell r="J124">
            <v>4.16</v>
          </cell>
          <cell r="K124">
            <v>2.6</v>
          </cell>
          <cell r="L124">
            <v>9.1999999999999993</v>
          </cell>
          <cell r="Q124">
            <v>60</v>
          </cell>
          <cell r="R124">
            <v>60</v>
          </cell>
          <cell r="W124" t="str">
            <v>P型梁半光亮 1.5t</v>
          </cell>
          <cell r="AB124" t="str">
            <v>P110*50*1.5 mm,</v>
          </cell>
        </row>
        <row r="125">
          <cell r="A125" t="str">
            <v>P76×63.5/41.3-15</v>
          </cell>
          <cell r="C125">
            <v>3.2616749999999999</v>
          </cell>
          <cell r="D125">
            <v>0.27900000000000003</v>
          </cell>
          <cell r="F125">
            <v>1.5</v>
          </cell>
          <cell r="G125">
            <v>277</v>
          </cell>
          <cell r="H125">
            <v>76</v>
          </cell>
          <cell r="I125">
            <v>63.5</v>
          </cell>
          <cell r="J125">
            <v>4.53</v>
          </cell>
          <cell r="K125">
            <v>2.4</v>
          </cell>
          <cell r="L125">
            <v>9.1999999999999993</v>
          </cell>
          <cell r="P125">
            <v>0.5</v>
          </cell>
          <cell r="Q125">
            <v>75</v>
          </cell>
          <cell r="R125">
            <v>75</v>
          </cell>
          <cell r="W125" t="str">
            <v>P76.2*63.5*1.5</v>
          </cell>
          <cell r="AB125" t="str">
            <v>P76*63.5*1.5 mm,</v>
          </cell>
        </row>
        <row r="126">
          <cell r="A126" t="str">
            <v>P76×63.5/41.3-18</v>
          </cell>
          <cell r="C126">
            <v>3.9140100000000002</v>
          </cell>
          <cell r="D126">
            <v>0.27900000000000003</v>
          </cell>
          <cell r="F126">
            <v>1.8</v>
          </cell>
          <cell r="G126">
            <v>277</v>
          </cell>
          <cell r="H126">
            <v>76</v>
          </cell>
          <cell r="I126">
            <v>63.5</v>
          </cell>
          <cell r="J126">
            <v>4.42</v>
          </cell>
          <cell r="K126">
            <v>2.4</v>
          </cell>
          <cell r="L126">
            <v>9.1999999999999993</v>
          </cell>
          <cell r="P126">
            <v>0.5</v>
          </cell>
          <cell r="Q126">
            <v>75</v>
          </cell>
          <cell r="R126">
            <v>75</v>
          </cell>
          <cell r="W126" t="str">
            <v>P76.2*63.5*1.8</v>
          </cell>
          <cell r="AB126" t="str">
            <v>P76*63.5*1.8 mm,</v>
          </cell>
        </row>
        <row r="127">
          <cell r="A127" t="str">
            <v>P88.9×63.5/41.3-18</v>
          </cell>
          <cell r="C127">
            <v>4.2672600000000003</v>
          </cell>
          <cell r="D127">
            <v>0.30480000000000002</v>
          </cell>
          <cell r="F127">
            <v>1.8</v>
          </cell>
          <cell r="G127">
            <v>302</v>
          </cell>
          <cell r="H127">
            <v>88.9</v>
          </cell>
          <cell r="I127">
            <v>63.5</v>
          </cell>
          <cell r="J127">
            <v>4.53</v>
          </cell>
          <cell r="K127">
            <v>2.6</v>
          </cell>
          <cell r="L127">
            <v>9.1999999999999993</v>
          </cell>
          <cell r="P127">
            <v>0.5</v>
          </cell>
          <cell r="Q127">
            <v>75</v>
          </cell>
          <cell r="R127">
            <v>75</v>
          </cell>
          <cell r="W127" t="str">
            <v>P88.9*63.5*1.5</v>
          </cell>
          <cell r="AB127" t="str">
            <v>P88.9*63.5*1.8 mm,</v>
          </cell>
        </row>
        <row r="128">
          <cell r="A128" t="str">
            <v>P88.9×63.5/41.3-18</v>
          </cell>
          <cell r="C128">
            <v>4.2672600000000003</v>
          </cell>
          <cell r="D128">
            <v>0.30480000000000002</v>
          </cell>
          <cell r="F128">
            <v>1.8</v>
          </cell>
          <cell r="G128">
            <v>302</v>
          </cell>
          <cell r="H128">
            <v>88.9</v>
          </cell>
          <cell r="I128">
            <v>63.5</v>
          </cell>
          <cell r="J128">
            <v>4.42</v>
          </cell>
          <cell r="K128">
            <v>2.6</v>
          </cell>
          <cell r="L128">
            <v>9.1999999999999993</v>
          </cell>
          <cell r="P128">
            <v>0.5</v>
          </cell>
          <cell r="Q128">
            <v>75</v>
          </cell>
          <cell r="R128">
            <v>75</v>
          </cell>
          <cell r="W128" t="str">
            <v>P88.9*63.5*1.8</v>
          </cell>
          <cell r="AB128" t="str">
            <v>P88.9*63.5*1.8 mm,</v>
          </cell>
        </row>
        <row r="129">
          <cell r="A129" t="str">
            <v>P101.6×63.5/41.3-15</v>
          </cell>
          <cell r="C129">
            <v>3.8622000000000001</v>
          </cell>
          <cell r="D129">
            <v>0.33019999999999999</v>
          </cell>
          <cell r="F129">
            <v>1.5</v>
          </cell>
          <cell r="G129">
            <v>328</v>
          </cell>
          <cell r="H129">
            <v>101.6</v>
          </cell>
          <cell r="I129">
            <v>63.5</v>
          </cell>
          <cell r="J129">
            <v>4.53</v>
          </cell>
          <cell r="K129">
            <v>2.6</v>
          </cell>
          <cell r="L129">
            <v>9.1999999999999993</v>
          </cell>
          <cell r="P129">
            <v>0.5</v>
          </cell>
          <cell r="Q129">
            <v>75</v>
          </cell>
          <cell r="R129">
            <v>75</v>
          </cell>
          <cell r="W129" t="str">
            <v>P101.6*63.5*1.5</v>
          </cell>
          <cell r="AB129" t="str">
            <v>P101.6*63.5*1.5 mm,</v>
          </cell>
        </row>
        <row r="130">
          <cell r="A130" t="str">
            <v>P101.6×63.5/41.3-18</v>
          </cell>
          <cell r="C130">
            <v>4.6346400000000001</v>
          </cell>
          <cell r="D130">
            <v>0.33019999999999999</v>
          </cell>
          <cell r="F130">
            <v>1.8</v>
          </cell>
          <cell r="G130">
            <v>328</v>
          </cell>
          <cell r="H130">
            <v>101.6</v>
          </cell>
          <cell r="I130">
            <v>63.5</v>
          </cell>
          <cell r="J130">
            <v>4.42</v>
          </cell>
          <cell r="K130">
            <v>2.6</v>
          </cell>
          <cell r="L130">
            <v>9.1999999999999993</v>
          </cell>
          <cell r="P130">
            <v>0.5</v>
          </cell>
          <cell r="Q130">
            <v>75</v>
          </cell>
          <cell r="R130">
            <v>75</v>
          </cell>
          <cell r="W130" t="str">
            <v>P101.6*63.5*1.8</v>
          </cell>
          <cell r="AB130" t="str">
            <v>P101.6*63.5*1.8 mm,</v>
          </cell>
        </row>
        <row r="131">
          <cell r="A131" t="str">
            <v>P114×63.5/41.3-15</v>
          </cell>
          <cell r="C131">
            <v>4.1448</v>
          </cell>
          <cell r="D131">
            <v>0.35499999999999998</v>
          </cell>
          <cell r="F131">
            <v>1.5</v>
          </cell>
          <cell r="G131">
            <v>352</v>
          </cell>
          <cell r="H131">
            <v>114</v>
          </cell>
          <cell r="I131">
            <v>63.5</v>
          </cell>
          <cell r="J131">
            <v>4.53</v>
          </cell>
          <cell r="K131">
            <v>2.8</v>
          </cell>
          <cell r="L131">
            <v>9.1999999999999993</v>
          </cell>
          <cell r="P131">
            <v>0.5</v>
          </cell>
          <cell r="Q131">
            <v>75</v>
          </cell>
          <cell r="R131">
            <v>75</v>
          </cell>
          <cell r="W131" t="str">
            <v>P114.3*63.5*1.5</v>
          </cell>
          <cell r="AB131" t="str">
            <v>P114*63.5*1.5 mm,</v>
          </cell>
        </row>
        <row r="132">
          <cell r="A132" t="str">
            <v>P114×63.5/41.3-18</v>
          </cell>
          <cell r="C132">
            <v>4.9737600000000004</v>
          </cell>
          <cell r="D132">
            <v>0.35499999999999998</v>
          </cell>
          <cell r="F132">
            <v>1.8</v>
          </cell>
          <cell r="G132">
            <v>352</v>
          </cell>
          <cell r="H132">
            <v>114</v>
          </cell>
          <cell r="I132">
            <v>63.5</v>
          </cell>
          <cell r="J132">
            <v>4.42</v>
          </cell>
          <cell r="K132">
            <v>2.8</v>
          </cell>
          <cell r="L132">
            <v>9.1999999999999993</v>
          </cell>
          <cell r="P132">
            <v>0.5</v>
          </cell>
          <cell r="Q132">
            <v>75</v>
          </cell>
          <cell r="R132">
            <v>75</v>
          </cell>
          <cell r="W132" t="str">
            <v>P114.3*63.5*1.8</v>
          </cell>
          <cell r="AB132" t="str">
            <v>P114*63.5*1.8 mm,</v>
          </cell>
        </row>
        <row r="133">
          <cell r="A133" t="str">
            <v>P127×63.5/41.3-18</v>
          </cell>
          <cell r="C133">
            <v>5.3693999999999997</v>
          </cell>
          <cell r="D133">
            <v>0.38100000000000001</v>
          </cell>
          <cell r="F133">
            <v>1.8</v>
          </cell>
          <cell r="G133">
            <v>380</v>
          </cell>
          <cell r="H133">
            <v>127</v>
          </cell>
          <cell r="I133">
            <v>63.5</v>
          </cell>
          <cell r="J133">
            <v>4.42</v>
          </cell>
          <cell r="K133">
            <v>3</v>
          </cell>
          <cell r="L133">
            <v>9.1999999999999993</v>
          </cell>
          <cell r="P133">
            <v>0.5</v>
          </cell>
          <cell r="Q133">
            <v>75</v>
          </cell>
          <cell r="R133">
            <v>75</v>
          </cell>
          <cell r="W133" t="str">
            <v>P127*63.5*1.8</v>
          </cell>
          <cell r="AB133" t="str">
            <v>P127*63.5*1.8 mm,</v>
          </cell>
        </row>
        <row r="134">
          <cell r="A134" t="str">
            <v>P127×63.5/41.3-20</v>
          </cell>
          <cell r="C134">
            <v>5.9660000000000002</v>
          </cell>
          <cell r="D134">
            <v>0.38100000000000001</v>
          </cell>
          <cell r="F134">
            <v>2</v>
          </cell>
          <cell r="G134">
            <v>380</v>
          </cell>
          <cell r="H134">
            <v>127</v>
          </cell>
          <cell r="I134">
            <v>63.5</v>
          </cell>
          <cell r="J134">
            <v>4.3499999999999996</v>
          </cell>
          <cell r="K134">
            <v>3</v>
          </cell>
          <cell r="L134">
            <v>9.1999999999999993</v>
          </cell>
          <cell r="P134">
            <v>0.5</v>
          </cell>
          <cell r="Q134">
            <v>75</v>
          </cell>
          <cell r="R134">
            <v>75</v>
          </cell>
          <cell r="W134" t="str">
            <v>P127*63.5*2.0</v>
          </cell>
          <cell r="AB134" t="str">
            <v>P127*63.5*2 mm,</v>
          </cell>
        </row>
        <row r="135">
          <cell r="A135" t="str">
            <v>P127×63.5/41.3-25</v>
          </cell>
          <cell r="B135" t="str">
            <v>单价参照2.0</v>
          </cell>
          <cell r="C135">
            <v>7.4574999999999996</v>
          </cell>
          <cell r="D135">
            <v>0.38100000000000001</v>
          </cell>
          <cell r="F135">
            <v>2.5</v>
          </cell>
          <cell r="G135">
            <v>380</v>
          </cell>
          <cell r="H135">
            <v>127</v>
          </cell>
          <cell r="I135">
            <v>63.5</v>
          </cell>
          <cell r="J135">
            <v>4.3499999999999996</v>
          </cell>
          <cell r="K135">
            <v>3</v>
          </cell>
          <cell r="L135">
            <v>9.1999999999999993</v>
          </cell>
          <cell r="P135">
            <v>0.5</v>
          </cell>
          <cell r="Q135">
            <v>75</v>
          </cell>
          <cell r="R135">
            <v>75</v>
          </cell>
          <cell r="W135" t="str">
            <v>P127*63.5*2.0</v>
          </cell>
          <cell r="AB135" t="str">
            <v>P127*63.5*2.5 mm,</v>
          </cell>
        </row>
        <row r="136">
          <cell r="A136" t="str">
            <v>P139.7×63.5/41.3-18</v>
          </cell>
          <cell r="C136">
            <v>5.6943900000000003</v>
          </cell>
          <cell r="D136">
            <v>0.40639999999999998</v>
          </cell>
          <cell r="F136">
            <v>1.8</v>
          </cell>
          <cell r="G136">
            <v>403</v>
          </cell>
          <cell r="H136">
            <v>139.69999999999999</v>
          </cell>
          <cell r="I136">
            <v>63.5</v>
          </cell>
          <cell r="J136">
            <v>4.42</v>
          </cell>
          <cell r="K136">
            <v>3.3</v>
          </cell>
          <cell r="L136">
            <v>9.1999999999999993</v>
          </cell>
          <cell r="P136">
            <v>0.5</v>
          </cell>
          <cell r="Q136">
            <v>75</v>
          </cell>
          <cell r="R136">
            <v>75</v>
          </cell>
          <cell r="W136" t="str">
            <v>P139.7*63.5*1.8</v>
          </cell>
          <cell r="AB136" t="str">
            <v>P139.7*63.5*1.8 mm,</v>
          </cell>
        </row>
        <row r="137">
          <cell r="A137" t="str">
            <v>P139.7×63.5/41.3-20</v>
          </cell>
          <cell r="C137">
            <v>6.3270999999999997</v>
          </cell>
          <cell r="D137">
            <v>0.40639999999999998</v>
          </cell>
          <cell r="F137">
            <v>2</v>
          </cell>
          <cell r="G137">
            <v>403</v>
          </cell>
          <cell r="H137">
            <v>139.69999999999999</v>
          </cell>
          <cell r="I137">
            <v>63.5</v>
          </cell>
          <cell r="J137">
            <v>4.3499999999999996</v>
          </cell>
          <cell r="K137">
            <v>3.3</v>
          </cell>
          <cell r="L137">
            <v>9.1999999999999993</v>
          </cell>
          <cell r="P137">
            <v>0.5</v>
          </cell>
          <cell r="Q137">
            <v>75</v>
          </cell>
          <cell r="R137">
            <v>75</v>
          </cell>
          <cell r="W137" t="str">
            <v>P139.7*63.5*2.0</v>
          </cell>
          <cell r="AB137" t="str">
            <v>P139.7*63.5*2 mm,</v>
          </cell>
        </row>
        <row r="138">
          <cell r="A138" t="str">
            <v>P139.7×63.5/41.3-25</v>
          </cell>
          <cell r="B138" t="str">
            <v>单价参照2.0</v>
          </cell>
          <cell r="C138">
            <v>7.9088750000000001</v>
          </cell>
          <cell r="D138">
            <v>0.40639999999999998</v>
          </cell>
          <cell r="F138">
            <v>2.5</v>
          </cell>
          <cell r="G138">
            <v>403</v>
          </cell>
          <cell r="H138">
            <v>139.69999999999999</v>
          </cell>
          <cell r="I138">
            <v>63.5</v>
          </cell>
          <cell r="J138">
            <v>4.3499999999999996</v>
          </cell>
          <cell r="K138">
            <v>3.3</v>
          </cell>
          <cell r="L138">
            <v>9.1999999999999993</v>
          </cell>
          <cell r="P138">
            <v>0.5</v>
          </cell>
          <cell r="Q138">
            <v>75</v>
          </cell>
          <cell r="R138">
            <v>75</v>
          </cell>
          <cell r="W138" t="str">
            <v>P139.7*63.5*2.0</v>
          </cell>
          <cell r="AB138" t="str">
            <v>P139.7*63.5*2.5 mm,</v>
          </cell>
        </row>
        <row r="139">
          <cell r="A139" t="str">
            <v>P152×64/41.3-18</v>
          </cell>
          <cell r="C139">
            <v>6.0476400000000003</v>
          </cell>
          <cell r="D139">
            <v>0.43180000000000002</v>
          </cell>
          <cell r="F139">
            <v>1.8</v>
          </cell>
          <cell r="G139">
            <v>428</v>
          </cell>
          <cell r="H139">
            <v>152.4</v>
          </cell>
          <cell r="I139">
            <v>63.5</v>
          </cell>
          <cell r="J139">
            <v>4.42</v>
          </cell>
          <cell r="K139">
            <v>3.6</v>
          </cell>
          <cell r="L139">
            <v>9.1999999999999993</v>
          </cell>
          <cell r="P139">
            <v>0.5</v>
          </cell>
          <cell r="Q139">
            <v>75</v>
          </cell>
          <cell r="R139">
            <v>75</v>
          </cell>
          <cell r="W139" t="str">
            <v>P152.4*63.5*1.8</v>
          </cell>
          <cell r="AB139" t="str">
            <v>P152.4*63.5*1.8 mm,</v>
          </cell>
        </row>
        <row r="140">
          <cell r="A140" t="str">
            <v>P152×64/41.3-20</v>
          </cell>
          <cell r="C140">
            <v>6.7195999999999998</v>
          </cell>
          <cell r="D140">
            <v>0.43180000000000002</v>
          </cell>
          <cell r="F140">
            <v>2</v>
          </cell>
          <cell r="G140">
            <v>428</v>
          </cell>
          <cell r="H140">
            <v>152.4</v>
          </cell>
          <cell r="I140">
            <v>63.5</v>
          </cell>
          <cell r="J140">
            <v>4.3499999999999996</v>
          </cell>
          <cell r="K140">
            <v>3.6</v>
          </cell>
          <cell r="L140">
            <v>9.1999999999999993</v>
          </cell>
          <cell r="P140">
            <v>0.5</v>
          </cell>
          <cell r="Q140">
            <v>75</v>
          </cell>
          <cell r="R140">
            <v>75</v>
          </cell>
          <cell r="W140" t="str">
            <v>P152.4*63.5*2.0</v>
          </cell>
          <cell r="AB140" t="str">
            <v>P152.4*63.5*2 mm,</v>
          </cell>
        </row>
        <row r="153">
          <cell r="A153" t="str">
            <v>矩型管</v>
          </cell>
          <cell r="R153" t="str">
            <v>大货架柱卡面宽</v>
          </cell>
        </row>
        <row r="154">
          <cell r="A154" t="str">
            <v>HS4040.15</v>
          </cell>
          <cell r="C154">
            <v>1.81335</v>
          </cell>
          <cell r="D154">
            <v>0.16</v>
          </cell>
          <cell r="F154">
            <v>1.5</v>
          </cell>
          <cell r="G154">
            <v>154</v>
          </cell>
          <cell r="H154">
            <v>40</v>
          </cell>
          <cell r="I154">
            <v>40</v>
          </cell>
          <cell r="J154">
            <v>4.03</v>
          </cell>
          <cell r="K154">
            <v>1.3</v>
          </cell>
          <cell r="L154">
            <v>9.6999999999999993</v>
          </cell>
          <cell r="P154">
            <v>0.3</v>
          </cell>
          <cell r="R154">
            <v>60</v>
          </cell>
          <cell r="W154" t="str">
            <v>矩管 1.5t</v>
          </cell>
          <cell r="AB154" t="str">
            <v>HS40*40*1.5 mm,</v>
          </cell>
        </row>
        <row r="155">
          <cell r="A155" t="str">
            <v>HS5030.12</v>
          </cell>
          <cell r="C155">
            <v>1.461984</v>
          </cell>
          <cell r="D155">
            <v>0.16</v>
          </cell>
          <cell r="F155">
            <v>1.2</v>
          </cell>
          <cell r="G155">
            <v>155.19999999999999</v>
          </cell>
          <cell r="H155">
            <v>50</v>
          </cell>
          <cell r="I155">
            <v>30</v>
          </cell>
          <cell r="J155">
            <v>4.13</v>
          </cell>
          <cell r="K155">
            <v>1.3</v>
          </cell>
          <cell r="L155">
            <v>9.6999999999999993</v>
          </cell>
          <cell r="P155">
            <v>0.3</v>
          </cell>
          <cell r="R155">
            <v>60</v>
          </cell>
          <cell r="W155" t="str">
            <v>矩管 1.2t</v>
          </cell>
          <cell r="AB155" t="str">
            <v>HS50*30*1.2 mm,</v>
          </cell>
        </row>
        <row r="156">
          <cell r="A156" t="str">
            <v>HS5030.15</v>
          </cell>
          <cell r="C156">
            <v>1.81335</v>
          </cell>
          <cell r="D156">
            <v>0.16</v>
          </cell>
          <cell r="F156">
            <v>1.5</v>
          </cell>
          <cell r="G156">
            <v>154</v>
          </cell>
          <cell r="H156">
            <v>50</v>
          </cell>
          <cell r="I156">
            <v>30</v>
          </cell>
          <cell r="J156">
            <v>4.03</v>
          </cell>
          <cell r="K156">
            <v>1.3</v>
          </cell>
          <cell r="L156">
            <v>9.6999999999999993</v>
          </cell>
          <cell r="P156">
            <v>0.3</v>
          </cell>
          <cell r="R156">
            <v>60</v>
          </cell>
          <cell r="W156" t="str">
            <v>矩管 1.5t</v>
          </cell>
          <cell r="AB156" t="str">
            <v>HS50*30*1.5 mm,</v>
          </cell>
        </row>
        <row r="157">
          <cell r="A157" t="str">
            <v>HS5030.20</v>
          </cell>
          <cell r="C157">
            <v>2.3864000000000001</v>
          </cell>
          <cell r="D157">
            <v>0.16</v>
          </cell>
          <cell r="F157">
            <v>2</v>
          </cell>
          <cell r="G157">
            <v>152</v>
          </cell>
          <cell r="H157">
            <v>50</v>
          </cell>
          <cell r="I157">
            <v>30</v>
          </cell>
          <cell r="J157">
            <v>3.88</v>
          </cell>
          <cell r="K157">
            <v>1.3</v>
          </cell>
          <cell r="L157">
            <v>9.6999999999999993</v>
          </cell>
          <cell r="P157">
            <v>0.3</v>
          </cell>
          <cell r="R157">
            <v>60</v>
          </cell>
          <cell r="W157" t="str">
            <v>矩管 2.0t</v>
          </cell>
          <cell r="AB157" t="str">
            <v>HS50*30*2 mm,</v>
          </cell>
        </row>
        <row r="158">
          <cell r="A158" t="str">
            <v>HS6040.12</v>
          </cell>
          <cell r="C158">
            <v>1.838784</v>
          </cell>
          <cell r="D158">
            <v>0.2</v>
          </cell>
          <cell r="F158">
            <v>1.2</v>
          </cell>
          <cell r="G158">
            <v>195.2</v>
          </cell>
          <cell r="H158">
            <v>60</v>
          </cell>
          <cell r="I158">
            <v>40</v>
          </cell>
          <cell r="J158">
            <v>4.13</v>
          </cell>
          <cell r="K158">
            <v>1.3</v>
          </cell>
          <cell r="L158">
            <v>9.6999999999999993</v>
          </cell>
          <cell r="P158">
            <v>0.3</v>
          </cell>
          <cell r="R158">
            <v>60</v>
          </cell>
          <cell r="W158" t="str">
            <v>矩管 1.2t</v>
          </cell>
          <cell r="AB158" t="str">
            <v>HS60*40*1.2 mm,</v>
          </cell>
        </row>
        <row r="159">
          <cell r="A159" t="str">
            <v>HS6040.15</v>
          </cell>
          <cell r="C159">
            <v>2.2843499999999999</v>
          </cell>
          <cell r="D159">
            <v>0.2</v>
          </cell>
          <cell r="F159">
            <v>1.5</v>
          </cell>
          <cell r="G159">
            <v>194</v>
          </cell>
          <cell r="H159">
            <v>60</v>
          </cell>
          <cell r="I159">
            <v>40</v>
          </cell>
          <cell r="J159">
            <v>4.03</v>
          </cell>
          <cell r="K159">
            <v>1.3</v>
          </cell>
          <cell r="L159">
            <v>9.6999999999999993</v>
          </cell>
          <cell r="P159">
            <v>0.3</v>
          </cell>
          <cell r="R159">
            <v>60</v>
          </cell>
          <cell r="W159" t="str">
            <v>矩管 1.5t</v>
          </cell>
          <cell r="AB159" t="str">
            <v>HS60*40*1.5 mm,</v>
          </cell>
        </row>
        <row r="160">
          <cell r="A160" t="str">
            <v>HS6040.20</v>
          </cell>
          <cell r="C160">
            <v>3.0144000000000002</v>
          </cell>
          <cell r="D160">
            <v>0.2</v>
          </cell>
          <cell r="F160">
            <v>2</v>
          </cell>
          <cell r="G160">
            <v>192</v>
          </cell>
          <cell r="H160">
            <v>60</v>
          </cell>
          <cell r="I160">
            <v>40</v>
          </cell>
          <cell r="J160">
            <v>3.88</v>
          </cell>
          <cell r="K160">
            <v>1.3</v>
          </cell>
          <cell r="L160">
            <v>9.6999999999999993</v>
          </cell>
          <cell r="P160">
            <v>0.3</v>
          </cell>
          <cell r="R160">
            <v>60</v>
          </cell>
          <cell r="W160" t="str">
            <v>矩管 2.0t</v>
          </cell>
          <cell r="AB160" t="str">
            <v>HS60*40*2 mm,</v>
          </cell>
        </row>
        <row r="161">
          <cell r="A161" t="str">
            <v>HS8040.15</v>
          </cell>
          <cell r="C161">
            <v>2.75535</v>
          </cell>
          <cell r="D161">
            <v>0.24</v>
          </cell>
          <cell r="F161">
            <v>1.5</v>
          </cell>
          <cell r="G161">
            <v>234</v>
          </cell>
          <cell r="H161">
            <v>80</v>
          </cell>
          <cell r="I161">
            <v>40</v>
          </cell>
          <cell r="J161">
            <v>4.03</v>
          </cell>
          <cell r="K161">
            <v>2</v>
          </cell>
          <cell r="L161">
            <v>9.1999999999999993</v>
          </cell>
          <cell r="P161">
            <v>0.3</v>
          </cell>
          <cell r="R161">
            <v>60</v>
          </cell>
          <cell r="W161" t="str">
            <v>矩管 1.5t</v>
          </cell>
          <cell r="AB161" t="str">
            <v>HS80*40*1.5 mm,</v>
          </cell>
        </row>
        <row r="162">
          <cell r="A162" t="str">
            <v>HS8040.20</v>
          </cell>
          <cell r="C162">
            <v>3.6423999999999999</v>
          </cell>
          <cell r="D162">
            <v>0.24</v>
          </cell>
          <cell r="F162">
            <v>2</v>
          </cell>
          <cell r="G162">
            <v>232</v>
          </cell>
          <cell r="H162">
            <v>80</v>
          </cell>
          <cell r="I162">
            <v>40</v>
          </cell>
          <cell r="J162">
            <v>3.88</v>
          </cell>
          <cell r="K162">
            <v>2</v>
          </cell>
          <cell r="L162">
            <v>9.1999999999999993</v>
          </cell>
          <cell r="P162">
            <v>0.3</v>
          </cell>
          <cell r="R162">
            <v>60</v>
          </cell>
          <cell r="W162" t="str">
            <v>矩管 2.0t</v>
          </cell>
          <cell r="AB162" t="str">
            <v>HS80*40*2 mm,</v>
          </cell>
        </row>
        <row r="163">
          <cell r="A163" t="str">
            <v>HS8050.15</v>
          </cell>
          <cell r="C163">
            <v>2.99085</v>
          </cell>
          <cell r="D163">
            <v>0.26</v>
          </cell>
          <cell r="F163">
            <v>1.5</v>
          </cell>
          <cell r="G163">
            <v>254</v>
          </cell>
          <cell r="H163">
            <v>80</v>
          </cell>
          <cell r="I163">
            <v>50</v>
          </cell>
          <cell r="J163">
            <v>4.03</v>
          </cell>
          <cell r="K163">
            <v>2</v>
          </cell>
          <cell r="L163">
            <v>9.1999999999999993</v>
          </cell>
          <cell r="P163">
            <v>0.3</v>
          </cell>
          <cell r="R163">
            <v>60</v>
          </cell>
          <cell r="W163" t="str">
            <v>矩管 1.5t</v>
          </cell>
          <cell r="AB163" t="str">
            <v>HS80*50*1.5 mm,</v>
          </cell>
        </row>
        <row r="164">
          <cell r="A164" t="str">
            <v>HS8050.20</v>
          </cell>
          <cell r="C164">
            <v>3.9563999999999999</v>
          </cell>
          <cell r="D164">
            <v>0.26</v>
          </cell>
          <cell r="F164">
            <v>2</v>
          </cell>
          <cell r="G164">
            <v>252</v>
          </cell>
          <cell r="H164">
            <v>80</v>
          </cell>
          <cell r="I164">
            <v>50</v>
          </cell>
          <cell r="J164">
            <v>3.88</v>
          </cell>
          <cell r="K164">
            <v>2</v>
          </cell>
          <cell r="L164">
            <v>9.1999999999999993</v>
          </cell>
          <cell r="P164">
            <v>0.3</v>
          </cell>
          <cell r="R164">
            <v>60</v>
          </cell>
          <cell r="W164" t="str">
            <v>矩管 2.0t</v>
          </cell>
          <cell r="AB164" t="str">
            <v>HS80*50*2 mm,</v>
          </cell>
        </row>
        <row r="165">
          <cell r="A165" t="str">
            <v>HS10050.15</v>
          </cell>
          <cell r="C165">
            <v>3.4618500000000001</v>
          </cell>
          <cell r="D165">
            <v>0.3</v>
          </cell>
          <cell r="F165">
            <v>1.5</v>
          </cell>
          <cell r="G165">
            <v>294</v>
          </cell>
          <cell r="H165">
            <v>100</v>
          </cell>
          <cell r="I165">
            <v>50</v>
          </cell>
          <cell r="J165">
            <v>4.03</v>
          </cell>
          <cell r="K165">
            <v>2.6</v>
          </cell>
          <cell r="L165">
            <v>9.1999999999999993</v>
          </cell>
          <cell r="P165">
            <v>0.3</v>
          </cell>
          <cell r="R165">
            <v>60</v>
          </cell>
          <cell r="W165" t="str">
            <v>矩管 1.5t</v>
          </cell>
          <cell r="AB165" t="str">
            <v>HS100*50*1.5 mm,</v>
          </cell>
        </row>
        <row r="166">
          <cell r="A166" t="str">
            <v>HS10050.20</v>
          </cell>
          <cell r="C166">
            <v>4.5843999999999996</v>
          </cell>
          <cell r="D166">
            <v>0.3</v>
          </cell>
          <cell r="F166">
            <v>2</v>
          </cell>
          <cell r="G166">
            <v>292</v>
          </cell>
          <cell r="H166">
            <v>100</v>
          </cell>
          <cell r="I166">
            <v>50</v>
          </cell>
          <cell r="J166">
            <v>3.88</v>
          </cell>
          <cell r="K166">
            <v>2.6</v>
          </cell>
          <cell r="L166">
            <v>9.1999999999999993</v>
          </cell>
          <cell r="P166">
            <v>0.3</v>
          </cell>
          <cell r="R166">
            <v>60</v>
          </cell>
          <cell r="W166" t="str">
            <v>矩管 2.0t</v>
          </cell>
          <cell r="AB166" t="str">
            <v>HS100*50*2 mm,</v>
          </cell>
        </row>
        <row r="167">
          <cell r="A167" t="str">
            <v>HS10050.25</v>
          </cell>
          <cell r="C167">
            <v>5.6912500000000001</v>
          </cell>
          <cell r="D167">
            <v>0.3</v>
          </cell>
          <cell r="F167">
            <v>2.5</v>
          </cell>
          <cell r="G167">
            <v>290</v>
          </cell>
          <cell r="H167">
            <v>100</v>
          </cell>
          <cell r="I167">
            <v>50</v>
          </cell>
          <cell r="J167">
            <v>3.78</v>
          </cell>
          <cell r="K167">
            <v>2.6</v>
          </cell>
          <cell r="L167">
            <v>9.1999999999999993</v>
          </cell>
          <cell r="P167">
            <v>0.3</v>
          </cell>
          <cell r="R167">
            <v>60</v>
          </cell>
          <cell r="W167" t="str">
            <v>矩管 2.5t</v>
          </cell>
          <cell r="AB167" t="str">
            <v>HS100*50*2.5 mm,</v>
          </cell>
        </row>
        <row r="168">
          <cell r="A168" t="str">
            <v>HS12060.20</v>
          </cell>
          <cell r="C168">
            <v>5.5263999999999998</v>
          </cell>
          <cell r="D168">
            <v>0.36</v>
          </cell>
          <cell r="F168">
            <v>2</v>
          </cell>
          <cell r="G168">
            <v>352</v>
          </cell>
          <cell r="H168">
            <v>120</v>
          </cell>
          <cell r="I168">
            <v>60</v>
          </cell>
          <cell r="J168">
            <v>3.78</v>
          </cell>
          <cell r="K168">
            <v>2.6</v>
          </cell>
          <cell r="L168">
            <v>9.1999999999999993</v>
          </cell>
          <cell r="P168">
            <v>0.3</v>
          </cell>
          <cell r="R168">
            <v>60</v>
          </cell>
          <cell r="W168" t="str">
            <v>矩管 2.5t</v>
          </cell>
          <cell r="AB168" t="str">
            <v>HS120*60*2 mm,</v>
          </cell>
        </row>
        <row r="169">
          <cell r="A169" t="str">
            <v>HS12060.25</v>
          </cell>
          <cell r="C169">
            <v>6.8687500000000004</v>
          </cell>
          <cell r="D169">
            <v>0.36</v>
          </cell>
          <cell r="F169">
            <v>2.5</v>
          </cell>
          <cell r="G169">
            <v>350</v>
          </cell>
          <cell r="H169">
            <v>120</v>
          </cell>
          <cell r="I169">
            <v>60</v>
          </cell>
          <cell r="J169">
            <v>3.88</v>
          </cell>
          <cell r="K169">
            <v>2.6</v>
          </cell>
          <cell r="L169">
            <v>9.1999999999999993</v>
          </cell>
          <cell r="P169">
            <v>0.3</v>
          </cell>
          <cell r="R169">
            <v>60</v>
          </cell>
          <cell r="W169" t="str">
            <v>矩管 2.0t</v>
          </cell>
          <cell r="AB169" t="str">
            <v>HS120*60*2.5 mm,</v>
          </cell>
        </row>
        <row r="170">
          <cell r="A170" t="str">
            <v>HS12060.40</v>
          </cell>
          <cell r="C170">
            <v>10.801600000000001</v>
          </cell>
          <cell r="D170">
            <v>0.36</v>
          </cell>
          <cell r="F170">
            <v>4</v>
          </cell>
          <cell r="G170">
            <v>344</v>
          </cell>
          <cell r="H170">
            <v>120</v>
          </cell>
          <cell r="I170">
            <v>60</v>
          </cell>
          <cell r="J170">
            <v>3.78</v>
          </cell>
          <cell r="K170">
            <v>2.6</v>
          </cell>
          <cell r="L170">
            <v>9.1999999999999993</v>
          </cell>
          <cell r="P170">
            <v>0.3</v>
          </cell>
          <cell r="R170">
            <v>60</v>
          </cell>
          <cell r="W170" t="str">
            <v>矩管 4.0t</v>
          </cell>
          <cell r="AB170" t="str">
            <v>HS120*60*4 mm,</v>
          </cell>
        </row>
        <row r="171">
          <cell r="A171" t="str">
            <v>F100.30</v>
          </cell>
          <cell r="C171">
            <v>9.1373999999999995</v>
          </cell>
          <cell r="D171">
            <v>0.4</v>
          </cell>
          <cell r="F171">
            <v>3</v>
          </cell>
          <cell r="G171">
            <v>388</v>
          </cell>
          <cell r="H171">
            <v>100</v>
          </cell>
          <cell r="I171">
            <v>100</v>
          </cell>
        </row>
        <row r="172">
          <cell r="A172" t="str">
            <v>C126×50×4.0</v>
          </cell>
          <cell r="C172">
            <v>6.6567999999999996</v>
          </cell>
          <cell r="D172">
            <v>0.42399999999999999</v>
          </cell>
          <cell r="F172">
            <v>4</v>
          </cell>
          <cell r="G172">
            <v>212</v>
          </cell>
          <cell r="H172">
            <v>212</v>
          </cell>
          <cell r="J172">
            <v>4.9400000000000004</v>
          </cell>
          <cell r="K172">
            <v>2</v>
          </cell>
          <cell r="L172">
            <v>9.1999999999999993</v>
          </cell>
          <cell r="P172">
            <v>0.3</v>
          </cell>
          <cell r="W172" t="str">
            <v>热开平板 4.0t</v>
          </cell>
        </row>
        <row r="173">
          <cell r="A173" t="str">
            <v>C215×45×2.5</v>
          </cell>
          <cell r="C173">
            <v>6.18</v>
          </cell>
          <cell r="D173">
            <v>0.61</v>
          </cell>
          <cell r="F173">
            <v>2.5</v>
          </cell>
          <cell r="G173">
            <v>305</v>
          </cell>
          <cell r="H173">
            <v>305</v>
          </cell>
          <cell r="J173">
            <v>4.9400000000000004</v>
          </cell>
          <cell r="K173">
            <v>2</v>
          </cell>
          <cell r="L173">
            <v>9.1999999999999993</v>
          </cell>
          <cell r="P173">
            <v>0.3</v>
          </cell>
          <cell r="W173" t="str">
            <v>热开平板 2.5t</v>
          </cell>
          <cell r="AB173" t="str">
            <v xml:space="preserve">C215*45*2.5mm, </v>
          </cell>
        </row>
        <row r="175">
          <cell r="A175" t="str">
            <v>隔撑/托盘支撑</v>
          </cell>
        </row>
        <row r="176">
          <cell r="A176" t="str">
            <v>Row.Spacer.L4040.30-Adjustable</v>
          </cell>
          <cell r="B176" t="str">
            <v>隔撑</v>
          </cell>
          <cell r="C176">
            <v>1.8839999999999999</v>
          </cell>
          <cell r="D176">
            <v>0.16</v>
          </cell>
          <cell r="E176">
            <v>4.59</v>
          </cell>
          <cell r="F176">
            <v>3</v>
          </cell>
          <cell r="G176">
            <v>80</v>
          </cell>
          <cell r="H176">
            <v>40</v>
          </cell>
          <cell r="I176">
            <v>40</v>
          </cell>
          <cell r="J176">
            <v>3.78</v>
          </cell>
          <cell r="K176">
            <v>2.8</v>
          </cell>
          <cell r="L176">
            <v>0.95</v>
          </cell>
          <cell r="O176">
            <v>2.2000000000000002</v>
          </cell>
          <cell r="Q176" t="str">
            <v>M10*110</v>
          </cell>
          <cell r="R176">
            <v>2</v>
          </cell>
          <cell r="W176" t="str">
            <v>角钢 L3030.3t</v>
          </cell>
          <cell r="AB176" t="str">
            <v>L40*40*3 mm,</v>
          </cell>
        </row>
        <row r="177">
          <cell r="A177" t="str">
            <v>Row.Spacer.L4040.30</v>
          </cell>
          <cell r="B177" t="str">
            <v>隔撑</v>
          </cell>
          <cell r="C177">
            <v>1.8839999999999999</v>
          </cell>
          <cell r="D177">
            <v>0.16</v>
          </cell>
          <cell r="E177">
            <v>4.59</v>
          </cell>
          <cell r="F177">
            <v>3</v>
          </cell>
          <cell r="G177">
            <v>80</v>
          </cell>
          <cell r="H177">
            <v>40</v>
          </cell>
          <cell r="I177">
            <v>40</v>
          </cell>
          <cell r="J177">
            <v>3.78</v>
          </cell>
          <cell r="K177">
            <v>0.65</v>
          </cell>
          <cell r="L177">
            <v>0.95</v>
          </cell>
          <cell r="O177">
            <v>2.2000000000000002</v>
          </cell>
          <cell r="Q177" t="str">
            <v>M10*110</v>
          </cell>
          <cell r="R177">
            <v>2</v>
          </cell>
          <cell r="W177" t="str">
            <v>角钢 L3030.3t</v>
          </cell>
          <cell r="AB177" t="str">
            <v>L40*40*3 mm,</v>
          </cell>
        </row>
        <row r="178">
          <cell r="A178" t="str">
            <v>Row.Spacer.HS5030.15</v>
          </cell>
          <cell r="B178" t="str">
            <v>隔撑</v>
          </cell>
          <cell r="C178">
            <v>1.81335</v>
          </cell>
          <cell r="D178">
            <v>0.16</v>
          </cell>
          <cell r="F178">
            <v>1.5</v>
          </cell>
          <cell r="G178">
            <v>154</v>
          </cell>
          <cell r="H178">
            <v>40</v>
          </cell>
          <cell r="I178">
            <v>40</v>
          </cell>
          <cell r="J178">
            <v>4.03</v>
          </cell>
          <cell r="K178">
            <v>1.3</v>
          </cell>
          <cell r="O178">
            <v>2.2000000000000002</v>
          </cell>
          <cell r="AB178" t="str">
            <v>HS40*40*1.5 mm,</v>
          </cell>
        </row>
        <row r="179">
          <cell r="A179" t="str">
            <v>Row.Spacer.HS4040.15</v>
          </cell>
          <cell r="B179" t="str">
            <v>隔撑</v>
          </cell>
          <cell r="C179">
            <v>1.81335</v>
          </cell>
          <cell r="D179">
            <v>0.16</v>
          </cell>
          <cell r="F179">
            <v>1.5</v>
          </cell>
          <cell r="G179">
            <v>154</v>
          </cell>
          <cell r="H179">
            <v>40</v>
          </cell>
          <cell r="I179">
            <v>40</v>
          </cell>
          <cell r="J179">
            <v>4.03</v>
          </cell>
          <cell r="K179">
            <v>1.3</v>
          </cell>
          <cell r="O179">
            <v>2.2000000000000002</v>
          </cell>
          <cell r="AB179" t="str">
            <v>HS40*40*1.5 mm,</v>
          </cell>
        </row>
        <row r="180">
          <cell r="A180" t="str">
            <v>Pallet Support HS5030.15</v>
          </cell>
          <cell r="B180" t="str">
            <v>一字形搁挡 成品</v>
          </cell>
          <cell r="C180">
            <v>1.81335</v>
          </cell>
          <cell r="D180">
            <v>0.16</v>
          </cell>
          <cell r="F180">
            <v>1.5</v>
          </cell>
          <cell r="G180">
            <v>154</v>
          </cell>
          <cell r="H180">
            <v>50</v>
          </cell>
          <cell r="I180">
            <v>30</v>
          </cell>
          <cell r="J180">
            <v>4.03</v>
          </cell>
          <cell r="K180">
            <v>1.3</v>
          </cell>
          <cell r="O180">
            <v>2.2000000000000002</v>
          </cell>
          <cell r="AB180" t="str">
            <v>HS50*30*1.5 mm,</v>
          </cell>
        </row>
        <row r="181">
          <cell r="A181" t="str">
            <v>Pallet Support HS6040.15</v>
          </cell>
          <cell r="B181" t="str">
            <v>一字形搁挡 成品</v>
          </cell>
          <cell r="C181">
            <v>2.2843499999999999</v>
          </cell>
          <cell r="D181">
            <v>0.2</v>
          </cell>
          <cell r="F181">
            <v>1.5</v>
          </cell>
          <cell r="G181">
            <v>194</v>
          </cell>
          <cell r="H181">
            <v>60</v>
          </cell>
          <cell r="I181">
            <v>40</v>
          </cell>
          <cell r="J181">
            <v>4.03</v>
          </cell>
          <cell r="K181">
            <v>1.3</v>
          </cell>
          <cell r="O181">
            <v>2.2000000000000002</v>
          </cell>
          <cell r="AB181" t="str">
            <v>HS60*40*1.5 mm,</v>
          </cell>
        </row>
        <row r="182">
          <cell r="A182" t="str">
            <v>Half Pallet Support HS6040.15</v>
          </cell>
          <cell r="B182" t="str">
            <v>工字形搁挡 成品</v>
          </cell>
          <cell r="C182">
            <v>2.2843499999999999</v>
          </cell>
          <cell r="D182">
            <v>0.2</v>
          </cell>
          <cell r="F182">
            <v>1.5</v>
          </cell>
          <cell r="G182">
            <v>194</v>
          </cell>
          <cell r="H182">
            <v>60</v>
          </cell>
          <cell r="I182">
            <v>40</v>
          </cell>
          <cell r="J182">
            <v>4.03</v>
          </cell>
          <cell r="K182">
            <v>5.2</v>
          </cell>
          <cell r="O182">
            <v>2.2000000000000002</v>
          </cell>
          <cell r="AB182" t="str">
            <v>HS60*40*1.5 mm,</v>
          </cell>
        </row>
        <row r="183">
          <cell r="A183" t="str">
            <v>单立柱隔撑连接</v>
          </cell>
          <cell r="K183">
            <v>2.2000000000000002</v>
          </cell>
          <cell r="O183">
            <v>2.2000000000000002</v>
          </cell>
        </row>
        <row r="184">
          <cell r="A184" t="str">
            <v>Row.Spacer.End.Plate.Std.RAL</v>
          </cell>
          <cell r="B184" t="str">
            <v>隔撑面板90/100立柱</v>
          </cell>
          <cell r="C184">
            <v>0.5</v>
          </cell>
          <cell r="D184">
            <v>3.5200000000000002E-2</v>
          </cell>
          <cell r="F184">
            <v>3</v>
          </cell>
          <cell r="H184">
            <v>80</v>
          </cell>
          <cell r="I184">
            <v>110</v>
          </cell>
          <cell r="J184">
            <v>6.5</v>
          </cell>
          <cell r="L184">
            <v>0.95</v>
          </cell>
          <cell r="O184">
            <v>2.2000000000000002</v>
          </cell>
          <cell r="Q184" t="str">
            <v>M10.L20</v>
          </cell>
          <cell r="R184">
            <v>4</v>
          </cell>
        </row>
        <row r="185">
          <cell r="A185" t="str">
            <v>Row.Spacer.End.Plate.Extra.RAL</v>
          </cell>
          <cell r="B185" t="str">
            <v>隔撑面板120立柱</v>
          </cell>
          <cell r="C185">
            <v>0.56991000000000003</v>
          </cell>
          <cell r="D185">
            <v>4.8399999999999999E-2</v>
          </cell>
          <cell r="F185">
            <v>3</v>
          </cell>
          <cell r="H185">
            <v>110</v>
          </cell>
          <cell r="I185">
            <v>110</v>
          </cell>
          <cell r="J185">
            <v>6.5</v>
          </cell>
          <cell r="L185">
            <v>0.95</v>
          </cell>
          <cell r="O185">
            <v>2.2000000000000002</v>
          </cell>
          <cell r="Q185" t="str">
            <v>M10.L20</v>
          </cell>
          <cell r="R185">
            <v>4</v>
          </cell>
        </row>
        <row r="186">
          <cell r="A186" t="str">
            <v>Pallet Support Bracket 3.0t.RAL</v>
          </cell>
          <cell r="B186" t="str">
            <v>托盘支撑挂爪3mm</v>
          </cell>
          <cell r="C186">
            <v>0.52987499999999998</v>
          </cell>
          <cell r="D186">
            <v>4.4999999999999998E-2</v>
          </cell>
          <cell r="F186">
            <v>3</v>
          </cell>
          <cell r="H186">
            <v>150</v>
          </cell>
          <cell r="I186">
            <v>75</v>
          </cell>
          <cell r="J186">
            <v>6.5</v>
          </cell>
          <cell r="L186">
            <v>0.95</v>
          </cell>
          <cell r="O186">
            <v>2.2000000000000002</v>
          </cell>
        </row>
        <row r="187">
          <cell r="A187" t="str">
            <v>Pallet Support Bracket 4.0t.RAL</v>
          </cell>
          <cell r="B187" t="str">
            <v>托盘支撑挂爪4mm</v>
          </cell>
          <cell r="C187">
            <v>0.75360000000000005</v>
          </cell>
          <cell r="D187">
            <v>4.8000000000000001E-2</v>
          </cell>
          <cell r="F187">
            <v>4</v>
          </cell>
          <cell r="H187">
            <v>160</v>
          </cell>
          <cell r="I187">
            <v>75</v>
          </cell>
          <cell r="J187">
            <v>6.5</v>
          </cell>
          <cell r="L187">
            <v>0.95</v>
          </cell>
          <cell r="O187">
            <v>2.2000000000000002</v>
          </cell>
        </row>
        <row r="196">
          <cell r="A196" t="str">
            <v>驶入式货架</v>
          </cell>
        </row>
        <row r="197">
          <cell r="A197" t="str">
            <v>Drive.P.Rail W100.H70.20.Pregal</v>
          </cell>
          <cell r="B197" t="str">
            <v>牛腿梁2mm</v>
          </cell>
          <cell r="C197">
            <v>4.0819999999999999</v>
          </cell>
          <cell r="D197">
            <v>0.52</v>
          </cell>
          <cell r="E197">
            <v>5.4</v>
          </cell>
          <cell r="F197">
            <v>2</v>
          </cell>
          <cell r="G197">
            <v>260</v>
          </cell>
        </row>
        <row r="198">
          <cell r="A198" t="str">
            <v>Drive.P.Rail W100.H70.23.Pregal</v>
          </cell>
          <cell r="B198" t="str">
            <v>牛腿梁2.3mm</v>
          </cell>
          <cell r="C198">
            <v>4.6943000000000001</v>
          </cell>
          <cell r="D198">
            <v>0.52</v>
          </cell>
          <cell r="E198">
            <v>5.4</v>
          </cell>
          <cell r="F198">
            <v>2.2999999999999998</v>
          </cell>
          <cell r="G198">
            <v>260</v>
          </cell>
        </row>
        <row r="199">
          <cell r="A199" t="str">
            <v>Drive.Flr.Guide.L7550.55</v>
          </cell>
          <cell r="B199" t="str">
            <v>叉车导轨</v>
          </cell>
          <cell r="C199">
            <v>5.16</v>
          </cell>
          <cell r="D199">
            <v>0.24</v>
          </cell>
          <cell r="F199">
            <v>5.5</v>
          </cell>
          <cell r="J199">
            <v>4.53</v>
          </cell>
          <cell r="K199" t="str">
            <v>4.5/米</v>
          </cell>
          <cell r="Q199" t="str">
            <v>Anc.M12.L100</v>
          </cell>
          <cell r="R199">
            <v>2</v>
          </cell>
        </row>
        <row r="200">
          <cell r="A200" t="str">
            <v>Drive.X-Brace.dia32</v>
          </cell>
          <cell r="B200" t="str">
            <v>X-拉</v>
          </cell>
          <cell r="C200">
            <v>0.94199999999999995</v>
          </cell>
          <cell r="D200">
            <v>0.08</v>
          </cell>
          <cell r="F200">
            <v>3</v>
          </cell>
          <cell r="G200">
            <v>40</v>
          </cell>
          <cell r="K200">
            <v>0.8</v>
          </cell>
          <cell r="Q200" t="str">
            <v>M10.L20</v>
          </cell>
          <cell r="R200">
            <v>2</v>
          </cell>
        </row>
        <row r="201">
          <cell r="A201" t="str">
            <v>Drive.X-Brace.dia42</v>
          </cell>
          <cell r="B201" t="str">
            <v>X-拉</v>
          </cell>
          <cell r="C201">
            <v>0.94199999999999995</v>
          </cell>
          <cell r="D201">
            <v>0.08</v>
          </cell>
          <cell r="F201">
            <v>3</v>
          </cell>
          <cell r="G201">
            <v>40</v>
          </cell>
          <cell r="K201">
            <v>0</v>
          </cell>
          <cell r="Q201" t="str">
            <v>M10.L20</v>
          </cell>
          <cell r="R201">
            <v>2</v>
          </cell>
        </row>
        <row r="202">
          <cell r="A202" t="str">
            <v>Drive.Top.Beam.HS8040.15</v>
          </cell>
          <cell r="B202" t="str">
            <v>顶梁</v>
          </cell>
          <cell r="C202">
            <v>2.75535</v>
          </cell>
          <cell r="D202">
            <v>0.24</v>
          </cell>
          <cell r="F202">
            <v>1.5</v>
          </cell>
          <cell r="G202">
            <v>234</v>
          </cell>
          <cell r="H202">
            <v>80</v>
          </cell>
          <cell r="I202">
            <v>40</v>
          </cell>
          <cell r="J202">
            <v>4.53</v>
          </cell>
          <cell r="K202">
            <v>2</v>
          </cell>
          <cell r="Q202" t="str">
            <v>M8.L16</v>
          </cell>
          <cell r="R202">
            <v>2</v>
          </cell>
          <cell r="AB202" t="str">
            <v>HS80*40*1.5 mm,</v>
          </cell>
        </row>
        <row r="203">
          <cell r="A203" t="str">
            <v>Drive.Back.Beam.HS8040.15</v>
          </cell>
          <cell r="B203" t="str">
            <v>背梁</v>
          </cell>
          <cell r="C203">
            <v>2.75535</v>
          </cell>
          <cell r="D203">
            <v>0.24</v>
          </cell>
          <cell r="F203">
            <v>1.5</v>
          </cell>
          <cell r="G203">
            <v>234</v>
          </cell>
          <cell r="H203">
            <v>80</v>
          </cell>
          <cell r="I203">
            <v>40</v>
          </cell>
          <cell r="J203">
            <v>4.53</v>
          </cell>
          <cell r="K203">
            <v>2</v>
          </cell>
          <cell r="Q203" t="str">
            <v>M8.L16</v>
          </cell>
          <cell r="R203">
            <v>2</v>
          </cell>
          <cell r="AB203" t="str">
            <v>HS80*40*1.5 mm,</v>
          </cell>
        </row>
        <row r="204">
          <cell r="A204" t="str">
            <v>Drive.Back.Beam.HS8040.15</v>
          </cell>
          <cell r="B204" t="str">
            <v>背梁+焊3个连接耳</v>
          </cell>
          <cell r="C204">
            <v>2.75535</v>
          </cell>
          <cell r="D204">
            <v>0.24</v>
          </cell>
          <cell r="F204">
            <v>1.5</v>
          </cell>
          <cell r="G204">
            <v>234</v>
          </cell>
          <cell r="H204">
            <v>80</v>
          </cell>
          <cell r="I204">
            <v>40</v>
          </cell>
          <cell r="J204">
            <v>4.53</v>
          </cell>
          <cell r="K204">
            <v>3</v>
          </cell>
          <cell r="Q204" t="str">
            <v>M8.L16</v>
          </cell>
          <cell r="R204">
            <v>2</v>
          </cell>
          <cell r="AB204" t="str">
            <v>HS80*40*1.5 mm,</v>
          </cell>
        </row>
        <row r="205">
          <cell r="A205" t="str">
            <v>Drive.90.Top.Plate.RAL</v>
          </cell>
          <cell r="B205" t="str">
            <v>90立柱顶板 活动</v>
          </cell>
          <cell r="C205">
            <v>0.148365</v>
          </cell>
          <cell r="D205">
            <v>1.26E-2</v>
          </cell>
          <cell r="F205">
            <v>3</v>
          </cell>
          <cell r="H205">
            <v>90</v>
          </cell>
          <cell r="I205">
            <v>70</v>
          </cell>
          <cell r="K205">
            <v>1.2</v>
          </cell>
        </row>
        <row r="206">
          <cell r="A206" t="str">
            <v>Drive.100.Top.Plate.RAL</v>
          </cell>
          <cell r="B206" t="str">
            <v>100立柱顶板 活动</v>
          </cell>
          <cell r="C206">
            <v>0.176625</v>
          </cell>
          <cell r="D206">
            <v>1.4999999999999999E-2</v>
          </cell>
          <cell r="F206">
            <v>3</v>
          </cell>
          <cell r="H206">
            <v>100</v>
          </cell>
          <cell r="I206">
            <v>75</v>
          </cell>
          <cell r="K206">
            <v>1.2</v>
          </cell>
        </row>
        <row r="207">
          <cell r="A207" t="str">
            <v>Drive.120.Top.Plate.RAL</v>
          </cell>
          <cell r="B207" t="str">
            <v>120立柱顶板 活动</v>
          </cell>
          <cell r="C207">
            <v>0.21195</v>
          </cell>
          <cell r="D207">
            <v>1.7999999999999999E-2</v>
          </cell>
          <cell r="F207">
            <v>3</v>
          </cell>
          <cell r="H207">
            <v>120</v>
          </cell>
          <cell r="I207">
            <v>75</v>
          </cell>
          <cell r="K207">
            <v>1.2</v>
          </cell>
        </row>
        <row r="208">
          <cell r="A208" t="str">
            <v>Drive.90.Top.Plate.RAL</v>
          </cell>
          <cell r="B208" t="str">
            <v>90立柱顶板 与立柱焊接</v>
          </cell>
          <cell r="C208">
            <v>0.148365</v>
          </cell>
          <cell r="D208">
            <v>1.26E-2</v>
          </cell>
          <cell r="F208">
            <v>3</v>
          </cell>
          <cell r="H208">
            <v>90</v>
          </cell>
          <cell r="I208">
            <v>70</v>
          </cell>
          <cell r="K208">
            <v>2.1</v>
          </cell>
        </row>
        <row r="209">
          <cell r="A209" t="str">
            <v>Drive.100.Top.Plate.RAL</v>
          </cell>
          <cell r="B209" t="str">
            <v>100立柱顶板 与立柱焊接</v>
          </cell>
          <cell r="C209">
            <v>0.176625</v>
          </cell>
          <cell r="D209">
            <v>1.4999999999999999E-2</v>
          </cell>
          <cell r="F209">
            <v>3</v>
          </cell>
          <cell r="H209">
            <v>100</v>
          </cell>
          <cell r="I209">
            <v>75</v>
          </cell>
          <cell r="K209">
            <v>2.2999999999999998</v>
          </cell>
        </row>
        <row r="210">
          <cell r="A210" t="str">
            <v>Drive.120.Top.Plate.RAL</v>
          </cell>
          <cell r="B210" t="str">
            <v>120立柱顶板 与立柱焊接</v>
          </cell>
          <cell r="C210">
            <v>0.21195</v>
          </cell>
          <cell r="D210">
            <v>1.7999999999999999E-2</v>
          </cell>
          <cell r="F210">
            <v>3</v>
          </cell>
          <cell r="H210">
            <v>120</v>
          </cell>
          <cell r="I210">
            <v>75</v>
          </cell>
          <cell r="K210">
            <v>2.5</v>
          </cell>
        </row>
        <row r="211">
          <cell r="A211" t="str">
            <v>Drive.S.Arm.Single.RAL</v>
          </cell>
          <cell r="B211" t="str">
            <v>单牛腿 焊接式 槽钢</v>
          </cell>
          <cell r="C211">
            <v>1.6</v>
          </cell>
          <cell r="D211">
            <v>0.13</v>
          </cell>
          <cell r="F211">
            <v>3</v>
          </cell>
          <cell r="K211">
            <v>2.2000000000000002</v>
          </cell>
        </row>
        <row r="212">
          <cell r="A212" t="str">
            <v>Drive.S.Arm.Double.RAL</v>
          </cell>
          <cell r="B212" t="str">
            <v>双牛腿 焊接式 槽钢</v>
          </cell>
          <cell r="C212">
            <v>2.15</v>
          </cell>
          <cell r="D212">
            <v>0.2</v>
          </cell>
          <cell r="F212">
            <v>3</v>
          </cell>
          <cell r="K212">
            <v>4.2</v>
          </cell>
        </row>
        <row r="213">
          <cell r="A213" t="str">
            <v>Drive.S.Arm.Single.RAL</v>
          </cell>
          <cell r="B213" t="str">
            <v>单牛腿</v>
          </cell>
          <cell r="C213">
            <v>1.6</v>
          </cell>
          <cell r="D213">
            <v>0.13</v>
          </cell>
          <cell r="F213">
            <v>3</v>
          </cell>
        </row>
        <row r="214">
          <cell r="A214" t="str">
            <v>Drive.S.Arm.Double.RAL</v>
          </cell>
          <cell r="B214" t="str">
            <v>双牛腿</v>
          </cell>
          <cell r="C214">
            <v>2.15</v>
          </cell>
          <cell r="D214">
            <v>0.2</v>
          </cell>
          <cell r="F214">
            <v>3</v>
          </cell>
        </row>
        <row r="216">
          <cell r="A216" t="str">
            <v>穿梭式货架</v>
          </cell>
        </row>
        <row r="217">
          <cell r="A217" t="str">
            <v>Shuttle.Support.Beam.HS5050.15</v>
          </cell>
          <cell r="B217" t="str">
            <v>支撑梁</v>
          </cell>
          <cell r="C217">
            <v>2.2843499999999999</v>
          </cell>
          <cell r="D217">
            <v>0.2</v>
          </cell>
          <cell r="F217">
            <v>1.5</v>
          </cell>
          <cell r="G217">
            <v>194</v>
          </cell>
          <cell r="H217">
            <v>50</v>
          </cell>
          <cell r="I217">
            <v>50</v>
          </cell>
          <cell r="J217">
            <v>4.03</v>
          </cell>
          <cell r="K217">
            <v>4</v>
          </cell>
          <cell r="L217">
            <v>9.1999999999999993</v>
          </cell>
          <cell r="Q217" t="str">
            <v>M8.L16</v>
          </cell>
          <cell r="R217">
            <v>4</v>
          </cell>
          <cell r="W217" t="str">
            <v>矩管 1.5t</v>
          </cell>
          <cell r="AB217" t="str">
            <v>HS50*50*1.5 mm,</v>
          </cell>
        </row>
        <row r="218">
          <cell r="A218" t="str">
            <v>Shuttle.Support.Beam.HS5050.20</v>
          </cell>
          <cell r="B218" t="str">
            <v>支撑梁</v>
          </cell>
          <cell r="C218">
            <v>3.0144000000000002</v>
          </cell>
          <cell r="D218">
            <v>0.2</v>
          </cell>
          <cell r="F218">
            <v>2</v>
          </cell>
          <cell r="G218">
            <v>192</v>
          </cell>
          <cell r="H218">
            <v>50</v>
          </cell>
          <cell r="I218">
            <v>50</v>
          </cell>
          <cell r="J218">
            <v>3.88</v>
          </cell>
          <cell r="K218">
            <v>4</v>
          </cell>
          <cell r="L218">
            <v>9.1999999999999993</v>
          </cell>
          <cell r="Q218" t="str">
            <v>M8.L16</v>
          </cell>
          <cell r="R218">
            <v>4</v>
          </cell>
          <cell r="W218" t="str">
            <v>矩管 2.0t</v>
          </cell>
          <cell r="AB218" t="str">
            <v>HS50*50*2 mm,</v>
          </cell>
        </row>
        <row r="219">
          <cell r="A219" t="str">
            <v>Shuttle.Support.Beam.HS6040.12</v>
          </cell>
          <cell r="B219" t="str">
            <v>支撑梁</v>
          </cell>
          <cell r="C219">
            <v>1.838784</v>
          </cell>
          <cell r="D219">
            <v>0.2</v>
          </cell>
          <cell r="F219">
            <v>1.2</v>
          </cell>
          <cell r="G219">
            <v>195.2</v>
          </cell>
          <cell r="H219">
            <v>60</v>
          </cell>
          <cell r="I219">
            <v>40</v>
          </cell>
          <cell r="J219">
            <v>4.13</v>
          </cell>
          <cell r="K219">
            <v>4.2</v>
          </cell>
          <cell r="L219">
            <v>9.1999999999999993</v>
          </cell>
          <cell r="Q219" t="str">
            <v>M8.L16</v>
          </cell>
          <cell r="R219">
            <v>4</v>
          </cell>
          <cell r="W219" t="str">
            <v>矩管 1.2t</v>
          </cell>
          <cell r="AB219" t="str">
            <v>HS60*40*1.2 mm,</v>
          </cell>
        </row>
        <row r="220">
          <cell r="A220" t="str">
            <v>Shuttle.Support.Beam.HS6040.15</v>
          </cell>
          <cell r="B220" t="str">
            <v>支撑梁</v>
          </cell>
          <cell r="C220">
            <v>2.2843499999999999</v>
          </cell>
          <cell r="D220">
            <v>0.2</v>
          </cell>
          <cell r="F220">
            <v>1.5</v>
          </cell>
          <cell r="G220">
            <v>194</v>
          </cell>
          <cell r="H220">
            <v>60</v>
          </cell>
          <cell r="I220">
            <v>40</v>
          </cell>
          <cell r="J220">
            <v>4.03</v>
          </cell>
          <cell r="K220">
            <v>4.2</v>
          </cell>
          <cell r="L220">
            <v>9.1999999999999993</v>
          </cell>
          <cell r="Q220" t="str">
            <v>M8.L16</v>
          </cell>
          <cell r="R220">
            <v>4</v>
          </cell>
          <cell r="W220" t="str">
            <v>矩管 1.5t</v>
          </cell>
          <cell r="AB220" t="str">
            <v>HS60*40*1.5 mm,</v>
          </cell>
        </row>
        <row r="221">
          <cell r="A221" t="str">
            <v>Shuttle.Support.Beam.HS6040.20</v>
          </cell>
          <cell r="B221" t="str">
            <v>支撑梁</v>
          </cell>
          <cell r="C221">
            <v>3.0144000000000002</v>
          </cell>
          <cell r="D221">
            <v>0.2</v>
          </cell>
          <cell r="F221">
            <v>2</v>
          </cell>
          <cell r="G221">
            <v>192</v>
          </cell>
          <cell r="H221">
            <v>60</v>
          </cell>
          <cell r="I221">
            <v>40</v>
          </cell>
          <cell r="J221">
            <v>3.88</v>
          </cell>
          <cell r="K221">
            <v>4.2</v>
          </cell>
          <cell r="L221">
            <v>9.1999999999999993</v>
          </cell>
          <cell r="Q221" t="str">
            <v>M8.L16</v>
          </cell>
          <cell r="R221">
            <v>4</v>
          </cell>
          <cell r="W221" t="str">
            <v>矩管 2.0t</v>
          </cell>
          <cell r="AB221" t="str">
            <v>HS60*40*2 mm,</v>
          </cell>
        </row>
        <row r="222">
          <cell r="A222" t="str">
            <v>X.Brace.C</v>
          </cell>
          <cell r="B222" t="str">
            <v>35*20*1.5</v>
          </cell>
          <cell r="K222">
            <v>0.11</v>
          </cell>
        </row>
        <row r="223">
          <cell r="A223" t="str">
            <v>X.Brace.O</v>
          </cell>
          <cell r="B223" t="str">
            <v>Dia 25 圆管+连接耳</v>
          </cell>
          <cell r="K223">
            <v>1.8</v>
          </cell>
        </row>
        <row r="224">
          <cell r="A224" t="str">
            <v>可调底板</v>
          </cell>
          <cell r="J224">
            <v>6</v>
          </cell>
          <cell r="K224">
            <v>1.4</v>
          </cell>
        </row>
        <row r="225">
          <cell r="A225" t="str">
            <v>Shuttle.S.Arm.Single.RAL</v>
          </cell>
          <cell r="B225" t="str">
            <v>标准</v>
          </cell>
          <cell r="K225">
            <v>2</v>
          </cell>
        </row>
        <row r="226">
          <cell r="A226" t="str">
            <v>Shuttle.S.Arm.Double.RAL</v>
          </cell>
          <cell r="B226" t="str">
            <v>标准</v>
          </cell>
          <cell r="K226">
            <v>3.2</v>
          </cell>
        </row>
        <row r="227">
          <cell r="A227" t="str">
            <v>Shuttle.S.Arm.Single.RAL</v>
          </cell>
          <cell r="B227" t="str">
            <v>加焊矩管</v>
          </cell>
          <cell r="K227">
            <v>3</v>
          </cell>
        </row>
        <row r="228">
          <cell r="A228" t="str">
            <v>Shuttle.S.Arm.Double.RAL</v>
          </cell>
          <cell r="B228" t="str">
            <v>加焊矩管</v>
          </cell>
          <cell r="K228">
            <v>4.2</v>
          </cell>
        </row>
        <row r="229">
          <cell r="A229" t="str">
            <v>镀锌穿梭车导轨（H163）208*70*2.75t（锌层120克）</v>
          </cell>
          <cell r="E229">
            <v>4.88</v>
          </cell>
        </row>
        <row r="230">
          <cell r="A230" t="str">
            <v>镀锌穿梭车导轨（H163）208*70*2.75t（锌层180克）</v>
          </cell>
          <cell r="E230">
            <v>4.96</v>
          </cell>
        </row>
        <row r="231">
          <cell r="A231" t="str">
            <v>镀锌穿梭车导轨（H163）208*70*2.75t（锌层220克）</v>
          </cell>
          <cell r="E231">
            <v>5.29</v>
          </cell>
        </row>
        <row r="232">
          <cell r="A232" t="str">
            <v>镀锌导向板：100*90*110*2.5t*1350</v>
          </cell>
          <cell r="E232">
            <v>37</v>
          </cell>
          <cell r="F232">
            <v>2.5</v>
          </cell>
          <cell r="H232">
            <v>1350</v>
          </cell>
        </row>
        <row r="233">
          <cell r="A233" t="str">
            <v>镀锌导向板：100*90*110*2.0t*1350</v>
          </cell>
          <cell r="E233">
            <v>29</v>
          </cell>
          <cell r="F233">
            <v>2</v>
          </cell>
          <cell r="H233">
            <v>1350</v>
          </cell>
        </row>
        <row r="234">
          <cell r="A234" t="str">
            <v>镀锌导向板：100*90*110*2.5t*1250</v>
          </cell>
          <cell r="E234">
            <v>35</v>
          </cell>
          <cell r="F234">
            <v>2.5</v>
          </cell>
          <cell r="H234">
            <v>1250</v>
          </cell>
        </row>
        <row r="235">
          <cell r="A235" t="str">
            <v>镀锌导向板：100*90*110*2.0t*1250</v>
          </cell>
          <cell r="E235">
            <v>27</v>
          </cell>
          <cell r="F235">
            <v>2</v>
          </cell>
          <cell r="H235">
            <v>1250</v>
          </cell>
        </row>
        <row r="236">
          <cell r="A236" t="str">
            <v>前后挡板：216*125*3.5t</v>
          </cell>
          <cell r="E236">
            <v>4.9000000000000004</v>
          </cell>
          <cell r="F236">
            <v>3.5</v>
          </cell>
        </row>
        <row r="237">
          <cell r="A237" t="str">
            <v>前后挡板：216*125*5t</v>
          </cell>
          <cell r="E237">
            <v>4.9000000000000004</v>
          </cell>
          <cell r="F237">
            <v>5</v>
          </cell>
        </row>
        <row r="243">
          <cell r="A243" t="str">
            <v>C20×35×1.5</v>
          </cell>
          <cell r="B243" t="str">
            <v>水平拉</v>
          </cell>
          <cell r="C243">
            <v>0.88312500000000005</v>
          </cell>
          <cell r="D243">
            <v>0.15</v>
          </cell>
          <cell r="E243">
            <v>4.1100000000000003</v>
          </cell>
          <cell r="F243">
            <v>1.5</v>
          </cell>
          <cell r="G243">
            <v>75</v>
          </cell>
          <cell r="H243">
            <v>75</v>
          </cell>
          <cell r="I243">
            <v>75</v>
          </cell>
          <cell r="J243">
            <v>3.77</v>
          </cell>
          <cell r="K243">
            <v>0.11</v>
          </cell>
          <cell r="L243">
            <v>9</v>
          </cell>
          <cell r="W243" t="str">
            <v>热卷 1.5t</v>
          </cell>
          <cell r="X243" t="str">
            <v>镀锌卷 1.5t</v>
          </cell>
        </row>
        <row r="244">
          <cell r="A244" t="str">
            <v>C20×40×1.4</v>
          </cell>
          <cell r="C244">
            <v>1.02207</v>
          </cell>
          <cell r="D244">
            <v>0.186</v>
          </cell>
          <cell r="E244">
            <v>4.12</v>
          </cell>
          <cell r="F244">
            <v>1.4</v>
          </cell>
          <cell r="G244">
            <v>93</v>
          </cell>
          <cell r="J244">
            <v>3.78</v>
          </cell>
          <cell r="K244">
            <v>0.11</v>
          </cell>
          <cell r="L244">
            <v>9</v>
          </cell>
          <cell r="N244">
            <v>0.09</v>
          </cell>
          <cell r="Q244" t="str">
            <v>M10.L65.Socket.Wz</v>
          </cell>
          <cell r="R244">
            <v>1</v>
          </cell>
          <cell r="S244" t="str">
            <v>Spacer.90.φ14.L47</v>
          </cell>
          <cell r="T244">
            <v>1</v>
          </cell>
          <cell r="W244" t="str">
            <v>热卷 1.4t</v>
          </cell>
          <cell r="X244" t="str">
            <v>镀锌卷 1.4t</v>
          </cell>
          <cell r="AB244" t="str">
            <v>24*40*1.4 mm,</v>
          </cell>
        </row>
        <row r="245">
          <cell r="A245" t="str">
            <v>C35×24×1.4</v>
          </cell>
          <cell r="C245">
            <v>0.96711999999999998</v>
          </cell>
          <cell r="D245">
            <v>0.17599999999999999</v>
          </cell>
          <cell r="E245">
            <v>4.12</v>
          </cell>
          <cell r="F245">
            <v>1.4</v>
          </cell>
          <cell r="G245">
            <v>88</v>
          </cell>
          <cell r="J245">
            <v>3.78</v>
          </cell>
          <cell r="K245">
            <v>0.11</v>
          </cell>
          <cell r="L245">
            <v>9</v>
          </cell>
          <cell r="N245">
            <v>0.09</v>
          </cell>
          <cell r="Q245" t="str">
            <v>M10.L65.Socket.Wz</v>
          </cell>
          <cell r="R245">
            <v>1</v>
          </cell>
          <cell r="S245" t="str">
            <v>Spacer.90.φ14.L47</v>
          </cell>
          <cell r="T245">
            <v>1</v>
          </cell>
          <cell r="W245" t="str">
            <v>热卷 1.4t</v>
          </cell>
          <cell r="X245" t="str">
            <v>镀锌卷 1.4t</v>
          </cell>
          <cell r="AB245" t="str">
            <v>24*35*1.4 mm,</v>
          </cell>
        </row>
        <row r="250">
          <cell r="A250" t="str">
            <v>阁楼</v>
          </cell>
        </row>
        <row r="251">
          <cell r="A251" t="str">
            <v>Floor beam</v>
          </cell>
          <cell r="B251" t="str">
            <v>楼板梁 单面+筋</v>
          </cell>
          <cell r="K251">
            <v>3.5</v>
          </cell>
        </row>
        <row r="252">
          <cell r="A252" t="str">
            <v>Floor beam</v>
          </cell>
          <cell r="B252" t="str">
            <v>楼板梁 双面+筋</v>
          </cell>
          <cell r="K252">
            <v>7</v>
          </cell>
        </row>
        <row r="253">
          <cell r="A253" t="str">
            <v>Stair</v>
          </cell>
          <cell r="K253">
            <v>280</v>
          </cell>
        </row>
        <row r="254">
          <cell r="A254" t="str">
            <v>Revolving door</v>
          </cell>
          <cell r="B254" t="str">
            <v>旋转门</v>
          </cell>
        </row>
        <row r="264">
          <cell r="A264" t="str">
            <v>柱卡</v>
          </cell>
        </row>
        <row r="265">
          <cell r="A265" t="str">
            <v>Bracket.DE50-5H+pin</v>
          </cell>
          <cell r="B265" t="str">
            <v>德胜50mm步距</v>
          </cell>
          <cell r="C265">
            <v>1.3125199999999999</v>
          </cell>
          <cell r="D265">
            <v>8.3599999999999994E-2</v>
          </cell>
          <cell r="F265">
            <v>4</v>
          </cell>
          <cell r="G265">
            <v>95</v>
          </cell>
          <cell r="H265">
            <v>220</v>
          </cell>
          <cell r="J265">
            <v>7.9998780970956602</v>
          </cell>
          <cell r="L265">
            <v>9.1999999999999993</v>
          </cell>
          <cell r="O265">
            <v>2.2000000000000002</v>
          </cell>
          <cell r="P265">
            <v>0.2</v>
          </cell>
          <cell r="Q265" t="str">
            <v>S.Pin.ø7.L38</v>
          </cell>
          <cell r="R265">
            <v>2</v>
          </cell>
          <cell r="AA265" t="str">
            <v>节距50, 5爪,H220</v>
          </cell>
          <cell r="AB265" t="str">
            <v>pitch 50, 5 claws, H220</v>
          </cell>
        </row>
        <row r="266">
          <cell r="A266" t="str">
            <v>Bracket.DE50-4H+pin</v>
          </cell>
          <cell r="B266" t="str">
            <v>德胜50mm步距</v>
          </cell>
          <cell r="C266">
            <v>1.0142199999999999</v>
          </cell>
          <cell r="D266">
            <v>6.4600000000000005E-2</v>
          </cell>
          <cell r="F266">
            <v>4</v>
          </cell>
          <cell r="G266">
            <v>95</v>
          </cell>
          <cell r="H266">
            <v>170</v>
          </cell>
          <cell r="J266">
            <v>6.70465973851827</v>
          </cell>
          <cell r="L266">
            <v>9.1999999999999993</v>
          </cell>
          <cell r="O266">
            <v>2.2000000000000002</v>
          </cell>
          <cell r="P266">
            <v>0.2</v>
          </cell>
          <cell r="Q266" t="str">
            <v>S.Pin.ø7.L38</v>
          </cell>
          <cell r="R266">
            <v>2</v>
          </cell>
          <cell r="AA266" t="str">
            <v>节距50, 4爪,H170</v>
          </cell>
          <cell r="AB266" t="str">
            <v>pitch 50, 4 claws, H170</v>
          </cell>
        </row>
        <row r="267">
          <cell r="A267" t="str">
            <v>Bracket.DE75-2H+pin</v>
          </cell>
          <cell r="B267" t="str">
            <v>德胜75mm步距2爪</v>
          </cell>
          <cell r="C267">
            <v>0.68687500000000001</v>
          </cell>
          <cell r="D267">
            <v>0.05</v>
          </cell>
          <cell r="F267">
            <v>3.5</v>
          </cell>
          <cell r="G267">
            <v>100</v>
          </cell>
          <cell r="H267">
            <v>125</v>
          </cell>
          <cell r="J267">
            <v>7.7161055505004503</v>
          </cell>
          <cell r="L267">
            <v>9.1999999999999993</v>
          </cell>
          <cell r="O267">
            <v>2.2000000000000002</v>
          </cell>
          <cell r="P267">
            <v>0.2</v>
          </cell>
          <cell r="Q267" t="str">
            <v>S.Pin.ø7.L38</v>
          </cell>
          <cell r="R267">
            <v>2</v>
          </cell>
          <cell r="AA267" t="str">
            <v>节距75, 2爪,H125</v>
          </cell>
          <cell r="AB267" t="str">
            <v>pitch 75, 2 claws, H125</v>
          </cell>
        </row>
        <row r="268">
          <cell r="A268" t="str">
            <v>Bracket.DE75-3H+pin</v>
          </cell>
          <cell r="B268" t="str">
            <v>德胜75mm步距3爪</v>
          </cell>
          <cell r="C268">
            <v>1.099</v>
          </cell>
          <cell r="D268">
            <v>0.08</v>
          </cell>
          <cell r="F268">
            <v>3.5</v>
          </cell>
          <cell r="G268">
            <v>100</v>
          </cell>
          <cell r="H268">
            <v>200</v>
          </cell>
          <cell r="J268">
            <v>6.5514103730664202</v>
          </cell>
          <cell r="L268">
            <v>9.1999999999999993</v>
          </cell>
          <cell r="O268">
            <v>2.2000000000000002</v>
          </cell>
          <cell r="P268">
            <v>0.2</v>
          </cell>
          <cell r="Q268" t="str">
            <v>S.Pin.ø7.L38</v>
          </cell>
          <cell r="R268">
            <v>2</v>
          </cell>
          <cell r="AA268" t="str">
            <v>节距75, 3爪,H200</v>
          </cell>
          <cell r="AB268" t="str">
            <v>pitch 75, 3 claws, H200</v>
          </cell>
        </row>
        <row r="269">
          <cell r="A269" t="str">
            <v>Bracket.NZ76-3H+pin</v>
          </cell>
          <cell r="B269" t="str">
            <v>新西兰76.2mm步距3爪</v>
          </cell>
          <cell r="C269">
            <v>1.236375</v>
          </cell>
          <cell r="D269">
            <v>0.09</v>
          </cell>
          <cell r="F269">
            <v>3.5</v>
          </cell>
          <cell r="G269">
            <v>100</v>
          </cell>
          <cell r="H269">
            <v>225</v>
          </cell>
          <cell r="J269">
            <v>5.9043574967141801</v>
          </cell>
          <cell r="L269">
            <v>9.1999999999999993</v>
          </cell>
          <cell r="O269">
            <v>2.2000000000000002</v>
          </cell>
          <cell r="P269">
            <v>0.2</v>
          </cell>
          <cell r="Q269" t="str">
            <v>S.Pin.ø7.L38</v>
          </cell>
          <cell r="R269">
            <v>2</v>
          </cell>
          <cell r="AA269" t="str">
            <v>节距76.2, 3爪,H225</v>
          </cell>
          <cell r="AB269" t="str">
            <v>pitch 76.2, 3 claws, H225</v>
          </cell>
        </row>
        <row r="270">
          <cell r="A270" t="str">
            <v>Bracket.DE75-4H+pin</v>
          </cell>
          <cell r="B270" t="str">
            <v>德胜75mm步距4爪</v>
          </cell>
          <cell r="C270">
            <v>1.5111250000000001</v>
          </cell>
          <cell r="D270">
            <v>0.11</v>
          </cell>
          <cell r="F270">
            <v>3.5</v>
          </cell>
          <cell r="G270">
            <v>100</v>
          </cell>
          <cell r="H270">
            <v>275</v>
          </cell>
          <cell r="J270">
            <v>6.2867069236496</v>
          </cell>
          <cell r="L270">
            <v>9.1999999999999993</v>
          </cell>
          <cell r="O270">
            <v>2.2000000000000002</v>
          </cell>
          <cell r="P270">
            <v>0.2</v>
          </cell>
          <cell r="Q270" t="str">
            <v>S.Pin.ø7.L38</v>
          </cell>
          <cell r="R270">
            <v>2</v>
          </cell>
          <cell r="AA270" t="str">
            <v>节距75, 4爪,H270</v>
          </cell>
          <cell r="AB270" t="str">
            <v>pitch 75, 4 claws, H275</v>
          </cell>
        </row>
        <row r="271">
          <cell r="A271" t="str">
            <v>Bracket.P&amp;D 75-4H+pin</v>
          </cell>
          <cell r="B271" t="str">
            <v>PD柱卡，含筋板封板</v>
          </cell>
          <cell r="C271">
            <v>2.61</v>
          </cell>
          <cell r="D271">
            <v>0.20399999999999999</v>
          </cell>
          <cell r="F271">
            <v>3.5</v>
          </cell>
          <cell r="G271">
            <v>150</v>
          </cell>
          <cell r="H271">
            <v>340</v>
          </cell>
          <cell r="J271">
            <v>6.97318007662835</v>
          </cell>
          <cell r="K271">
            <v>4</v>
          </cell>
          <cell r="L271">
            <v>9.1999999999999993</v>
          </cell>
          <cell r="O271">
            <v>2.2000000000000002</v>
          </cell>
          <cell r="P271">
            <v>0.2</v>
          </cell>
          <cell r="Q271" t="str">
            <v>M10.L20</v>
          </cell>
          <cell r="R271">
            <v>18</v>
          </cell>
          <cell r="AA271" t="str">
            <v>节距75, 4爪,H340</v>
          </cell>
          <cell r="AB271" t="str">
            <v>pitch 75, 4 claws, H340</v>
          </cell>
        </row>
        <row r="272">
          <cell r="A272" t="str">
            <v>Bracket.NZ76-4H+pin</v>
          </cell>
          <cell r="B272" t="str">
            <v>新西兰76.2mm步距4爪</v>
          </cell>
          <cell r="C272">
            <v>1.6539950000000001</v>
          </cell>
          <cell r="D272">
            <v>0.12039999999999999</v>
          </cell>
          <cell r="F272">
            <v>3.5</v>
          </cell>
          <cell r="G272">
            <v>100</v>
          </cell>
          <cell r="H272">
            <v>301</v>
          </cell>
          <cell r="J272">
            <v>5.7436691162911604</v>
          </cell>
          <cell r="L272">
            <v>9.1999999999999993</v>
          </cell>
          <cell r="O272">
            <v>2.2000000000000002</v>
          </cell>
          <cell r="P272">
            <v>0.2</v>
          </cell>
          <cell r="Q272" t="str">
            <v>S.Pin.ø7.L38</v>
          </cell>
          <cell r="R272">
            <v>2</v>
          </cell>
          <cell r="AA272" t="str">
            <v>节距76.2, 4爪,H301</v>
          </cell>
          <cell r="AB272" t="str">
            <v>pitch 76.2, 4 claws, H301</v>
          </cell>
        </row>
        <row r="273">
          <cell r="A273" t="str">
            <v>Bracket.DA50-5H+pin</v>
          </cell>
          <cell r="B273" t="str">
            <v>德胜澳洲50mm步距</v>
          </cell>
          <cell r="C273">
            <v>1.3539680000000001</v>
          </cell>
          <cell r="D273">
            <v>8.6239999999999997E-2</v>
          </cell>
          <cell r="F273">
            <v>4</v>
          </cell>
          <cell r="G273">
            <v>98</v>
          </cell>
          <cell r="H273">
            <v>220</v>
          </cell>
          <cell r="J273">
            <v>7.7549838696335502</v>
          </cell>
          <cell r="L273">
            <v>9.1999999999999993</v>
          </cell>
          <cell r="O273">
            <v>2.2000000000000002</v>
          </cell>
          <cell r="P273">
            <v>0.2</v>
          </cell>
          <cell r="Q273" t="str">
            <v>S.Pin.Spring.DA50</v>
          </cell>
          <cell r="R273">
            <v>2</v>
          </cell>
          <cell r="AA273" t="str">
            <v>节距50, 5爪,H220</v>
          </cell>
          <cell r="AB273" t="str">
            <v>pitch 50, 5 claws, H220</v>
          </cell>
        </row>
        <row r="274">
          <cell r="A274" t="str">
            <v>Bracket.DA76-3H+pin</v>
          </cell>
          <cell r="B274" t="str">
            <v>德胜76mm步距3爪</v>
          </cell>
          <cell r="C274">
            <v>1.099</v>
          </cell>
          <cell r="D274">
            <v>0.08</v>
          </cell>
          <cell r="F274">
            <v>3.5</v>
          </cell>
          <cell r="G274">
            <v>100</v>
          </cell>
          <cell r="H274">
            <v>200</v>
          </cell>
          <cell r="J274">
            <v>6.5514103730664202</v>
          </cell>
          <cell r="L274">
            <v>9.1999999999999993</v>
          </cell>
          <cell r="O274">
            <v>2.2000000000000002</v>
          </cell>
          <cell r="P274">
            <v>0.2</v>
          </cell>
          <cell r="Q274" t="str">
            <v>S.Pin.Spring.DA76</v>
          </cell>
          <cell r="R274">
            <v>2</v>
          </cell>
          <cell r="AA274" t="str">
            <v>节距76.2, 3爪,H200</v>
          </cell>
          <cell r="AB274" t="str">
            <v>pitch 76.2, 3 claws, H200</v>
          </cell>
        </row>
        <row r="275">
          <cell r="A275" t="str">
            <v>Bracket.DA76-4H+pin</v>
          </cell>
          <cell r="B275" t="str">
            <v>德胜76mm步距4爪</v>
          </cell>
          <cell r="C275">
            <v>1.5111250000000001</v>
          </cell>
          <cell r="D275">
            <v>0.11</v>
          </cell>
          <cell r="F275">
            <v>3.5</v>
          </cell>
          <cell r="G275">
            <v>100</v>
          </cell>
          <cell r="H275">
            <v>275</v>
          </cell>
          <cell r="J275">
            <v>6.2867069236496</v>
          </cell>
          <cell r="L275">
            <v>9.1999999999999993</v>
          </cell>
          <cell r="O275">
            <v>2.2000000000000002</v>
          </cell>
          <cell r="P275">
            <v>0.2</v>
          </cell>
          <cell r="Q275" t="str">
            <v>S.Pin.Spring.DA76</v>
          </cell>
          <cell r="R275">
            <v>2</v>
          </cell>
          <cell r="AA275" t="str">
            <v>节距76.2, 3爪,H275</v>
          </cell>
          <cell r="AB275" t="str">
            <v>pitch 76.2, 4 claws, H275</v>
          </cell>
        </row>
        <row r="276">
          <cell r="A276" t="str">
            <v>L55A-Brk+pin</v>
          </cell>
          <cell r="B276" t="str">
            <v>L55A中型柱卡</v>
          </cell>
          <cell r="C276">
            <v>0.432535</v>
          </cell>
          <cell r="D276">
            <v>4.4659999999999998E-2</v>
          </cell>
          <cell r="F276">
            <v>2.5</v>
          </cell>
          <cell r="G276">
            <v>76</v>
          </cell>
          <cell r="H276">
            <v>145</v>
          </cell>
          <cell r="J276">
            <v>9.2478065358872694</v>
          </cell>
          <cell r="L276">
            <v>9.1999999999999993</v>
          </cell>
          <cell r="O276">
            <v>2.2000000000000002</v>
          </cell>
          <cell r="P276">
            <v>0.2</v>
          </cell>
          <cell r="Q276" t="str">
            <v>S.Pin.L55AB.ø6.L38</v>
          </cell>
          <cell r="R276">
            <v>2</v>
          </cell>
          <cell r="AA276" t="str">
            <v>含柱卡L55A,H145</v>
          </cell>
          <cell r="AB276" t="str">
            <v>with L55A，H145</v>
          </cell>
        </row>
        <row r="277">
          <cell r="A277" t="str">
            <v>L55B-Brk+pin</v>
          </cell>
          <cell r="B277" t="str">
            <v>L55B中型柱卡</v>
          </cell>
          <cell r="C277">
            <v>0.40270499999999998</v>
          </cell>
          <cell r="D277">
            <v>4.1579999999999999E-2</v>
          </cell>
          <cell r="F277">
            <v>2.5</v>
          </cell>
          <cell r="G277">
            <v>76</v>
          </cell>
          <cell r="H277">
            <v>135</v>
          </cell>
          <cell r="J277">
            <v>9.9328292422492908</v>
          </cell>
          <cell r="L277">
            <v>9.1999999999999993</v>
          </cell>
          <cell r="O277">
            <v>2.2000000000000002</v>
          </cell>
          <cell r="P277">
            <v>0.2</v>
          </cell>
          <cell r="Q277" t="str">
            <v>S.Pin.L55AB.ø6.L38</v>
          </cell>
          <cell r="R277">
            <v>2</v>
          </cell>
          <cell r="AA277" t="str">
            <v>含柱卡L55B,H135</v>
          </cell>
          <cell r="AB277" t="str">
            <v>with L55B，H135,</v>
          </cell>
        </row>
        <row r="278">
          <cell r="A278" t="str">
            <v>L55C-Brk+pin</v>
          </cell>
          <cell r="B278" t="str">
            <v>L55C中型柱卡</v>
          </cell>
          <cell r="C278">
            <v>0.41546125</v>
          </cell>
          <cell r="D278">
            <v>4.2340000000000003E-2</v>
          </cell>
          <cell r="F278">
            <v>2.5</v>
          </cell>
          <cell r="G278">
            <v>73</v>
          </cell>
          <cell r="H278">
            <v>145</v>
          </cell>
          <cell r="J278">
            <v>9.6278533798278403</v>
          </cell>
          <cell r="L278">
            <v>9.1999999999999993</v>
          </cell>
          <cell r="O278">
            <v>2.2000000000000002</v>
          </cell>
          <cell r="P278">
            <v>0.2</v>
          </cell>
          <cell r="Q278" t="str">
            <v>S.Pin.L55C.ø5.L30</v>
          </cell>
          <cell r="R278">
            <v>2</v>
          </cell>
          <cell r="AA278" t="str">
            <v>含柱卡L55C,H145</v>
          </cell>
          <cell r="AB278" t="str">
            <v>with L55C，H145,</v>
          </cell>
        </row>
        <row r="279">
          <cell r="A279" t="str">
            <v>L55B.Ex-Brk+pin</v>
          </cell>
          <cell r="B279" t="str">
            <v>L55B中型柱卡-加长</v>
          </cell>
          <cell r="C279">
            <v>0.4556925</v>
          </cell>
          <cell r="D279">
            <v>4.6980000000000001E-2</v>
          </cell>
          <cell r="F279">
            <v>2.5</v>
          </cell>
          <cell r="G279">
            <v>86</v>
          </cell>
          <cell r="H279">
            <v>135</v>
          </cell>
          <cell r="J279">
            <v>9.2167415526917793</v>
          </cell>
          <cell r="L279">
            <v>9.1999999999999993</v>
          </cell>
          <cell r="O279">
            <v>2.2000000000000002</v>
          </cell>
          <cell r="P279">
            <v>0.2</v>
          </cell>
          <cell r="Q279" t="str">
            <v>S.Pin.L55AB.ø6.L38</v>
          </cell>
          <cell r="R279">
            <v>2</v>
          </cell>
          <cell r="AA279" t="str">
            <v>含柱卡L55B.Ex,H135</v>
          </cell>
          <cell r="AB279" t="str">
            <v>with L55B.Ex, H135</v>
          </cell>
        </row>
        <row r="280">
          <cell r="A280" t="str">
            <v>L60 Brk+pin</v>
          </cell>
          <cell r="C280">
            <v>0.5</v>
          </cell>
          <cell r="D280">
            <v>4.2000000000000003E-2</v>
          </cell>
          <cell r="F280">
            <v>2.5</v>
          </cell>
          <cell r="G280">
            <v>75</v>
          </cell>
          <cell r="H280">
            <v>150</v>
          </cell>
          <cell r="J280">
            <v>8</v>
          </cell>
          <cell r="L280">
            <v>9.1999999999999993</v>
          </cell>
          <cell r="O280">
            <v>2.2000000000000002</v>
          </cell>
          <cell r="P280">
            <v>0.2</v>
          </cell>
          <cell r="Q280" t="str">
            <v>S.Pin.L55AB.ø6.L38</v>
          </cell>
          <cell r="R280">
            <v>2</v>
          </cell>
          <cell r="AA280" t="str">
            <v>含柱卡L60,H150</v>
          </cell>
          <cell r="AB280" t="str">
            <v>with L60，H150,</v>
          </cell>
        </row>
        <row r="281">
          <cell r="A281" t="str">
            <v>Bracket.DE75托盘后档</v>
          </cell>
          <cell r="C281">
            <v>2.4209999999999998</v>
          </cell>
          <cell r="D281">
            <v>0.33600000000000002</v>
          </cell>
          <cell r="F281">
            <v>3.5</v>
          </cell>
          <cell r="G281">
            <v>100</v>
          </cell>
          <cell r="H281">
            <v>200</v>
          </cell>
          <cell r="J281">
            <v>6.5</v>
          </cell>
          <cell r="L281">
            <v>9.1999999999999993</v>
          </cell>
          <cell r="O281">
            <v>2.2000000000000002</v>
          </cell>
          <cell r="P281">
            <v>0.2</v>
          </cell>
          <cell r="Q281" t="str">
            <v>S.Pin.ø7.L38</v>
          </cell>
          <cell r="R281">
            <v>0</v>
          </cell>
          <cell r="S281" t="str">
            <v>M10.L20</v>
          </cell>
          <cell r="T281">
            <v>4</v>
          </cell>
        </row>
        <row r="287">
          <cell r="A287" t="str">
            <v>脚底板</v>
          </cell>
        </row>
        <row r="288">
          <cell r="A288" t="str">
            <v>FP90M+bolt.set</v>
          </cell>
          <cell r="B288" t="str">
            <v>90M底板(镀锌）</v>
          </cell>
          <cell r="C288">
            <v>0.38500000000000001</v>
          </cell>
          <cell r="D288">
            <v>2.8000000000000001E-2</v>
          </cell>
          <cell r="F288">
            <v>3.5</v>
          </cell>
          <cell r="H288">
            <v>100</v>
          </cell>
          <cell r="I288">
            <v>140</v>
          </cell>
          <cell r="J288">
            <v>11.4285714285714</v>
          </cell>
          <cell r="L288">
            <v>0.95</v>
          </cell>
          <cell r="M288">
            <v>2.2999999999999998</v>
          </cell>
          <cell r="O288">
            <v>2.2000000000000002</v>
          </cell>
          <cell r="Q288" t="str">
            <v>M10.L20</v>
          </cell>
          <cell r="R288">
            <v>2</v>
          </cell>
          <cell r="S288" t="str">
            <v>Anc.M12.L100</v>
          </cell>
          <cell r="T288">
            <v>2</v>
          </cell>
          <cell r="U288" t="str">
            <v>SHM90M.15.Pregal</v>
          </cell>
          <cell r="V288">
            <v>2</v>
          </cell>
          <cell r="AA288" t="str">
            <v>含FP90M,垫板和螺栓</v>
          </cell>
          <cell r="AB288" t="str">
            <v xml:space="preserve">with 90M foot plate, shim plate and bolts, </v>
          </cell>
        </row>
        <row r="289">
          <cell r="A289" t="str">
            <v>FP90H2.D50+bolt.set</v>
          </cell>
          <cell r="B289" t="str">
            <v>50步距90H2底板</v>
          </cell>
          <cell r="C289">
            <v>0.84599999999999997</v>
          </cell>
          <cell r="F289">
            <v>4.5</v>
          </cell>
          <cell r="H289">
            <v>130</v>
          </cell>
          <cell r="I289">
            <v>130</v>
          </cell>
          <cell r="J289">
            <v>5.1605999999999996</v>
          </cell>
          <cell r="K289">
            <v>1.2</v>
          </cell>
          <cell r="L289">
            <v>0.95</v>
          </cell>
          <cell r="M289">
            <v>2.2999999999999998</v>
          </cell>
          <cell r="O289">
            <v>2.2000000000000002</v>
          </cell>
          <cell r="Q289" t="str">
            <v>M10.L20</v>
          </cell>
          <cell r="R289">
            <v>2</v>
          </cell>
          <cell r="S289" t="str">
            <v>Anc.M12.L100</v>
          </cell>
          <cell r="T289">
            <v>2</v>
          </cell>
          <cell r="U289" t="str">
            <v>SHM90/100.15.Pregal</v>
          </cell>
          <cell r="V289">
            <v>2</v>
          </cell>
          <cell r="AA289" t="str">
            <v>含FP90H2,垫板和螺栓</v>
          </cell>
          <cell r="AB289" t="str">
            <v>with 90H2 foot plate, shim plate and bolts,</v>
          </cell>
        </row>
        <row r="290">
          <cell r="A290" t="str">
            <v>FP90H2.D75+bolt.set</v>
          </cell>
          <cell r="B290" t="str">
            <v>75步距90H2底板</v>
          </cell>
          <cell r="C290">
            <v>0.95018519999999995</v>
          </cell>
          <cell r="F290">
            <v>4.5</v>
          </cell>
          <cell r="H290">
            <v>130</v>
          </cell>
          <cell r="I290">
            <v>130</v>
          </cell>
          <cell r="J290">
            <v>6.1</v>
          </cell>
          <cell r="K290">
            <v>1.2</v>
          </cell>
          <cell r="L290">
            <v>0.95</v>
          </cell>
          <cell r="M290">
            <v>2.2999999999999998</v>
          </cell>
          <cell r="O290">
            <v>2.2000000000000002</v>
          </cell>
          <cell r="Q290" t="str">
            <v>M10.L20</v>
          </cell>
          <cell r="R290">
            <v>2</v>
          </cell>
          <cell r="S290" t="str">
            <v>Anc.M12.L100</v>
          </cell>
          <cell r="T290">
            <v>2</v>
          </cell>
          <cell r="U290" t="str">
            <v>SHM90/100.15.Pregal</v>
          </cell>
          <cell r="V290">
            <v>2</v>
          </cell>
          <cell r="AA290" t="str">
            <v>含FP90H2,垫板和螺栓</v>
          </cell>
          <cell r="AB290" t="str">
            <v>with 90H2 foot plate, shim plate and bolts.</v>
          </cell>
        </row>
        <row r="291">
          <cell r="A291" t="str">
            <v>FP90H4.D50+bolt.set</v>
          </cell>
          <cell r="B291" t="str">
            <v>50步距90H4底板</v>
          </cell>
          <cell r="C291">
            <v>0.96908249999999996</v>
          </cell>
          <cell r="D291">
            <v>6.5799999999999997E-2</v>
          </cell>
          <cell r="F291">
            <v>4.5</v>
          </cell>
          <cell r="H291">
            <v>130</v>
          </cell>
          <cell r="I291">
            <v>130</v>
          </cell>
          <cell r="J291">
            <v>6.1</v>
          </cell>
          <cell r="K291">
            <v>1.2</v>
          </cell>
          <cell r="L291">
            <v>0.95</v>
          </cell>
          <cell r="M291">
            <v>2.2999999999999998</v>
          </cell>
          <cell r="O291">
            <v>2.2000000000000002</v>
          </cell>
          <cell r="Q291" t="str">
            <v>M10.L20</v>
          </cell>
          <cell r="R291">
            <v>4</v>
          </cell>
          <cell r="S291" t="str">
            <v>Anc.M12.L100</v>
          </cell>
          <cell r="T291">
            <v>2</v>
          </cell>
          <cell r="U291" t="str">
            <v>SHM90/100.15.Pregal</v>
          </cell>
          <cell r="V291">
            <v>2</v>
          </cell>
          <cell r="AA291" t="str">
            <v>含FP90H4,垫板和螺栓</v>
          </cell>
          <cell r="AB291" t="str">
            <v>with 90H4 foot plate, shim plate and bolts,</v>
          </cell>
        </row>
        <row r="292">
          <cell r="A292" t="str">
            <v>FP90H4.DE75+bolt.set</v>
          </cell>
          <cell r="B292" t="str">
            <v>75步距90H4底板</v>
          </cell>
          <cell r="C292">
            <v>1.0732676999999999</v>
          </cell>
          <cell r="D292">
            <v>7.4759999999999993E-2</v>
          </cell>
          <cell r="F292">
            <v>4.5</v>
          </cell>
          <cell r="H292">
            <v>130</v>
          </cell>
          <cell r="I292">
            <v>130</v>
          </cell>
          <cell r="J292">
            <v>6.1</v>
          </cell>
          <cell r="K292">
            <v>1.2</v>
          </cell>
          <cell r="L292">
            <v>0.95</v>
          </cell>
          <cell r="M292">
            <v>2.2999999999999998</v>
          </cell>
          <cell r="O292">
            <v>2.2000000000000002</v>
          </cell>
          <cell r="Q292" t="str">
            <v>M10.L20</v>
          </cell>
          <cell r="R292">
            <v>4</v>
          </cell>
          <cell r="S292" t="str">
            <v>Anc.M12.L100</v>
          </cell>
          <cell r="T292">
            <v>2</v>
          </cell>
          <cell r="U292" t="str">
            <v>SHM90/100.15.Pregal</v>
          </cell>
          <cell r="V292">
            <v>2</v>
          </cell>
          <cell r="AA292" t="str">
            <v>含FP90H4,垫板和螺栓</v>
          </cell>
          <cell r="AB292" t="str">
            <v>with 90H4 foot plate, shim plate and bolts,</v>
          </cell>
        </row>
        <row r="293">
          <cell r="A293" t="str">
            <v>FP90/100H4.NZ76.2+bolt.set</v>
          </cell>
          <cell r="B293" t="str">
            <v>新西兰特殊90H4底板</v>
          </cell>
          <cell r="C293">
            <v>2.12</v>
          </cell>
          <cell r="D293">
            <v>0.12</v>
          </cell>
          <cell r="F293">
            <v>4.5</v>
          </cell>
          <cell r="H293">
            <v>130</v>
          </cell>
          <cell r="I293">
            <v>130</v>
          </cell>
          <cell r="J293">
            <v>6.3679245283018897</v>
          </cell>
          <cell r="K293">
            <v>1.8</v>
          </cell>
          <cell r="L293">
            <v>0.95</v>
          </cell>
          <cell r="M293">
            <v>2.2999999999999998</v>
          </cell>
          <cell r="O293">
            <v>2.2000000000000002</v>
          </cell>
          <cell r="Q293" t="str">
            <v>M10.L20</v>
          </cell>
          <cell r="R293">
            <v>4</v>
          </cell>
          <cell r="U293" t="str">
            <v>NZ 90/100.15.Pregal</v>
          </cell>
          <cell r="V293">
            <v>1</v>
          </cell>
          <cell r="AA293" t="str">
            <v>含NZ90/100 H4,垫板和螺栓</v>
          </cell>
          <cell r="AB293" t="str">
            <v>with NZ90/100 H4 foot plate, shim plate and bolts,</v>
          </cell>
        </row>
        <row r="294">
          <cell r="A294" t="str">
            <v>FP100H4.DE50+bolt.set</v>
          </cell>
          <cell r="B294" t="str">
            <v>50步距100H4底板</v>
          </cell>
          <cell r="C294">
            <v>0.99263250000000003</v>
          </cell>
          <cell r="D294">
            <v>7.732E-2</v>
          </cell>
          <cell r="F294">
            <v>5</v>
          </cell>
          <cell r="H294">
            <v>130</v>
          </cell>
          <cell r="I294">
            <v>200</v>
          </cell>
          <cell r="J294">
            <v>6.1</v>
          </cell>
          <cell r="K294">
            <v>1.2</v>
          </cell>
          <cell r="L294">
            <v>0.95</v>
          </cell>
          <cell r="M294">
            <v>2.2999999999999998</v>
          </cell>
          <cell r="O294">
            <v>2.2000000000000002</v>
          </cell>
          <cell r="Q294" t="str">
            <v>M10.L20</v>
          </cell>
          <cell r="R294">
            <v>4</v>
          </cell>
          <cell r="S294" t="str">
            <v>Anc.M12.L100</v>
          </cell>
          <cell r="T294">
            <v>2</v>
          </cell>
          <cell r="U294" t="str">
            <v>SHM90/100.15.Pregal</v>
          </cell>
          <cell r="V294">
            <v>2</v>
          </cell>
          <cell r="AA294" t="str">
            <v>含FP100H4,垫板和螺栓</v>
          </cell>
          <cell r="AB294" t="str">
            <v>with 100H4 foot plate, shim plate and bolts,</v>
          </cell>
        </row>
        <row r="295">
          <cell r="A295" t="str">
            <v>FP100H4.DE75+bolt.set</v>
          </cell>
          <cell r="B295" t="str">
            <v>75步距100H4底板</v>
          </cell>
          <cell r="C295">
            <v>1.1034117000000001</v>
          </cell>
          <cell r="D295">
            <v>7.732E-2</v>
          </cell>
          <cell r="F295">
            <v>5</v>
          </cell>
          <cell r="H295">
            <v>130</v>
          </cell>
          <cell r="I295">
            <v>200</v>
          </cell>
          <cell r="J295">
            <v>6.1</v>
          </cell>
          <cell r="K295">
            <v>1.2</v>
          </cell>
          <cell r="L295">
            <v>0.95</v>
          </cell>
          <cell r="M295">
            <v>2.2999999999999998</v>
          </cell>
          <cell r="O295">
            <v>2.2000000000000002</v>
          </cell>
          <cell r="Q295" t="str">
            <v>M10.L20</v>
          </cell>
          <cell r="R295">
            <v>4</v>
          </cell>
          <cell r="S295" t="str">
            <v>Anc.M12.L100</v>
          </cell>
          <cell r="T295">
            <v>2</v>
          </cell>
          <cell r="U295" t="str">
            <v>SHM90/100.15.Pregal</v>
          </cell>
          <cell r="V295">
            <v>2</v>
          </cell>
          <cell r="AA295" t="str">
            <v>含FP100H4,垫板和螺栓</v>
          </cell>
          <cell r="AB295" t="str">
            <v>with 100H4 foot plate, shim plate and bolts,</v>
          </cell>
        </row>
        <row r="296">
          <cell r="A296" t="str">
            <v>FP120H4.D50+bolt.set</v>
          </cell>
          <cell r="B296" t="str">
            <v>50步距120H4底板</v>
          </cell>
          <cell r="C296">
            <v>1.2</v>
          </cell>
          <cell r="D296">
            <v>8.9139999999999997E-2</v>
          </cell>
          <cell r="F296">
            <v>4.5</v>
          </cell>
          <cell r="H296">
            <v>150</v>
          </cell>
          <cell r="I296">
            <v>135</v>
          </cell>
          <cell r="J296">
            <v>6.1</v>
          </cell>
          <cell r="K296">
            <v>1.2</v>
          </cell>
          <cell r="L296">
            <v>0.95</v>
          </cell>
          <cell r="M296">
            <v>2.2999999999999998</v>
          </cell>
          <cell r="O296">
            <v>2.2000000000000002</v>
          </cell>
          <cell r="Q296" t="str">
            <v>M10.L20</v>
          </cell>
          <cell r="R296">
            <v>4</v>
          </cell>
          <cell r="S296" t="str">
            <v>Anc.M12.L100</v>
          </cell>
          <cell r="T296">
            <v>2</v>
          </cell>
          <cell r="U296" t="str">
            <v>SHM120.15.Pregal</v>
          </cell>
          <cell r="V296">
            <v>2</v>
          </cell>
          <cell r="AA296" t="str">
            <v>含FP120H4,垫板和螺栓</v>
          </cell>
          <cell r="AB296" t="str">
            <v>with 120H4 foot plate, shim plate and bolts,</v>
          </cell>
        </row>
        <row r="297">
          <cell r="A297" t="str">
            <v>FP120H4.D75+bolt.set</v>
          </cell>
          <cell r="B297" t="str">
            <v>75步距120H4底板</v>
          </cell>
          <cell r="C297">
            <v>1.2880672500000001</v>
          </cell>
          <cell r="D297">
            <v>8.9139999999999997E-2</v>
          </cell>
          <cell r="F297">
            <v>4.5</v>
          </cell>
          <cell r="H297">
            <v>150</v>
          </cell>
          <cell r="I297">
            <v>135</v>
          </cell>
          <cell r="J297">
            <v>6.1</v>
          </cell>
          <cell r="K297">
            <v>1.2</v>
          </cell>
          <cell r="L297">
            <v>0.95</v>
          </cell>
          <cell r="M297">
            <v>2.2999999999999998</v>
          </cell>
          <cell r="O297">
            <v>2.2000000000000002</v>
          </cell>
          <cell r="Q297" t="str">
            <v>M10.L20</v>
          </cell>
          <cell r="R297">
            <v>4</v>
          </cell>
          <cell r="S297" t="str">
            <v>Anc.M12.L100</v>
          </cell>
          <cell r="T297">
            <v>2</v>
          </cell>
          <cell r="U297" t="str">
            <v>SHM120.15.Pregal</v>
          </cell>
          <cell r="V297">
            <v>2</v>
          </cell>
          <cell r="AA297" t="str">
            <v>含FP120H4,垫板和螺栓</v>
          </cell>
          <cell r="AB297" t="str">
            <v>with 120H4 foot plate, shim plate and bolts,</v>
          </cell>
        </row>
        <row r="298">
          <cell r="A298" t="str">
            <v>FP120.95H4+bolt.set t4.5</v>
          </cell>
          <cell r="B298" t="str">
            <v>12095H4底板4.5mm</v>
          </cell>
          <cell r="C298">
            <v>1.2820384499999999</v>
          </cell>
          <cell r="D298">
            <v>9.9007999999999999E-2</v>
          </cell>
          <cell r="F298">
            <v>4.5</v>
          </cell>
          <cell r="H298">
            <v>155</v>
          </cell>
          <cell r="I298">
            <v>160</v>
          </cell>
          <cell r="J298">
            <v>6.1</v>
          </cell>
          <cell r="K298">
            <v>1.2</v>
          </cell>
          <cell r="L298">
            <v>0.95</v>
          </cell>
          <cell r="M298">
            <v>2.2999999999999998</v>
          </cell>
          <cell r="O298">
            <v>2.2000000000000002</v>
          </cell>
          <cell r="Q298" t="str">
            <v>M10.L20</v>
          </cell>
          <cell r="R298">
            <v>4</v>
          </cell>
          <cell r="S298" t="str">
            <v>Anc.M12.L100</v>
          </cell>
          <cell r="T298">
            <v>2</v>
          </cell>
          <cell r="U298" t="str">
            <v>SHM120.15.Pregal</v>
          </cell>
          <cell r="V298">
            <v>2</v>
          </cell>
          <cell r="AA298" t="str">
            <v>含FP120H4,垫板和螺栓</v>
          </cell>
          <cell r="AB298" t="str">
            <v>with 120H4 foot plate, shim plate and bolts,</v>
          </cell>
        </row>
        <row r="299">
          <cell r="A299" t="str">
            <v>FP120.95H4+bolt.set t8</v>
          </cell>
          <cell r="B299" t="str">
            <v>12095H4底板8mm</v>
          </cell>
          <cell r="C299">
            <v>2.1392191999999999</v>
          </cell>
          <cell r="D299">
            <v>9.9007999999999999E-2</v>
          </cell>
          <cell r="F299">
            <v>8</v>
          </cell>
          <cell r="H299">
            <v>155</v>
          </cell>
          <cell r="I299">
            <v>160</v>
          </cell>
          <cell r="J299">
            <v>6.1</v>
          </cell>
          <cell r="K299">
            <v>1.2</v>
          </cell>
          <cell r="L299">
            <v>0.95</v>
          </cell>
          <cell r="M299">
            <v>2.2999999999999998</v>
          </cell>
          <cell r="O299">
            <v>2.2000000000000002</v>
          </cell>
          <cell r="Q299" t="str">
            <v>M10.L20</v>
          </cell>
          <cell r="R299">
            <v>4</v>
          </cell>
          <cell r="S299" t="str">
            <v>Anc.M12.L100</v>
          </cell>
          <cell r="T299">
            <v>2</v>
          </cell>
          <cell r="U299" t="str">
            <v>SHM120.15.Pregal</v>
          </cell>
          <cell r="V299">
            <v>2</v>
          </cell>
          <cell r="AA299" t="str">
            <v>含FP120H4,垫板和螺栓</v>
          </cell>
          <cell r="AB299" t="str">
            <v>with 120H4 foot plate, shim plate and bolts,</v>
          </cell>
        </row>
        <row r="300">
          <cell r="A300" t="str">
            <v>FP120.135H4+bolt.set t6.5</v>
          </cell>
          <cell r="B300" t="str">
            <v>120135H4底板6.5mm</v>
          </cell>
          <cell r="C300">
            <v>2.5</v>
          </cell>
          <cell r="D300">
            <v>0.1226</v>
          </cell>
          <cell r="F300">
            <v>6.5</v>
          </cell>
          <cell r="H300">
            <v>155</v>
          </cell>
          <cell r="I300">
            <v>160</v>
          </cell>
          <cell r="J300">
            <v>6.5</v>
          </cell>
          <cell r="K300">
            <v>1.2</v>
          </cell>
          <cell r="L300">
            <v>0.95</v>
          </cell>
          <cell r="M300">
            <v>2.2999999999999998</v>
          </cell>
          <cell r="O300">
            <v>2.2000000000000002</v>
          </cell>
          <cell r="Q300" t="str">
            <v>M10.L20</v>
          </cell>
          <cell r="R300">
            <v>4</v>
          </cell>
          <cell r="S300" t="str">
            <v>Anc.M12.L100</v>
          </cell>
          <cell r="T300">
            <v>2</v>
          </cell>
          <cell r="U300" t="str">
            <v>SHM120.15.Pregal</v>
          </cell>
          <cell r="V300">
            <v>2</v>
          </cell>
          <cell r="AA300" t="str">
            <v>含FP120H4,垫板和螺栓</v>
          </cell>
          <cell r="AB300" t="str">
            <v>with 120H4 foot plate, shim plate and bolts,</v>
          </cell>
        </row>
        <row r="301">
          <cell r="A301" t="str">
            <v>FP140.135H4+bolt.set t6.5</v>
          </cell>
          <cell r="B301" t="str">
            <v>140135H4底板6.5mm</v>
          </cell>
          <cell r="C301">
            <v>3.206725</v>
          </cell>
          <cell r="D301">
            <v>0.1226</v>
          </cell>
          <cell r="F301">
            <v>6.5</v>
          </cell>
          <cell r="H301">
            <v>155</v>
          </cell>
          <cell r="I301">
            <v>160</v>
          </cell>
          <cell r="J301">
            <v>6.5</v>
          </cell>
          <cell r="K301">
            <v>1.2</v>
          </cell>
          <cell r="L301">
            <v>0.95</v>
          </cell>
          <cell r="M301">
            <v>2.2999999999999998</v>
          </cell>
          <cell r="O301">
            <v>2.2000000000000002</v>
          </cell>
          <cell r="Q301" t="str">
            <v>M10.L20</v>
          </cell>
          <cell r="R301">
            <v>4</v>
          </cell>
          <cell r="S301" t="str">
            <v>Anc.M12.L100</v>
          </cell>
          <cell r="T301">
            <v>2</v>
          </cell>
          <cell r="U301" t="str">
            <v>FP140.135.1.5.Pregal</v>
          </cell>
          <cell r="V301">
            <v>2</v>
          </cell>
          <cell r="AA301" t="str">
            <v>含FP120H4,垫板和螺栓</v>
          </cell>
          <cell r="AB301" t="str">
            <v>with 120H4 foot plate, shim plate and bolts,</v>
          </cell>
        </row>
        <row r="302">
          <cell r="A302" t="str">
            <v>FP.L55A+M8.L45</v>
          </cell>
          <cell r="B302" t="str">
            <v>L55A中型底板</v>
          </cell>
          <cell r="C302">
            <v>0.19</v>
          </cell>
          <cell r="D302">
            <v>2.0670000000000001E-2</v>
          </cell>
          <cell r="F302">
            <v>2.5</v>
          </cell>
          <cell r="H302">
            <v>65</v>
          </cell>
          <cell r="I302">
            <v>85</v>
          </cell>
          <cell r="J302">
            <v>18.947368421052602</v>
          </cell>
          <cell r="L302">
            <v>0.95</v>
          </cell>
          <cell r="M302">
            <v>2.2999999999999998</v>
          </cell>
          <cell r="O302">
            <v>2.2000000000000002</v>
          </cell>
          <cell r="Q302" t="str">
            <v>M8.L45 Socket</v>
          </cell>
          <cell r="R302">
            <v>1</v>
          </cell>
          <cell r="S302" t="str">
            <v>Anc.M8.L60</v>
          </cell>
          <cell r="T302">
            <v>2</v>
          </cell>
          <cell r="U302" t="str">
            <v>SHM55A.15.Pregal</v>
          </cell>
          <cell r="V302">
            <v>2</v>
          </cell>
          <cell r="AA302" t="str">
            <v>含FPL55A,垫板和螺栓</v>
          </cell>
          <cell r="AB302" t="str">
            <v>with L55A foot plate, shim plate and bolts,</v>
          </cell>
        </row>
        <row r="303">
          <cell r="A303" t="str">
            <v>FP.L55B+M8.L16</v>
          </cell>
          <cell r="B303" t="str">
            <v>L55B中型底板</v>
          </cell>
          <cell r="C303">
            <v>0.17</v>
          </cell>
          <cell r="D303">
            <v>1.72E-2</v>
          </cell>
          <cell r="F303">
            <v>2.5</v>
          </cell>
          <cell r="H303">
            <v>100</v>
          </cell>
          <cell r="I303">
            <v>65</v>
          </cell>
          <cell r="J303">
            <v>21.176470588235301</v>
          </cell>
          <cell r="L303">
            <v>0.95</v>
          </cell>
          <cell r="M303">
            <v>2.2999999999999998</v>
          </cell>
          <cell r="O303">
            <v>2.2000000000000002</v>
          </cell>
          <cell r="Q303" t="str">
            <v>M8.L16</v>
          </cell>
          <cell r="R303">
            <v>2</v>
          </cell>
          <cell r="S303" t="str">
            <v>Anc.M8.L60</v>
          </cell>
          <cell r="T303">
            <v>1</v>
          </cell>
          <cell r="U303" t="str">
            <v>SHM55B.15.Pregal</v>
          </cell>
          <cell r="V303">
            <v>2</v>
          </cell>
          <cell r="AA303" t="str">
            <v>含FPL55B,垫板和螺栓</v>
          </cell>
          <cell r="AB303" t="str">
            <v>with L55B foot plate, shim plate and bolts,</v>
          </cell>
        </row>
        <row r="304">
          <cell r="A304" t="str">
            <v>FP.L55C</v>
          </cell>
          <cell r="B304" t="str">
            <v>L55C中型底板</v>
          </cell>
          <cell r="C304">
            <v>0.18</v>
          </cell>
          <cell r="D304">
            <v>2.0150000000000001E-2</v>
          </cell>
          <cell r="F304">
            <v>2.5</v>
          </cell>
          <cell r="H304">
            <v>65</v>
          </cell>
          <cell r="I304">
            <v>85</v>
          </cell>
          <cell r="J304">
            <v>20</v>
          </cell>
          <cell r="L304">
            <v>0.95</v>
          </cell>
          <cell r="M304">
            <v>2.2999999999999998</v>
          </cell>
          <cell r="O304">
            <v>2.2000000000000002</v>
          </cell>
          <cell r="Q304" t="str">
            <v>M8.L35 Socket</v>
          </cell>
          <cell r="R304">
            <v>1</v>
          </cell>
          <cell r="S304" t="str">
            <v>Anc.M8.L60</v>
          </cell>
          <cell r="T304">
            <v>2</v>
          </cell>
          <cell r="U304" t="str">
            <v>SHML55C.15.Pregal</v>
          </cell>
          <cell r="V304">
            <v>2</v>
          </cell>
          <cell r="AA304" t="str">
            <v>含FPL55C,垫板和螺栓</v>
          </cell>
          <cell r="AB304" t="str">
            <v>with L55C foot plate, shim plate and bolts,</v>
          </cell>
        </row>
        <row r="305">
          <cell r="A305" t="str">
            <v>FP.L60</v>
          </cell>
          <cell r="C305">
            <v>0.221193375</v>
          </cell>
          <cell r="D305">
            <v>4.4999999999999998E-2</v>
          </cell>
          <cell r="F305">
            <v>3</v>
          </cell>
          <cell r="H305">
            <v>65</v>
          </cell>
          <cell r="I305">
            <v>85</v>
          </cell>
          <cell r="J305">
            <v>16.275351827332099</v>
          </cell>
          <cell r="L305">
            <v>0.95</v>
          </cell>
          <cell r="M305">
            <v>2.2999999999999998</v>
          </cell>
          <cell r="O305">
            <v>2.2000000000000002</v>
          </cell>
          <cell r="Q305" t="str">
            <v>M6.L45</v>
          </cell>
          <cell r="R305">
            <v>1</v>
          </cell>
          <cell r="S305" t="str">
            <v>Anc.M8.L80</v>
          </cell>
          <cell r="T305">
            <v>2</v>
          </cell>
          <cell r="U305" t="str">
            <v>SHM60.15.Pregal</v>
          </cell>
          <cell r="V305">
            <v>2</v>
          </cell>
          <cell r="AA305" t="str">
            <v>含FPL60,垫板和螺栓</v>
          </cell>
          <cell r="AB305" t="str">
            <v>with L60 foot plate, shim plate and bolts,</v>
          </cell>
        </row>
        <row r="312">
          <cell r="A312" t="str">
            <v>垫板</v>
          </cell>
          <cell r="B312" t="str">
            <v>镀锌板，t1.0/8 t1.5/7.8</v>
          </cell>
        </row>
        <row r="313">
          <cell r="A313" t="str">
            <v>SHM90M.10.Pregal</v>
          </cell>
          <cell r="B313" t="str">
            <v>90M垫板1.0mm</v>
          </cell>
          <cell r="C313">
            <v>0.1099</v>
          </cell>
          <cell r="D313">
            <v>2.8000000000000001E-2</v>
          </cell>
          <cell r="E313">
            <v>0.87919999999999998</v>
          </cell>
          <cell r="F313">
            <v>1</v>
          </cell>
          <cell r="H313">
            <v>100</v>
          </cell>
          <cell r="I313">
            <v>140</v>
          </cell>
          <cell r="O313">
            <v>2.2000000000000002</v>
          </cell>
        </row>
        <row r="314">
          <cell r="A314" t="str">
            <v>SHM90/100.10.Pregal</v>
          </cell>
          <cell r="B314" t="str">
            <v>90/100垫板1.0mm</v>
          </cell>
          <cell r="C314">
            <v>0.13266500000000001</v>
          </cell>
          <cell r="D314">
            <v>3.3799999999999997E-2</v>
          </cell>
          <cell r="E314">
            <v>1.06132</v>
          </cell>
          <cell r="F314">
            <v>1</v>
          </cell>
          <cell r="H314">
            <v>130</v>
          </cell>
          <cell r="I314">
            <v>130</v>
          </cell>
          <cell r="O314">
            <v>2.2000000000000002</v>
          </cell>
        </row>
        <row r="315">
          <cell r="A315" t="str">
            <v>SHM90/100.10.Pregal</v>
          </cell>
          <cell r="B315" t="str">
            <v>90/100垫板1.0mm</v>
          </cell>
          <cell r="C315">
            <v>0.13266500000000001</v>
          </cell>
          <cell r="D315">
            <v>3.3799999999999997E-2</v>
          </cell>
          <cell r="E315">
            <v>1.06132</v>
          </cell>
          <cell r="F315">
            <v>1</v>
          </cell>
          <cell r="H315">
            <v>130</v>
          </cell>
          <cell r="I315">
            <v>130</v>
          </cell>
          <cell r="O315">
            <v>2.2000000000000002</v>
          </cell>
        </row>
        <row r="316">
          <cell r="A316" t="str">
            <v>SHM120.10.Pregal</v>
          </cell>
          <cell r="B316" t="str">
            <v>120M垫板1.0mm</v>
          </cell>
          <cell r="C316">
            <v>0.15896250000000001</v>
          </cell>
          <cell r="D316">
            <v>4.0500000000000001E-2</v>
          </cell>
          <cell r="E316">
            <v>1.2717000000000001</v>
          </cell>
          <cell r="F316">
            <v>1</v>
          </cell>
          <cell r="H316">
            <v>150</v>
          </cell>
          <cell r="I316">
            <v>135</v>
          </cell>
          <cell r="O316">
            <v>2.2000000000000002</v>
          </cell>
        </row>
        <row r="317">
          <cell r="A317" t="str">
            <v>SHM120.95.10.Pregal</v>
          </cell>
          <cell r="B317" t="str">
            <v>12095垫板1.0mm</v>
          </cell>
          <cell r="C317">
            <v>0.18251249999999999</v>
          </cell>
          <cell r="D317">
            <v>4.65E-2</v>
          </cell>
          <cell r="E317">
            <v>1.4601</v>
          </cell>
          <cell r="F317">
            <v>1</v>
          </cell>
          <cell r="H317">
            <v>150</v>
          </cell>
          <cell r="I317">
            <v>155</v>
          </cell>
          <cell r="O317">
            <v>2.2000000000000002</v>
          </cell>
        </row>
        <row r="318">
          <cell r="A318" t="str">
            <v>FP140.135.1.5.Pregal</v>
          </cell>
          <cell r="B318" t="str">
            <v>140135H4底板6.5mm</v>
          </cell>
          <cell r="C318">
            <v>0.40034999999999998</v>
          </cell>
          <cell r="D318">
            <v>6.8000000000000005E-2</v>
          </cell>
          <cell r="E318">
            <v>3.6031499999999999</v>
          </cell>
          <cell r="F318">
            <v>1.5</v>
          </cell>
          <cell r="H318">
            <v>170</v>
          </cell>
          <cell r="I318">
            <v>200</v>
          </cell>
          <cell r="O318">
            <v>2.2000000000000002</v>
          </cell>
        </row>
        <row r="319">
          <cell r="A319" t="str">
            <v>SHM90M.15.Pregal</v>
          </cell>
          <cell r="B319" t="str">
            <v>90M垫板1.5mm</v>
          </cell>
          <cell r="C319">
            <v>0.16485</v>
          </cell>
          <cell r="D319">
            <v>2.8000000000000001E-2</v>
          </cell>
          <cell r="E319">
            <v>1.4836499999999999</v>
          </cell>
          <cell r="F319">
            <v>1.5</v>
          </cell>
          <cell r="H319">
            <v>100</v>
          </cell>
          <cell r="I319">
            <v>140</v>
          </cell>
          <cell r="O319">
            <v>2.2000000000000002</v>
          </cell>
        </row>
        <row r="320">
          <cell r="A320" t="str">
            <v>NZ 90/100.15.Pregal</v>
          </cell>
          <cell r="B320" t="str">
            <v>新西兰90/100垫板1.5mm</v>
          </cell>
          <cell r="C320">
            <v>0.30614999999999998</v>
          </cell>
          <cell r="D320">
            <v>5.1999999999999998E-2</v>
          </cell>
          <cell r="E320">
            <v>2.75535</v>
          </cell>
          <cell r="F320">
            <v>1.5</v>
          </cell>
          <cell r="H320">
            <v>130</v>
          </cell>
          <cell r="I320">
            <v>200</v>
          </cell>
          <cell r="O320">
            <v>2.2000000000000002</v>
          </cell>
        </row>
        <row r="321">
          <cell r="A321" t="str">
            <v>SHM90/100.15.Pregal</v>
          </cell>
          <cell r="B321" t="str">
            <v>90/100垫板1.5mm</v>
          </cell>
          <cell r="C321">
            <v>0.19899749999999999</v>
          </cell>
          <cell r="D321">
            <v>3.3799999999999997E-2</v>
          </cell>
          <cell r="E321">
            <v>1.7909774999999999</v>
          </cell>
          <cell r="F321">
            <v>1.5</v>
          </cell>
          <cell r="H321">
            <v>130</v>
          </cell>
          <cell r="I321">
            <v>130</v>
          </cell>
          <cell r="O321">
            <v>2.2000000000000002</v>
          </cell>
        </row>
        <row r="322">
          <cell r="A322" t="str">
            <v>SHM120.15.Pregal</v>
          </cell>
          <cell r="B322" t="str">
            <v>120M垫板1.5mm</v>
          </cell>
          <cell r="C322">
            <v>0.23844375000000001</v>
          </cell>
          <cell r="D322">
            <v>4.0500000000000001E-2</v>
          </cell>
          <cell r="E322">
            <v>1.85986125</v>
          </cell>
          <cell r="F322">
            <v>1.5</v>
          </cell>
          <cell r="H322">
            <v>150</v>
          </cell>
          <cell r="I322">
            <v>135</v>
          </cell>
          <cell r="O322">
            <v>2.2000000000000002</v>
          </cell>
        </row>
        <row r="323">
          <cell r="A323" t="str">
            <v>SHM120.95.15.Pregal</v>
          </cell>
          <cell r="B323" t="str">
            <v>12095垫板1.5mm</v>
          </cell>
          <cell r="C323">
            <v>0.29202</v>
          </cell>
          <cell r="D323">
            <v>4.9599999999999998E-2</v>
          </cell>
          <cell r="E323">
            <v>2.62818</v>
          </cell>
          <cell r="F323">
            <v>1.5</v>
          </cell>
          <cell r="H323">
            <v>155</v>
          </cell>
          <cell r="I323">
            <v>160</v>
          </cell>
          <cell r="O323">
            <v>2.2000000000000002</v>
          </cell>
        </row>
        <row r="324">
          <cell r="A324" t="str">
            <v>SHM55A.15.Pregal</v>
          </cell>
          <cell r="B324" t="str">
            <v>L55A垫板1.5mm</v>
          </cell>
          <cell r="C324">
            <v>6.5056875E-2</v>
          </cell>
          <cell r="D324">
            <v>1.1050000000000001E-2</v>
          </cell>
          <cell r="E324">
            <v>0.71562562500000004</v>
          </cell>
          <cell r="F324">
            <v>1.5</v>
          </cell>
          <cell r="H324">
            <v>85</v>
          </cell>
          <cell r="I324">
            <v>65</v>
          </cell>
          <cell r="O324">
            <v>2.2000000000000002</v>
          </cell>
        </row>
        <row r="325">
          <cell r="A325" t="str">
            <v>SHM55B.15.Pregal</v>
          </cell>
          <cell r="B325" t="str">
            <v>L55B垫板1.5mm</v>
          </cell>
          <cell r="C325">
            <v>6.5056875E-2</v>
          </cell>
          <cell r="D325">
            <v>1.2999999999999999E-2</v>
          </cell>
          <cell r="E325">
            <v>0.71562562500000004</v>
          </cell>
          <cell r="F325">
            <v>1.5</v>
          </cell>
          <cell r="H325">
            <v>100</v>
          </cell>
          <cell r="I325">
            <v>65</v>
          </cell>
          <cell r="O325">
            <v>2.2000000000000002</v>
          </cell>
        </row>
        <row r="326">
          <cell r="A326" t="str">
            <v>SHML55C.15.Pregal</v>
          </cell>
          <cell r="B326" t="str">
            <v>L55C垫板1.5mm</v>
          </cell>
          <cell r="C326">
            <v>6.5056875E-2</v>
          </cell>
          <cell r="D326">
            <v>1.1050000000000001E-2</v>
          </cell>
          <cell r="E326">
            <v>0.71562562500000004</v>
          </cell>
          <cell r="F326">
            <v>1.5</v>
          </cell>
          <cell r="H326">
            <v>85</v>
          </cell>
          <cell r="I326">
            <v>65</v>
          </cell>
          <cell r="O326">
            <v>2.2000000000000002</v>
          </cell>
        </row>
        <row r="332">
          <cell r="A332" t="str">
            <v>网层板</v>
          </cell>
        </row>
        <row r="333">
          <cell r="A333" t="str">
            <v>折弯式网层板4</v>
          </cell>
          <cell r="J333">
            <v>5.8</v>
          </cell>
          <cell r="L333">
            <v>9</v>
          </cell>
          <cell r="M333">
            <v>10</v>
          </cell>
          <cell r="O333">
            <v>6.3</v>
          </cell>
          <cell r="X333" t="str">
            <v>网层板-镀锌 4mm</v>
          </cell>
        </row>
        <row r="334">
          <cell r="A334" t="str">
            <v>折弯式网层板4.5</v>
          </cell>
          <cell r="J334">
            <v>5.8</v>
          </cell>
          <cell r="L334">
            <v>9</v>
          </cell>
          <cell r="M334">
            <v>10</v>
          </cell>
          <cell r="O334">
            <v>6.26</v>
          </cell>
          <cell r="X334" t="str">
            <v>网层板-镀锌 4.5mm</v>
          </cell>
        </row>
        <row r="335">
          <cell r="A335" t="str">
            <v>折弯式网层板4.8</v>
          </cell>
          <cell r="J335">
            <v>5.8</v>
          </cell>
          <cell r="L335">
            <v>9</v>
          </cell>
          <cell r="M335">
            <v>10</v>
          </cell>
          <cell r="O335">
            <v>5.66</v>
          </cell>
          <cell r="X335" t="str">
            <v>网层板-镀锌 4.8mm</v>
          </cell>
        </row>
        <row r="336">
          <cell r="A336" t="str">
            <v>折弯式网层板5</v>
          </cell>
          <cell r="J336">
            <v>5.8</v>
          </cell>
          <cell r="L336">
            <v>9</v>
          </cell>
          <cell r="M336">
            <v>10</v>
          </cell>
          <cell r="O336">
            <v>5.66</v>
          </cell>
          <cell r="X336" t="str">
            <v>网层板-镀锌 4.8mm</v>
          </cell>
        </row>
        <row r="337">
          <cell r="A337" t="str">
            <v>非折弯式网层板4</v>
          </cell>
          <cell r="J337">
            <v>5.8</v>
          </cell>
          <cell r="L337">
            <v>9</v>
          </cell>
          <cell r="M337">
            <v>10</v>
          </cell>
          <cell r="O337">
            <v>6.3</v>
          </cell>
          <cell r="X337" t="str">
            <v>网层板-镀锌 4mm</v>
          </cell>
        </row>
        <row r="338">
          <cell r="A338" t="str">
            <v>非折弯式网层板4.5</v>
          </cell>
          <cell r="J338">
            <v>5.8</v>
          </cell>
          <cell r="L338">
            <v>9</v>
          </cell>
          <cell r="M338">
            <v>10</v>
          </cell>
          <cell r="O338">
            <v>6.26</v>
          </cell>
          <cell r="X338" t="str">
            <v>网层板-镀锌 4.5mm</v>
          </cell>
        </row>
        <row r="339">
          <cell r="A339" t="str">
            <v>非折弯式网层板5</v>
          </cell>
          <cell r="J339">
            <v>5.8</v>
          </cell>
          <cell r="L339">
            <v>9</v>
          </cell>
          <cell r="M339">
            <v>10</v>
          </cell>
          <cell r="O339">
            <v>5.66</v>
          </cell>
          <cell r="X339" t="str">
            <v>网层板-镀锌 4.8mm</v>
          </cell>
        </row>
        <row r="340">
          <cell r="A340" t="str">
            <v>非折弯式网层板4.8</v>
          </cell>
          <cell r="J340">
            <v>5.8</v>
          </cell>
          <cell r="L340">
            <v>9</v>
          </cell>
          <cell r="M340">
            <v>10</v>
          </cell>
          <cell r="O340">
            <v>5.66</v>
          </cell>
          <cell r="X340" t="str">
            <v>网层板-镀锌 4.8mm</v>
          </cell>
        </row>
        <row r="341">
          <cell r="A341" t="str">
            <v>定制折弯式网层板4</v>
          </cell>
          <cell r="J341">
            <v>5.8</v>
          </cell>
          <cell r="L341">
            <v>9</v>
          </cell>
          <cell r="M341">
            <v>10</v>
          </cell>
          <cell r="O341">
            <v>6.3</v>
          </cell>
          <cell r="X341" t="str">
            <v>网层板-镀锌 4mm</v>
          </cell>
        </row>
        <row r="342">
          <cell r="A342" t="str">
            <v>定制折弯式网层板4.5</v>
          </cell>
          <cell r="J342">
            <v>5.8</v>
          </cell>
          <cell r="L342">
            <v>9</v>
          </cell>
          <cell r="M342">
            <v>10</v>
          </cell>
          <cell r="O342">
            <v>6.26</v>
          </cell>
          <cell r="X342" t="str">
            <v>网层板-镀锌 4.5mm</v>
          </cell>
        </row>
        <row r="343">
          <cell r="A343" t="str">
            <v>定制折弯式网层板4.8</v>
          </cell>
          <cell r="J343">
            <v>5.8</v>
          </cell>
          <cell r="L343">
            <v>9</v>
          </cell>
          <cell r="M343">
            <v>10</v>
          </cell>
          <cell r="O343">
            <v>5.66</v>
          </cell>
          <cell r="X343" t="str">
            <v>网层板-镀锌 4.8mm</v>
          </cell>
        </row>
        <row r="344">
          <cell r="A344" t="str">
            <v>定制折弯式网层板5</v>
          </cell>
          <cell r="J344">
            <v>5.8</v>
          </cell>
          <cell r="L344">
            <v>9</v>
          </cell>
          <cell r="M344">
            <v>10</v>
          </cell>
          <cell r="O344">
            <v>5.66</v>
          </cell>
          <cell r="X344" t="str">
            <v>网层板-镀锌 4.8mm</v>
          </cell>
        </row>
        <row r="345">
          <cell r="A345" t="str">
            <v>定制非折弯式网层板4</v>
          </cell>
          <cell r="J345">
            <v>5.8</v>
          </cell>
          <cell r="L345">
            <v>9</v>
          </cell>
          <cell r="M345">
            <v>10</v>
          </cell>
          <cell r="O345">
            <v>6.3</v>
          </cell>
          <cell r="X345" t="str">
            <v>网层板-镀锌 4mm</v>
          </cell>
        </row>
        <row r="346">
          <cell r="A346" t="str">
            <v>定制非折弯式网层板4.5</v>
          </cell>
          <cell r="J346">
            <v>5.8</v>
          </cell>
          <cell r="L346">
            <v>9</v>
          </cell>
          <cell r="M346">
            <v>10</v>
          </cell>
          <cell r="O346">
            <v>6.26</v>
          </cell>
          <cell r="X346" t="str">
            <v>网层板-镀锌 4.5mm</v>
          </cell>
        </row>
        <row r="347">
          <cell r="A347" t="str">
            <v>定制非折弯式网层板4.8</v>
          </cell>
          <cell r="J347">
            <v>5.8</v>
          </cell>
          <cell r="L347">
            <v>9</v>
          </cell>
          <cell r="M347">
            <v>10</v>
          </cell>
          <cell r="O347">
            <v>5.66</v>
          </cell>
          <cell r="X347" t="str">
            <v>网层板-镀锌 4.8mm</v>
          </cell>
        </row>
        <row r="348">
          <cell r="A348" t="str">
            <v>定制非折弯式网层板5</v>
          </cell>
          <cell r="J348">
            <v>5.8</v>
          </cell>
          <cell r="L348">
            <v>9</v>
          </cell>
          <cell r="M348">
            <v>10</v>
          </cell>
          <cell r="O348">
            <v>5.66</v>
          </cell>
          <cell r="X348" t="str">
            <v>网层板-镀锌 4.8mm</v>
          </cell>
        </row>
        <row r="351">
          <cell r="A351" t="str">
            <v>角钢</v>
          </cell>
        </row>
        <row r="352">
          <cell r="A352" t="str">
            <v>L6340.6t</v>
          </cell>
          <cell r="C352">
            <v>4.8600000000000003</v>
          </cell>
          <cell r="D352">
            <v>0.21</v>
          </cell>
          <cell r="F352">
            <v>6</v>
          </cell>
          <cell r="G352">
            <v>103</v>
          </cell>
          <cell r="H352">
            <v>63</v>
          </cell>
          <cell r="I352">
            <v>40</v>
          </cell>
          <cell r="J352">
            <v>3.83</v>
          </cell>
          <cell r="K352">
            <v>2</v>
          </cell>
          <cell r="L352">
            <v>9.1999999999999993</v>
          </cell>
          <cell r="O352">
            <v>2</v>
          </cell>
          <cell r="W352" t="str">
            <v>角钢 L6340.6.0t</v>
          </cell>
        </row>
        <row r="353">
          <cell r="A353" t="str">
            <v>L10063.6t</v>
          </cell>
          <cell r="B353" t="str">
            <v>100x63x6.0</v>
          </cell>
          <cell r="C353">
            <v>7.6772999999999998</v>
          </cell>
          <cell r="D353">
            <v>0.33800000000000002</v>
          </cell>
          <cell r="F353">
            <v>6</v>
          </cell>
          <cell r="G353">
            <v>163</v>
          </cell>
          <cell r="H353">
            <v>100</v>
          </cell>
          <cell r="I353">
            <v>63</v>
          </cell>
          <cell r="J353">
            <v>3.83</v>
          </cell>
          <cell r="W353" t="str">
            <v>角钢 L6340.6.0t</v>
          </cell>
        </row>
        <row r="354">
          <cell r="A354" t="str">
            <v>L10063.8t</v>
          </cell>
          <cell r="B354" t="str">
            <v>100x63x8.0</v>
          </cell>
          <cell r="C354">
            <v>10.2364</v>
          </cell>
          <cell r="D354">
            <v>0.34200000000000003</v>
          </cell>
          <cell r="F354">
            <v>8</v>
          </cell>
          <cell r="G354">
            <v>163</v>
          </cell>
          <cell r="H354">
            <v>100</v>
          </cell>
          <cell r="I354">
            <v>63</v>
          </cell>
          <cell r="J354">
            <v>3.83</v>
          </cell>
          <cell r="W354" t="str">
            <v>角钢 L10063.8t</v>
          </cell>
        </row>
        <row r="355">
          <cell r="A355" t="str">
            <v>L12580.8t</v>
          </cell>
          <cell r="C355">
            <v>12.874000000000001</v>
          </cell>
          <cell r="D355">
            <v>0.42599999999999999</v>
          </cell>
          <cell r="F355">
            <v>8</v>
          </cell>
          <cell r="G355">
            <v>205</v>
          </cell>
          <cell r="H355">
            <v>125</v>
          </cell>
          <cell r="I355">
            <v>80</v>
          </cell>
          <cell r="J355">
            <v>3.83</v>
          </cell>
          <cell r="K355">
            <v>2.6</v>
          </cell>
          <cell r="L355">
            <v>9.1999999999999993</v>
          </cell>
          <cell r="P355">
            <v>0.3</v>
          </cell>
          <cell r="W355" t="str">
            <v>角钢 L10063.8t</v>
          </cell>
        </row>
        <row r="356">
          <cell r="A356" t="str">
            <v>L75×50×5.0</v>
          </cell>
          <cell r="C356">
            <v>4.90625</v>
          </cell>
          <cell r="F356">
            <v>5</v>
          </cell>
          <cell r="G356">
            <v>125</v>
          </cell>
          <cell r="H356">
            <v>75</v>
          </cell>
          <cell r="I356">
            <v>50</v>
          </cell>
          <cell r="J356">
            <v>3.83</v>
          </cell>
          <cell r="K356">
            <v>2.6</v>
          </cell>
          <cell r="L356">
            <v>9.1999999999999993</v>
          </cell>
          <cell r="P356">
            <v>0.3</v>
          </cell>
          <cell r="W356" t="str">
            <v>角钢 L6340.6.0t</v>
          </cell>
        </row>
        <row r="357">
          <cell r="A357" t="str">
            <v>U15×50×160×50×15×3.0</v>
          </cell>
          <cell r="J357">
            <v>5.5</v>
          </cell>
          <cell r="L357">
            <v>9.1999999999999993</v>
          </cell>
          <cell r="P357">
            <v>0.3</v>
          </cell>
        </row>
        <row r="364">
          <cell r="A364" t="str">
            <v>楼板</v>
          </cell>
        </row>
        <row r="365">
          <cell r="A365" t="str">
            <v>预镀锌扣板楼板</v>
          </cell>
          <cell r="J365">
            <v>4.45</v>
          </cell>
          <cell r="W365" t="str">
            <v>预镀锌扣板楼板</v>
          </cell>
        </row>
        <row r="366">
          <cell r="A366" t="str">
            <v>扣板楼板-黑件</v>
          </cell>
          <cell r="J366">
            <v>4.05</v>
          </cell>
          <cell r="W366" t="str">
            <v>扣板楼板-黑件</v>
          </cell>
        </row>
        <row r="371">
          <cell r="A371" t="str">
            <v>悬臂立柱</v>
          </cell>
        </row>
        <row r="372">
          <cell r="A372" t="str">
            <v>C200×60×2.0t</v>
          </cell>
          <cell r="B372" t="str">
            <v>每米</v>
          </cell>
          <cell r="C372">
            <v>8.4779999999999998</v>
          </cell>
          <cell r="D372">
            <v>0.54</v>
          </cell>
          <cell r="E372">
            <v>4</v>
          </cell>
          <cell r="F372">
            <v>2</v>
          </cell>
          <cell r="G372">
            <v>270</v>
          </cell>
          <cell r="J372">
            <v>3.63</v>
          </cell>
          <cell r="K372">
            <v>20</v>
          </cell>
          <cell r="L372">
            <v>0.95</v>
          </cell>
          <cell r="M372">
            <v>2.2999999999999998</v>
          </cell>
          <cell r="O372">
            <v>2.2000000000000002</v>
          </cell>
          <cell r="P372">
            <v>5</v>
          </cell>
          <cell r="W372" t="str">
            <v>热卷 2.0t</v>
          </cell>
          <cell r="X372" t="str">
            <v>镀锌卷 2.0t</v>
          </cell>
        </row>
        <row r="373">
          <cell r="A373" t="str">
            <v>C200×60×2.5t</v>
          </cell>
          <cell r="B373" t="str">
            <v>每米</v>
          </cell>
          <cell r="C373">
            <v>10.5975</v>
          </cell>
          <cell r="D373">
            <v>0.54</v>
          </cell>
          <cell r="E373">
            <v>4</v>
          </cell>
          <cell r="F373">
            <v>2.5</v>
          </cell>
          <cell r="G373">
            <v>270</v>
          </cell>
          <cell r="J373">
            <v>3.57</v>
          </cell>
          <cell r="K373">
            <v>20</v>
          </cell>
          <cell r="L373">
            <v>0.95</v>
          </cell>
          <cell r="M373">
            <v>2.2999999999999998</v>
          </cell>
          <cell r="O373">
            <v>2.2000000000000002</v>
          </cell>
          <cell r="P373">
            <v>5</v>
          </cell>
          <cell r="W373" t="str">
            <v>热卷 2.5t</v>
          </cell>
          <cell r="X373" t="str">
            <v>镀锌卷 2.5t</v>
          </cell>
        </row>
        <row r="374">
          <cell r="A374" t="str">
            <v>C200×60×3.0t</v>
          </cell>
          <cell r="B374" t="str">
            <v>每米</v>
          </cell>
          <cell r="C374">
            <v>12.717000000000001</v>
          </cell>
          <cell r="D374">
            <v>0.54</v>
          </cell>
          <cell r="E374">
            <v>4</v>
          </cell>
          <cell r="F374">
            <v>3</v>
          </cell>
          <cell r="G374">
            <v>270</v>
          </cell>
          <cell r="J374">
            <v>3.5</v>
          </cell>
          <cell r="K374">
            <v>20</v>
          </cell>
          <cell r="L374">
            <v>0.95</v>
          </cell>
          <cell r="M374">
            <v>2.2999999999999998</v>
          </cell>
          <cell r="O374">
            <v>2.2000000000000002</v>
          </cell>
          <cell r="P374">
            <v>5</v>
          </cell>
          <cell r="W374" t="str">
            <v>热卷 3.0t</v>
          </cell>
          <cell r="X374" t="str">
            <v>镀锌卷 3.0t</v>
          </cell>
        </row>
        <row r="375">
          <cell r="A375" t="str">
            <v>C215×90×3.0t</v>
          </cell>
          <cell r="B375" t="str">
            <v>每米</v>
          </cell>
          <cell r="C375">
            <v>14.836499999999999</v>
          </cell>
          <cell r="D375">
            <v>0.63</v>
          </cell>
          <cell r="E375">
            <v>4</v>
          </cell>
          <cell r="F375">
            <v>3</v>
          </cell>
          <cell r="G375">
            <v>315</v>
          </cell>
          <cell r="J375">
            <v>3.5</v>
          </cell>
          <cell r="K375">
            <v>20</v>
          </cell>
          <cell r="L375">
            <v>0.95</v>
          </cell>
          <cell r="M375">
            <v>2.2999999999999998</v>
          </cell>
          <cell r="O375">
            <v>2.2000000000000002</v>
          </cell>
          <cell r="P375">
            <v>5</v>
          </cell>
          <cell r="W375" t="str">
            <v>热卷 3.0t</v>
          </cell>
          <cell r="X375" t="str">
            <v>镀锌卷 3.0t</v>
          </cell>
        </row>
        <row r="376">
          <cell r="A376" t="str">
            <v>C300×90×3.0t</v>
          </cell>
          <cell r="B376" t="str">
            <v>每米</v>
          </cell>
          <cell r="C376">
            <v>18.84</v>
          </cell>
          <cell r="D376">
            <v>0.8</v>
          </cell>
          <cell r="E376">
            <v>4</v>
          </cell>
          <cell r="F376">
            <v>3</v>
          </cell>
          <cell r="G376">
            <v>400</v>
          </cell>
          <cell r="J376">
            <v>3.5</v>
          </cell>
          <cell r="K376">
            <v>25</v>
          </cell>
          <cell r="L376">
            <v>0.95</v>
          </cell>
          <cell r="M376">
            <v>2.2999999999999998</v>
          </cell>
          <cell r="O376">
            <v>2.2000000000000002</v>
          </cell>
          <cell r="P376">
            <v>5</v>
          </cell>
          <cell r="W376" t="str">
            <v>热卷 3.0t</v>
          </cell>
          <cell r="X376" t="str">
            <v>镀锌卷 3.0t</v>
          </cell>
        </row>
        <row r="377">
          <cell r="A377" t="str">
            <v>C350×90×4.0t</v>
          </cell>
          <cell r="B377" t="str">
            <v>每米</v>
          </cell>
          <cell r="C377">
            <v>28.26</v>
          </cell>
          <cell r="D377">
            <v>0.9</v>
          </cell>
          <cell r="E377">
            <v>4.79</v>
          </cell>
          <cell r="F377">
            <v>4</v>
          </cell>
          <cell r="G377">
            <v>450</v>
          </cell>
          <cell r="J377">
            <v>3.5</v>
          </cell>
          <cell r="K377">
            <v>31</v>
          </cell>
          <cell r="L377">
            <v>0.95</v>
          </cell>
          <cell r="M377">
            <v>2.2999999999999998</v>
          </cell>
          <cell r="O377">
            <v>2.2000000000000002</v>
          </cell>
          <cell r="P377">
            <v>5</v>
          </cell>
          <cell r="W377" t="str">
            <v>热卷 4.0t</v>
          </cell>
          <cell r="X377" t="str">
            <v>镀锌卷 4.0t</v>
          </cell>
        </row>
        <row r="378">
          <cell r="A378" t="str">
            <v>C400×90×4.0t</v>
          </cell>
          <cell r="B378" t="str">
            <v>每米</v>
          </cell>
          <cell r="C378">
            <v>31.085999999999999</v>
          </cell>
          <cell r="D378">
            <v>0.99</v>
          </cell>
          <cell r="E378">
            <v>4.79</v>
          </cell>
          <cell r="F378">
            <v>4</v>
          </cell>
          <cell r="G378">
            <v>495</v>
          </cell>
          <cell r="J378">
            <v>3.5</v>
          </cell>
          <cell r="K378">
            <v>35</v>
          </cell>
          <cell r="L378">
            <v>0.95</v>
          </cell>
          <cell r="M378">
            <v>2.2999999999999998</v>
          </cell>
          <cell r="O378">
            <v>2.2000000000000002</v>
          </cell>
          <cell r="P378">
            <v>5</v>
          </cell>
          <cell r="W378" t="str">
            <v>热卷 4.0t</v>
          </cell>
          <cell r="X378" t="str">
            <v>镀锌卷 4.0t</v>
          </cell>
        </row>
        <row r="379">
          <cell r="A379" t="str">
            <v>C305×96×3.0t</v>
          </cell>
          <cell r="B379" t="str">
            <v>每米</v>
          </cell>
          <cell r="C379">
            <v>19.169699999999999</v>
          </cell>
          <cell r="D379">
            <v>0.81399999999999995</v>
          </cell>
          <cell r="E379">
            <v>4</v>
          </cell>
          <cell r="F379">
            <v>3</v>
          </cell>
          <cell r="G379">
            <v>407</v>
          </cell>
          <cell r="J379">
            <v>3.5</v>
          </cell>
          <cell r="K379">
            <v>25</v>
          </cell>
          <cell r="L379">
            <v>0.95</v>
          </cell>
          <cell r="M379">
            <v>2.2999999999999998</v>
          </cell>
          <cell r="O379">
            <v>2.2000000000000002</v>
          </cell>
          <cell r="P379">
            <v>5</v>
          </cell>
          <cell r="W379" t="str">
            <v>热卷 3.0t</v>
          </cell>
          <cell r="X379" t="str">
            <v>镀锌卷 3.0t</v>
          </cell>
        </row>
        <row r="380">
          <cell r="A380" t="str">
            <v>C350×96×4.0t</v>
          </cell>
          <cell r="B380" t="str">
            <v>每米</v>
          </cell>
          <cell r="C380">
            <v>28.3856</v>
          </cell>
          <cell r="D380">
            <v>0.90400000000000003</v>
          </cell>
          <cell r="E380">
            <v>4.79</v>
          </cell>
          <cell r="F380">
            <v>4</v>
          </cell>
          <cell r="G380">
            <v>452</v>
          </cell>
          <cell r="J380">
            <v>3.5</v>
          </cell>
          <cell r="K380">
            <v>31</v>
          </cell>
          <cell r="L380">
            <v>0.95</v>
          </cell>
          <cell r="M380">
            <v>2.2999999999999998</v>
          </cell>
          <cell r="O380">
            <v>2.2000000000000002</v>
          </cell>
          <cell r="P380">
            <v>5</v>
          </cell>
          <cell r="W380" t="str">
            <v>热卷 4.0t</v>
          </cell>
          <cell r="X380" t="str">
            <v>镀锌卷 4.0t</v>
          </cell>
        </row>
        <row r="381">
          <cell r="A381" t="str">
            <v>CHN350×175×7×11</v>
          </cell>
          <cell r="B381" t="str">
            <v>每米</v>
          </cell>
          <cell r="C381">
            <v>50</v>
          </cell>
          <cell r="J381">
            <v>3.7</v>
          </cell>
          <cell r="L381">
            <v>0.95</v>
          </cell>
          <cell r="M381">
            <v>2.2999999999999998</v>
          </cell>
          <cell r="O381">
            <v>2.2000000000000002</v>
          </cell>
        </row>
        <row r="382">
          <cell r="A382" t="str">
            <v>CHN446×199×8×12</v>
          </cell>
          <cell r="B382" t="str">
            <v>每米</v>
          </cell>
          <cell r="C382">
            <v>65.099999999999994</v>
          </cell>
          <cell r="J382">
            <v>3.7</v>
          </cell>
          <cell r="L382">
            <v>0.95</v>
          </cell>
          <cell r="M382">
            <v>2.2999999999999998</v>
          </cell>
          <cell r="O382">
            <v>2.2000000000000002</v>
          </cell>
        </row>
        <row r="386">
          <cell r="A386" t="str">
            <v xml:space="preserve">立柱焊接钢板 </v>
          </cell>
        </row>
        <row r="387">
          <cell r="A387" t="str">
            <v>L419×H300×6t</v>
          </cell>
          <cell r="B387" t="str">
            <v>每件</v>
          </cell>
          <cell r="C387">
            <v>5.9204699999999999</v>
          </cell>
          <cell r="D387">
            <v>0.25140000000000001</v>
          </cell>
          <cell r="E387">
            <v>5.9049762941117896</v>
          </cell>
          <cell r="F387">
            <v>6</v>
          </cell>
          <cell r="J387">
            <v>5.4049762941117896</v>
          </cell>
          <cell r="L387">
            <v>0.95</v>
          </cell>
          <cell r="M387">
            <v>2.2999999999999998</v>
          </cell>
          <cell r="O387">
            <v>2.2000000000000002</v>
          </cell>
        </row>
        <row r="388">
          <cell r="A388" t="str">
            <v>L469×H350×6t</v>
          </cell>
          <cell r="B388" t="str">
            <v>每件</v>
          </cell>
          <cell r="C388">
            <v>7.731465</v>
          </cell>
          <cell r="D388">
            <v>0.32829999999999998</v>
          </cell>
          <cell r="E388">
            <v>5.9049762941117896</v>
          </cell>
          <cell r="F388">
            <v>6</v>
          </cell>
          <cell r="J388">
            <v>5.4049762941117896</v>
          </cell>
          <cell r="L388">
            <v>0.95</v>
          </cell>
          <cell r="M388">
            <v>2.2999999999999998</v>
          </cell>
          <cell r="O388">
            <v>2.2000000000000002</v>
          </cell>
        </row>
        <row r="389">
          <cell r="A389" t="str">
            <v>L519×H400×6t</v>
          </cell>
          <cell r="B389" t="str">
            <v>每件</v>
          </cell>
          <cell r="C389">
            <v>9.7779600000000002</v>
          </cell>
          <cell r="D389">
            <v>0.25519999999999998</v>
          </cell>
          <cell r="E389">
            <v>5.9049762941117896</v>
          </cell>
          <cell r="F389">
            <v>6</v>
          </cell>
          <cell r="J389">
            <v>5.4049762941117896</v>
          </cell>
          <cell r="L389">
            <v>0.95</v>
          </cell>
          <cell r="M389">
            <v>2.2999999999999998</v>
          </cell>
          <cell r="O389">
            <v>2.2000000000000002</v>
          </cell>
        </row>
        <row r="395">
          <cell r="A395" t="str">
            <v>悬臂底座</v>
          </cell>
        </row>
        <row r="396">
          <cell r="A396" t="str">
            <v>B200×60×2.0t</v>
          </cell>
          <cell r="B396" t="str">
            <v>每米</v>
          </cell>
          <cell r="C396">
            <v>8.4779999999999998</v>
          </cell>
          <cell r="D396">
            <v>0.54</v>
          </cell>
          <cell r="E396">
            <v>4</v>
          </cell>
          <cell r="F396">
            <v>2</v>
          </cell>
          <cell r="G396">
            <v>270</v>
          </cell>
          <cell r="J396">
            <v>3.63</v>
          </cell>
          <cell r="K396">
            <v>20</v>
          </cell>
          <cell r="L396">
            <v>0.95</v>
          </cell>
          <cell r="M396">
            <v>2.2999999999999998</v>
          </cell>
          <cell r="O396">
            <v>2.2000000000000002</v>
          </cell>
          <cell r="Q396" t="str">
            <v>M16*100 8.8G</v>
          </cell>
          <cell r="W396" t="str">
            <v>热卷 2.0t</v>
          </cell>
          <cell r="X396" t="str">
            <v>镀锌卷 2.0t</v>
          </cell>
        </row>
        <row r="397">
          <cell r="A397" t="str">
            <v>B200×60×2.5t</v>
          </cell>
          <cell r="B397" t="str">
            <v>每米</v>
          </cell>
          <cell r="C397">
            <v>10.5975</v>
          </cell>
          <cell r="D397">
            <v>0.54</v>
          </cell>
          <cell r="E397">
            <v>4</v>
          </cell>
          <cell r="F397">
            <v>2.5</v>
          </cell>
          <cell r="G397">
            <v>270</v>
          </cell>
          <cell r="J397">
            <v>3.57</v>
          </cell>
          <cell r="K397">
            <v>20</v>
          </cell>
          <cell r="L397">
            <v>0.95</v>
          </cell>
          <cell r="M397">
            <v>2.2999999999999998</v>
          </cell>
          <cell r="O397">
            <v>2.2000000000000002</v>
          </cell>
          <cell r="Q397" t="str">
            <v>M16*100 8.8G</v>
          </cell>
          <cell r="W397" t="str">
            <v>热卷 2.5t</v>
          </cell>
          <cell r="X397" t="str">
            <v>镀锌卷 2.5t</v>
          </cell>
        </row>
        <row r="398">
          <cell r="A398" t="str">
            <v>B200×60×3.0t</v>
          </cell>
          <cell r="B398" t="str">
            <v>每米</v>
          </cell>
          <cell r="C398">
            <v>12.717000000000001</v>
          </cell>
          <cell r="D398">
            <v>0.54</v>
          </cell>
          <cell r="E398">
            <v>4</v>
          </cell>
          <cell r="F398">
            <v>3</v>
          </cell>
          <cell r="G398">
            <v>270</v>
          </cell>
          <cell r="J398">
            <v>3.5</v>
          </cell>
          <cell r="K398">
            <v>20</v>
          </cell>
          <cell r="L398">
            <v>0.95</v>
          </cell>
          <cell r="M398">
            <v>2.2999999999999998</v>
          </cell>
          <cell r="O398">
            <v>2.2000000000000002</v>
          </cell>
          <cell r="Q398" t="str">
            <v>M16*100 8.8G</v>
          </cell>
          <cell r="W398" t="str">
            <v>热卷 3.0t</v>
          </cell>
          <cell r="X398" t="str">
            <v>镀锌卷 3.0t</v>
          </cell>
        </row>
        <row r="399">
          <cell r="A399" t="str">
            <v>B215×90×3.0t</v>
          </cell>
          <cell r="B399" t="str">
            <v>每米</v>
          </cell>
          <cell r="C399">
            <v>14.836499999999999</v>
          </cell>
          <cell r="D399">
            <v>0.63</v>
          </cell>
          <cell r="E399">
            <v>4</v>
          </cell>
          <cell r="F399">
            <v>3</v>
          </cell>
          <cell r="G399">
            <v>315</v>
          </cell>
          <cell r="J399">
            <v>3.5</v>
          </cell>
          <cell r="K399">
            <v>20</v>
          </cell>
          <cell r="L399">
            <v>0.95</v>
          </cell>
          <cell r="M399">
            <v>2.2999999999999998</v>
          </cell>
          <cell r="O399">
            <v>2.2000000000000002</v>
          </cell>
          <cell r="W399" t="str">
            <v>热卷 3.0t</v>
          </cell>
          <cell r="X399" t="str">
            <v>镀锌卷 3.0t</v>
          </cell>
        </row>
        <row r="400">
          <cell r="A400" t="str">
            <v>B300×90×3.0t</v>
          </cell>
          <cell r="B400" t="str">
            <v>每米</v>
          </cell>
          <cell r="C400">
            <v>18.84</v>
          </cell>
          <cell r="D400">
            <v>0.8</v>
          </cell>
          <cell r="E400">
            <v>4</v>
          </cell>
          <cell r="F400">
            <v>3</v>
          </cell>
          <cell r="G400">
            <v>400</v>
          </cell>
          <cell r="J400">
            <v>3.5</v>
          </cell>
          <cell r="K400">
            <v>25</v>
          </cell>
          <cell r="L400">
            <v>0.95</v>
          </cell>
          <cell r="M400">
            <v>2.2999999999999998</v>
          </cell>
          <cell r="O400">
            <v>2.2000000000000002</v>
          </cell>
          <cell r="Q400" t="str">
            <v>M20*40，8.8G</v>
          </cell>
          <cell r="R400">
            <v>12</v>
          </cell>
          <cell r="S400" t="str">
            <v>M16*35，8.8G</v>
          </cell>
          <cell r="T400">
            <v>24</v>
          </cell>
          <cell r="W400" t="str">
            <v>热卷 3.0t</v>
          </cell>
          <cell r="X400" t="str">
            <v>镀锌卷 3.0t</v>
          </cell>
        </row>
        <row r="401">
          <cell r="A401" t="str">
            <v>B350×90×4.0t</v>
          </cell>
          <cell r="B401" t="str">
            <v>每米</v>
          </cell>
          <cell r="C401">
            <v>28.26</v>
          </cell>
          <cell r="D401">
            <v>0.9</v>
          </cell>
          <cell r="E401">
            <v>4.79</v>
          </cell>
          <cell r="F401">
            <v>4</v>
          </cell>
          <cell r="G401">
            <v>450</v>
          </cell>
          <cell r="J401">
            <v>3.5</v>
          </cell>
          <cell r="K401">
            <v>31</v>
          </cell>
          <cell r="L401">
            <v>0.95</v>
          </cell>
          <cell r="M401">
            <v>2.2999999999999998</v>
          </cell>
          <cell r="O401">
            <v>2.2000000000000002</v>
          </cell>
          <cell r="W401" t="str">
            <v>热卷 4.0t</v>
          </cell>
          <cell r="X401" t="str">
            <v>镀锌卷 4.0t</v>
          </cell>
        </row>
        <row r="402">
          <cell r="A402" t="str">
            <v>B400×90×4.0t</v>
          </cell>
          <cell r="B402" t="str">
            <v>每米</v>
          </cell>
          <cell r="C402">
            <v>31.085999999999999</v>
          </cell>
          <cell r="D402">
            <v>0.99</v>
          </cell>
          <cell r="E402">
            <v>4.79</v>
          </cell>
          <cell r="F402">
            <v>4</v>
          </cell>
          <cell r="G402">
            <v>495</v>
          </cell>
          <cell r="J402">
            <v>3.5</v>
          </cell>
          <cell r="K402">
            <v>35</v>
          </cell>
          <cell r="L402">
            <v>0.95</v>
          </cell>
          <cell r="M402">
            <v>2.2999999999999998</v>
          </cell>
          <cell r="O402">
            <v>2.2000000000000002</v>
          </cell>
          <cell r="W402" t="str">
            <v>热卷 4.0t</v>
          </cell>
          <cell r="X402" t="str">
            <v>镀锌卷 4.0t</v>
          </cell>
        </row>
        <row r="403">
          <cell r="A403" t="str">
            <v>B305×96×3.0t</v>
          </cell>
          <cell r="B403" t="str">
            <v>每米</v>
          </cell>
          <cell r="C403">
            <v>19.169699999999999</v>
          </cell>
          <cell r="D403">
            <v>0.81399999999999995</v>
          </cell>
          <cell r="E403">
            <v>4</v>
          </cell>
          <cell r="F403">
            <v>3</v>
          </cell>
          <cell r="G403">
            <v>407</v>
          </cell>
          <cell r="J403">
            <v>3.5</v>
          </cell>
          <cell r="K403">
            <v>25</v>
          </cell>
          <cell r="L403">
            <v>0.95</v>
          </cell>
          <cell r="M403">
            <v>2.2999999999999998</v>
          </cell>
          <cell r="O403">
            <v>2.2000000000000002</v>
          </cell>
          <cell r="W403" t="str">
            <v>热卷 3.0t</v>
          </cell>
          <cell r="X403" t="str">
            <v>镀锌卷 3.0t</v>
          </cell>
        </row>
        <row r="404">
          <cell r="A404" t="str">
            <v>B350×96×4.0t</v>
          </cell>
          <cell r="B404" t="str">
            <v>每米</v>
          </cell>
          <cell r="C404">
            <v>28.3856</v>
          </cell>
          <cell r="D404">
            <v>0.90400000000000003</v>
          </cell>
          <cell r="E404">
            <v>4.79</v>
          </cell>
          <cell r="F404">
            <v>4</v>
          </cell>
          <cell r="G404">
            <v>452</v>
          </cell>
          <cell r="J404">
            <v>3.5</v>
          </cell>
          <cell r="K404">
            <v>31</v>
          </cell>
          <cell r="L404">
            <v>0.95</v>
          </cell>
          <cell r="M404">
            <v>2.2999999999999998</v>
          </cell>
          <cell r="O404">
            <v>2.2000000000000002</v>
          </cell>
          <cell r="W404" t="str">
            <v>热卷 4.0t</v>
          </cell>
          <cell r="X404" t="str">
            <v>镀锌卷 4.0t</v>
          </cell>
        </row>
        <row r="405">
          <cell r="A405" t="str">
            <v>BHN350×175×7×11</v>
          </cell>
          <cell r="B405" t="str">
            <v>每米</v>
          </cell>
          <cell r="C405">
            <v>50</v>
          </cell>
          <cell r="J405">
            <v>3.7</v>
          </cell>
          <cell r="L405">
            <v>0.95</v>
          </cell>
          <cell r="M405">
            <v>2.2999999999999998</v>
          </cell>
          <cell r="O405">
            <v>2.2000000000000002</v>
          </cell>
        </row>
        <row r="406">
          <cell r="A406" t="str">
            <v>BHN446×199×8×12</v>
          </cell>
          <cell r="B406" t="str">
            <v>每米</v>
          </cell>
          <cell r="C406">
            <v>65.099999999999994</v>
          </cell>
          <cell r="J406">
            <v>3.7</v>
          </cell>
          <cell r="L406">
            <v>0.95</v>
          </cell>
          <cell r="M406">
            <v>2.2999999999999998</v>
          </cell>
          <cell r="O406">
            <v>2.2000000000000002</v>
          </cell>
        </row>
        <row r="413">
          <cell r="A413" t="str">
            <v>底座连接件</v>
          </cell>
        </row>
        <row r="414">
          <cell r="A414" t="str">
            <v>L196/50×63×3.0t</v>
          </cell>
          <cell r="B414" t="str">
            <v>每件</v>
          </cell>
          <cell r="C414">
            <v>0.36</v>
          </cell>
          <cell r="D414">
            <v>2.9000000000000001E-2</v>
          </cell>
          <cell r="J414">
            <v>6.5</v>
          </cell>
          <cell r="K414">
            <v>2.7777777777777799</v>
          </cell>
          <cell r="L414">
            <v>0.95</v>
          </cell>
          <cell r="M414">
            <v>2.2999999999999998</v>
          </cell>
          <cell r="O414">
            <v>2.2000000000000002</v>
          </cell>
        </row>
        <row r="415">
          <cell r="A415" t="str">
            <v>U89/50×203×5t</v>
          </cell>
          <cell r="B415" t="str">
            <v>每件</v>
          </cell>
          <cell r="C415">
            <v>1.73</v>
          </cell>
          <cell r="J415">
            <v>4.93</v>
          </cell>
          <cell r="K415">
            <v>0.80924855491329495</v>
          </cell>
          <cell r="L415">
            <v>0.95</v>
          </cell>
          <cell r="M415">
            <v>2.2999999999999998</v>
          </cell>
          <cell r="O415">
            <v>2.2000000000000002</v>
          </cell>
          <cell r="W415" t="str">
            <v>热开平板 5.0t</v>
          </cell>
        </row>
        <row r="416">
          <cell r="A416" t="str">
            <v>U102/90×297 ×3t</v>
          </cell>
          <cell r="B416" t="str">
            <v>每件</v>
          </cell>
          <cell r="C416">
            <v>2.2268644499999999</v>
          </cell>
          <cell r="D416">
            <v>0.17809800000000001</v>
          </cell>
          <cell r="J416">
            <v>6.2868667197053698</v>
          </cell>
          <cell r="K416">
            <v>0.80831143539068995</v>
          </cell>
          <cell r="L416">
            <v>0.95</v>
          </cell>
          <cell r="M416">
            <v>2.2999999999999998</v>
          </cell>
          <cell r="O416">
            <v>2.2000000000000002</v>
          </cell>
        </row>
        <row r="417">
          <cell r="A417" t="str">
            <v>C89/50×288×5t</v>
          </cell>
          <cell r="B417" t="str">
            <v>每件</v>
          </cell>
          <cell r="C417">
            <v>2.3460000000000001</v>
          </cell>
          <cell r="J417">
            <v>4.93</v>
          </cell>
          <cell r="K417">
            <v>0.59676044330775802</v>
          </cell>
          <cell r="L417">
            <v>0.95</v>
          </cell>
          <cell r="M417">
            <v>2.2999999999999998</v>
          </cell>
          <cell r="O417">
            <v>2.2000000000000002</v>
          </cell>
          <cell r="W417" t="str">
            <v>热开平板 5.0t</v>
          </cell>
        </row>
        <row r="418">
          <cell r="A418" t="str">
            <v>U104/342×105 ×5t</v>
          </cell>
          <cell r="B418" t="str">
            <v>每件</v>
          </cell>
          <cell r="C418">
            <v>1.80098625</v>
          </cell>
          <cell r="D418">
            <v>9.1770000000000004E-2</v>
          </cell>
          <cell r="J418">
            <v>7.7735185374124898</v>
          </cell>
          <cell r="K418">
            <v>0.99945238338160503</v>
          </cell>
          <cell r="L418">
            <v>0.95</v>
          </cell>
          <cell r="M418">
            <v>2.2999999999999998</v>
          </cell>
          <cell r="O418">
            <v>2.2000000000000002</v>
          </cell>
          <cell r="W418" t="str">
            <v>热开平板 5.0t</v>
          </cell>
        </row>
        <row r="422">
          <cell r="A422" t="str">
            <v>底座封板</v>
          </cell>
        </row>
        <row r="423">
          <cell r="A423" t="str">
            <v>U203/20×297×3t</v>
          </cell>
          <cell r="B423" t="str">
            <v>每件</v>
          </cell>
          <cell r="C423">
            <v>3.56</v>
          </cell>
          <cell r="D423">
            <v>0.23</v>
          </cell>
          <cell r="J423">
            <v>8.9887640449438209</v>
          </cell>
          <cell r="K423">
            <v>0.95505617977528101</v>
          </cell>
          <cell r="L423">
            <v>0.95</v>
          </cell>
          <cell r="M423">
            <v>2.2999999999999998</v>
          </cell>
          <cell r="O423">
            <v>2.2000000000000002</v>
          </cell>
        </row>
        <row r="424">
          <cell r="A424" t="str">
            <v>U204/20×348×3t</v>
          </cell>
          <cell r="B424" t="str">
            <v>每件</v>
          </cell>
          <cell r="C424">
            <v>2.0471143999999999</v>
          </cell>
          <cell r="D424">
            <v>0.23</v>
          </cell>
          <cell r="J424">
            <v>8.9887640449438209</v>
          </cell>
          <cell r="K424">
            <v>0.95505617977528101</v>
          </cell>
          <cell r="L424">
            <v>0.95</v>
          </cell>
          <cell r="M424">
            <v>2.2999999999999998</v>
          </cell>
          <cell r="O424">
            <v>2.2000000000000002</v>
          </cell>
        </row>
        <row r="431">
          <cell r="A431" t="str">
            <v>垫板</v>
          </cell>
        </row>
        <row r="432">
          <cell r="A432" t="str">
            <v>180×90×1.0t</v>
          </cell>
          <cell r="C432">
            <v>0.12717000000000001</v>
          </cell>
          <cell r="E432">
            <v>9.4361877801368195</v>
          </cell>
          <cell r="F432">
            <v>1</v>
          </cell>
        </row>
        <row r="433">
          <cell r="A433" t="str">
            <v>180×90×3.0t</v>
          </cell>
          <cell r="C433">
            <v>0.38151000000000002</v>
          </cell>
          <cell r="E433">
            <v>6.5529081806505696</v>
          </cell>
          <cell r="F433">
            <v>3</v>
          </cell>
        </row>
        <row r="434">
          <cell r="A434" t="str">
            <v>123×90×1.0t</v>
          </cell>
          <cell r="C434">
            <v>8.6899500000000005E-2</v>
          </cell>
          <cell r="E434">
            <v>13.8090552880051</v>
          </cell>
          <cell r="F434">
            <v>1</v>
          </cell>
        </row>
        <row r="435">
          <cell r="A435" t="str">
            <v>123×90×3.0t</v>
          </cell>
          <cell r="C435">
            <v>0.2606985</v>
          </cell>
          <cell r="E435">
            <v>9.5896217277813296</v>
          </cell>
          <cell r="F435">
            <v>3</v>
          </cell>
        </row>
        <row r="436">
          <cell r="A436" t="str">
            <v>189×89×1.0</v>
          </cell>
          <cell r="C436">
            <v>0.13300000000000001</v>
          </cell>
          <cell r="E436">
            <v>9.0225563909774404</v>
          </cell>
          <cell r="F436">
            <v>1</v>
          </cell>
        </row>
        <row r="437">
          <cell r="A437" t="str">
            <v>189×89×3.0</v>
          </cell>
          <cell r="C437">
            <v>0.39700000000000002</v>
          </cell>
          <cell r="E437">
            <v>6.2972292191435804</v>
          </cell>
          <cell r="F437">
            <v>3</v>
          </cell>
        </row>
        <row r="438">
          <cell r="A438" t="str">
            <v>200×89×1.0t</v>
          </cell>
          <cell r="C438">
            <v>0.13972999999999999</v>
          </cell>
          <cell r="E438">
            <v>9.3036570528877096</v>
          </cell>
          <cell r="F438">
            <v>1</v>
          </cell>
        </row>
        <row r="439">
          <cell r="A439" t="str">
            <v>200×89×3.0t</v>
          </cell>
          <cell r="C439">
            <v>0.41919000000000001</v>
          </cell>
          <cell r="E439">
            <v>6.2024380352584796</v>
          </cell>
          <cell r="F439">
            <v>3</v>
          </cell>
        </row>
        <row r="443">
          <cell r="A443" t="str">
            <v>悬臂标准件</v>
          </cell>
        </row>
        <row r="444">
          <cell r="A444" t="str">
            <v>M16×100 8.8G</v>
          </cell>
          <cell r="C444">
            <v>0.23</v>
          </cell>
          <cell r="E444">
            <v>9.5652173913043494</v>
          </cell>
        </row>
        <row r="445">
          <cell r="A445" t="str">
            <v>Anc.M12.L100</v>
          </cell>
          <cell r="C445">
            <v>0.09</v>
          </cell>
          <cell r="E445">
            <v>6.6666666666666696</v>
          </cell>
        </row>
        <row r="446">
          <cell r="A446" t="str">
            <v>M20×40 (8.8G)</v>
          </cell>
          <cell r="B446" t="str">
            <v>1平 1弹垫</v>
          </cell>
          <cell r="C446">
            <v>0.4</v>
          </cell>
          <cell r="E446">
            <v>5</v>
          </cell>
        </row>
        <row r="447">
          <cell r="A447" t="str">
            <v>M16×35</v>
          </cell>
          <cell r="C447">
            <v>0.25</v>
          </cell>
          <cell r="E447">
            <v>4</v>
          </cell>
        </row>
        <row r="448">
          <cell r="A448" t="str">
            <v>Anc.M16.L100</v>
          </cell>
          <cell r="C448">
            <v>0.17</v>
          </cell>
          <cell r="E448">
            <v>7.9411764705882399</v>
          </cell>
        </row>
        <row r="449">
          <cell r="A449" t="str">
            <v>ø20×120  8.8G</v>
          </cell>
          <cell r="B449" t="str">
            <v xml:space="preserve">圆柱销 </v>
          </cell>
          <cell r="C449">
            <v>0.4</v>
          </cell>
          <cell r="E449">
            <v>9.625</v>
          </cell>
        </row>
        <row r="450">
          <cell r="A450" t="str">
            <v>ø3.5×76</v>
          </cell>
          <cell r="B450" t="str">
            <v>R销</v>
          </cell>
          <cell r="C450">
            <v>1.4E-2</v>
          </cell>
          <cell r="E450">
            <v>15.3571428571429</v>
          </cell>
        </row>
        <row r="451">
          <cell r="A451" t="str">
            <v>ø4.5×40</v>
          </cell>
          <cell r="B451" t="str">
            <v>环形销</v>
          </cell>
          <cell r="C451">
            <v>1.2999999999999999E-2</v>
          </cell>
          <cell r="E451">
            <v>65.384615384615401</v>
          </cell>
        </row>
        <row r="452">
          <cell r="A452" t="str">
            <v>M10×120 8.8G</v>
          </cell>
          <cell r="B452" t="str">
            <v>外六角</v>
          </cell>
          <cell r="C452">
            <v>7.0000000000000007E-2</v>
          </cell>
          <cell r="E452">
            <v>11.8571428571429</v>
          </cell>
        </row>
        <row r="453">
          <cell r="A453" t="str">
            <v>M10×30  8.8G</v>
          </cell>
          <cell r="B453">
            <v>0.03</v>
          </cell>
          <cell r="C453">
            <v>0.03</v>
          </cell>
          <cell r="E453">
            <v>10.6666666666667</v>
          </cell>
        </row>
        <row r="454">
          <cell r="A454" t="str">
            <v>M10×80  8.8G</v>
          </cell>
          <cell r="C454">
            <v>0.08</v>
          </cell>
          <cell r="E454">
            <v>7.5</v>
          </cell>
        </row>
        <row r="455">
          <cell r="A455" t="str">
            <v>ø16×84</v>
          </cell>
          <cell r="C455">
            <v>0.13600000000000001</v>
          </cell>
          <cell r="E455">
            <v>16.176470588235301</v>
          </cell>
        </row>
        <row r="456">
          <cell r="A456" t="str">
            <v>M10×110  8.8G</v>
          </cell>
          <cell r="C456">
            <v>0.08</v>
          </cell>
          <cell r="E456">
            <v>7.875</v>
          </cell>
        </row>
        <row r="457">
          <cell r="A457" t="str">
            <v>M10.L20</v>
          </cell>
          <cell r="C457">
            <v>0.03</v>
          </cell>
          <cell r="E457">
            <v>6.5333333333333297</v>
          </cell>
        </row>
        <row r="458">
          <cell r="A458" t="str">
            <v>M10×25  8.8G</v>
          </cell>
          <cell r="C458">
            <v>2.9000000000000001E-2</v>
          </cell>
          <cell r="E458">
            <v>8.6206896551724093</v>
          </cell>
        </row>
        <row r="467">
          <cell r="A467" t="str">
            <v>悬臂</v>
          </cell>
          <cell r="K467" t="str">
            <v>按根</v>
          </cell>
        </row>
        <row r="468">
          <cell r="A468" t="str">
            <v>Mb120/5×0×W94×3t/25×15</v>
          </cell>
          <cell r="C468">
            <v>7.4064750000000004</v>
          </cell>
          <cell r="D468">
            <v>0.629</v>
          </cell>
          <cell r="F468">
            <v>3</v>
          </cell>
          <cell r="J468">
            <v>5.43</v>
          </cell>
          <cell r="K468">
            <v>4.4000000000000004</v>
          </cell>
          <cell r="L468">
            <v>0.95</v>
          </cell>
          <cell r="M468">
            <v>2.2999999999999998</v>
          </cell>
          <cell r="O468">
            <v>2.2000000000000002</v>
          </cell>
          <cell r="W468" t="str">
            <v>热开平板 3.0t</v>
          </cell>
        </row>
        <row r="469">
          <cell r="A469" t="str">
            <v>MC100/50×W60×3.0t</v>
          </cell>
          <cell r="C469">
            <v>4.71</v>
          </cell>
          <cell r="D469">
            <v>0.4</v>
          </cell>
          <cell r="F469">
            <v>3</v>
          </cell>
          <cell r="J469">
            <v>5.43</v>
          </cell>
          <cell r="K469">
            <v>4.4000000000000004</v>
          </cell>
          <cell r="L469">
            <v>0.95</v>
          </cell>
          <cell r="M469">
            <v>2.2999999999999998</v>
          </cell>
          <cell r="O469">
            <v>2.2000000000000002</v>
          </cell>
          <cell r="W469" t="str">
            <v>热开平板 3.0t</v>
          </cell>
        </row>
        <row r="470">
          <cell r="A470" t="str">
            <v>Mb150/50×W94×3t/25×15</v>
          </cell>
          <cell r="C470">
            <v>8.1129750000000005</v>
          </cell>
          <cell r="D470">
            <v>0.68899999999999995</v>
          </cell>
          <cell r="F470">
            <v>3</v>
          </cell>
          <cell r="J470">
            <v>5.43</v>
          </cell>
          <cell r="K470">
            <v>4.4000000000000004</v>
          </cell>
          <cell r="L470">
            <v>0.95</v>
          </cell>
          <cell r="M470">
            <v>2.2999999999999998</v>
          </cell>
          <cell r="O470">
            <v>2.2000000000000002</v>
          </cell>
          <cell r="W470" t="str">
            <v>热开平板 3.0t</v>
          </cell>
        </row>
        <row r="471">
          <cell r="A471" t="str">
            <v>140（70）×90×1.5t</v>
          </cell>
          <cell r="C471">
            <v>5.0599999999999996</v>
          </cell>
          <cell r="D471">
            <v>0.378</v>
          </cell>
          <cell r="F471">
            <v>1.5</v>
          </cell>
          <cell r="J471">
            <v>5.58</v>
          </cell>
          <cell r="K471">
            <v>4.5</v>
          </cell>
          <cell r="L471">
            <v>0.95</v>
          </cell>
          <cell r="M471">
            <v>2.2999999999999998</v>
          </cell>
          <cell r="O471">
            <v>2.2000000000000002</v>
          </cell>
          <cell r="W471" t="str">
            <v>热开平板 1.5t</v>
          </cell>
        </row>
        <row r="472">
          <cell r="A472" t="str">
            <v>140（70）×90×2.0t</v>
          </cell>
          <cell r="C472">
            <v>6.69</v>
          </cell>
          <cell r="D472">
            <v>0.378</v>
          </cell>
          <cell r="F472">
            <v>2</v>
          </cell>
          <cell r="J472">
            <v>5.48</v>
          </cell>
          <cell r="K472">
            <v>4.5</v>
          </cell>
          <cell r="L472">
            <v>0.95</v>
          </cell>
          <cell r="M472">
            <v>2.2999999999999998</v>
          </cell>
          <cell r="O472">
            <v>2.2000000000000002</v>
          </cell>
          <cell r="W472" t="str">
            <v>热开平板 2.0t</v>
          </cell>
        </row>
        <row r="473">
          <cell r="A473" t="str">
            <v>140（70）×90×2.5t</v>
          </cell>
          <cell r="C473">
            <v>8.36</v>
          </cell>
          <cell r="D473">
            <v>0.378</v>
          </cell>
          <cell r="F473">
            <v>2.5</v>
          </cell>
          <cell r="J473">
            <v>5.33</v>
          </cell>
          <cell r="K473">
            <v>4.5</v>
          </cell>
          <cell r="L473">
            <v>0.95</v>
          </cell>
          <cell r="M473">
            <v>2.2999999999999998</v>
          </cell>
          <cell r="O473">
            <v>2.2000000000000002</v>
          </cell>
          <cell r="W473" t="str">
            <v>热开平板 2.5t</v>
          </cell>
        </row>
        <row r="474">
          <cell r="A474" t="str">
            <v>140（70）×90×3.0t</v>
          </cell>
          <cell r="C474">
            <v>9.66</v>
          </cell>
          <cell r="D474">
            <v>0.378</v>
          </cell>
          <cell r="F474">
            <v>3</v>
          </cell>
          <cell r="J474">
            <v>5.23</v>
          </cell>
          <cell r="K474">
            <v>4.5</v>
          </cell>
          <cell r="L474">
            <v>0.95</v>
          </cell>
          <cell r="M474">
            <v>2.2999999999999998</v>
          </cell>
          <cell r="O474">
            <v>2.2000000000000002</v>
          </cell>
          <cell r="W474" t="str">
            <v>热开平板 3.0t</v>
          </cell>
        </row>
        <row r="475">
          <cell r="A475" t="str">
            <v>140×90×1.5t</v>
          </cell>
          <cell r="C475">
            <v>5.12</v>
          </cell>
          <cell r="D475">
            <v>0.378</v>
          </cell>
          <cell r="F475">
            <v>1.5</v>
          </cell>
          <cell r="J475">
            <v>5.58</v>
          </cell>
          <cell r="K475">
            <v>4.5</v>
          </cell>
          <cell r="L475">
            <v>0.95</v>
          </cell>
          <cell r="M475">
            <v>2.2999999999999998</v>
          </cell>
          <cell r="O475">
            <v>2.2000000000000002</v>
          </cell>
          <cell r="W475" t="str">
            <v>热开平板 1.5t</v>
          </cell>
        </row>
        <row r="476">
          <cell r="A476" t="str">
            <v>140×90×2.5t</v>
          </cell>
          <cell r="C476">
            <v>8.36</v>
          </cell>
          <cell r="D476">
            <v>0.378</v>
          </cell>
          <cell r="F476">
            <v>2.5</v>
          </cell>
          <cell r="J476">
            <v>5.33</v>
          </cell>
          <cell r="K476">
            <v>4.5</v>
          </cell>
          <cell r="L476">
            <v>0.95</v>
          </cell>
          <cell r="M476">
            <v>2.2999999999999998</v>
          </cell>
          <cell r="O476">
            <v>2.2000000000000002</v>
          </cell>
          <cell r="W476" t="str">
            <v>热开平板 2.5t</v>
          </cell>
        </row>
        <row r="477">
          <cell r="A477" t="str">
            <v>140×90×3.0t</v>
          </cell>
          <cell r="C477">
            <v>10.32</v>
          </cell>
          <cell r="D477">
            <v>0.378</v>
          </cell>
          <cell r="F477">
            <v>3</v>
          </cell>
          <cell r="J477">
            <v>5.23</v>
          </cell>
          <cell r="K477">
            <v>4.5</v>
          </cell>
          <cell r="L477">
            <v>0.95</v>
          </cell>
          <cell r="M477">
            <v>2.2999999999999998</v>
          </cell>
          <cell r="O477">
            <v>2.2000000000000002</v>
          </cell>
          <cell r="W477" t="str">
            <v>热开平板 3.0t</v>
          </cell>
        </row>
        <row r="478">
          <cell r="A478" t="str">
            <v>HS100×50×1.5t</v>
          </cell>
          <cell r="C478">
            <v>3.46</v>
          </cell>
          <cell r="F478">
            <v>1.5</v>
          </cell>
          <cell r="J478">
            <v>5.83</v>
          </cell>
          <cell r="K478">
            <v>4.5</v>
          </cell>
          <cell r="L478">
            <v>0.95</v>
          </cell>
          <cell r="M478">
            <v>2.2999999999999998</v>
          </cell>
          <cell r="O478">
            <v>2.2000000000000002</v>
          </cell>
          <cell r="W478" t="str">
            <v>矩管 1.5t</v>
          </cell>
        </row>
        <row r="479">
          <cell r="A479" t="str">
            <v>HS100×50×2.0t</v>
          </cell>
          <cell r="C479">
            <v>4.58</v>
          </cell>
          <cell r="F479">
            <v>2</v>
          </cell>
          <cell r="J479">
            <v>5.68</v>
          </cell>
          <cell r="K479">
            <v>4.5</v>
          </cell>
          <cell r="L479">
            <v>0.95</v>
          </cell>
          <cell r="M479">
            <v>2.2999999999999998</v>
          </cell>
          <cell r="O479">
            <v>2.2000000000000002</v>
          </cell>
          <cell r="W479" t="str">
            <v>矩管 2.0t</v>
          </cell>
        </row>
        <row r="480">
          <cell r="A480" t="str">
            <v>H80(30)×W60×2.0t</v>
          </cell>
          <cell r="C480">
            <v>2.0284399999999998</v>
          </cell>
          <cell r="F480">
            <v>2</v>
          </cell>
          <cell r="J480">
            <v>5.78</v>
          </cell>
          <cell r="K480">
            <v>4.5</v>
          </cell>
          <cell r="L480">
            <v>0.95</v>
          </cell>
          <cell r="M480">
            <v>2.2999999999999998</v>
          </cell>
          <cell r="O480">
            <v>2.2000000000000002</v>
          </cell>
          <cell r="W480" t="str">
            <v>热开平板 2.0t</v>
          </cell>
        </row>
        <row r="481">
          <cell r="A481" t="str">
            <v>HN175×90×5×8</v>
          </cell>
          <cell r="C481">
            <v>18.2</v>
          </cell>
          <cell r="J481">
            <v>3.75</v>
          </cell>
          <cell r="L481">
            <v>0.95</v>
          </cell>
          <cell r="M481">
            <v>2.2999999999999998</v>
          </cell>
          <cell r="O481">
            <v>2.2000000000000002</v>
          </cell>
        </row>
        <row r="482">
          <cell r="A482" t="str">
            <v>Arm180×90×3.0t</v>
          </cell>
          <cell r="C482">
            <v>11.07</v>
          </cell>
          <cell r="F482">
            <v>3</v>
          </cell>
          <cell r="J482">
            <v>5.23</v>
          </cell>
          <cell r="K482">
            <v>4.5</v>
          </cell>
          <cell r="L482">
            <v>0.95</v>
          </cell>
          <cell r="M482">
            <v>2.2999999999999998</v>
          </cell>
          <cell r="O482">
            <v>2.2000000000000002</v>
          </cell>
          <cell r="W482" t="str">
            <v>热开平板 3.0t</v>
          </cell>
        </row>
        <row r="483">
          <cell r="A483" t="str">
            <v>Arm160×90×3.0t</v>
          </cell>
          <cell r="C483">
            <v>10.6</v>
          </cell>
          <cell r="F483">
            <v>3</v>
          </cell>
          <cell r="J483">
            <v>5.23</v>
          </cell>
          <cell r="K483">
            <v>4.5</v>
          </cell>
          <cell r="L483">
            <v>0.95</v>
          </cell>
          <cell r="M483">
            <v>2.2999999999999998</v>
          </cell>
          <cell r="O483">
            <v>2.2000000000000002</v>
          </cell>
          <cell r="W483" t="str">
            <v>热开平板 3.0t</v>
          </cell>
        </row>
        <row r="484">
          <cell r="A484" t="str">
            <v>MC180(50)*100*3.5t</v>
          </cell>
          <cell r="C484">
            <v>10.4542375</v>
          </cell>
          <cell r="F484">
            <v>3.5</v>
          </cell>
          <cell r="J484">
            <v>5.33</v>
          </cell>
          <cell r="K484">
            <v>4.4000000000000004</v>
          </cell>
          <cell r="L484">
            <v>0.95</v>
          </cell>
          <cell r="M484">
            <v>2.2999999999999998</v>
          </cell>
          <cell r="O484">
            <v>2.2000000000000002</v>
          </cell>
          <cell r="W484" t="str">
            <v>热开平板 3.5t</v>
          </cell>
        </row>
        <row r="488">
          <cell r="A488" t="str">
            <v>悬臂柱卡</v>
          </cell>
        </row>
        <row r="489">
          <cell r="A489" t="str">
            <v>H300-W90×5.0t</v>
          </cell>
          <cell r="B489" t="str">
            <v>柱卡工艺孔x4</v>
          </cell>
          <cell r="C489">
            <v>2.99</v>
          </cell>
          <cell r="D489">
            <v>0.152</v>
          </cell>
          <cell r="J489">
            <v>6.6889632107023402</v>
          </cell>
          <cell r="L489">
            <v>0.95</v>
          </cell>
          <cell r="M489">
            <v>2.2999999999999998</v>
          </cell>
          <cell r="O489">
            <v>2.2000000000000002</v>
          </cell>
          <cell r="Q489" t="str">
            <v>ø20*120  8.8G</v>
          </cell>
          <cell r="R489">
            <v>1</v>
          </cell>
          <cell r="S489" t="str">
            <v>ø3.5*76</v>
          </cell>
          <cell r="T489">
            <v>1</v>
          </cell>
        </row>
        <row r="490">
          <cell r="A490" t="str">
            <v>H185-W60×4.0t</v>
          </cell>
          <cell r="C490">
            <v>1.0340020000000001</v>
          </cell>
          <cell r="D490">
            <v>6.5490000000000007E-2</v>
          </cell>
          <cell r="J490">
            <v>5.38</v>
          </cell>
          <cell r="L490">
            <v>0.95</v>
          </cell>
          <cell r="M490">
            <v>2.2999999999999998</v>
          </cell>
          <cell r="O490">
            <v>2.2000000000000002</v>
          </cell>
          <cell r="W490" t="str">
            <v>热开平板 3.0t</v>
          </cell>
        </row>
        <row r="497">
          <cell r="A497" t="str">
            <v>悬臂下口筋板、鼻子 U型封板</v>
          </cell>
        </row>
        <row r="498">
          <cell r="A498" t="str">
            <v>44×44×3t</v>
          </cell>
          <cell r="B498" t="str">
            <v>0.2元/个</v>
          </cell>
          <cell r="C498">
            <v>4.5592800000000003E-2</v>
          </cell>
          <cell r="D498">
            <v>3.872E-3</v>
          </cell>
          <cell r="J498">
            <v>6.5</v>
          </cell>
          <cell r="L498">
            <v>0.95</v>
          </cell>
          <cell r="M498">
            <v>2.2999999999999998</v>
          </cell>
          <cell r="O498">
            <v>2.2000000000000002</v>
          </cell>
        </row>
        <row r="499">
          <cell r="A499" t="str">
            <v>U52/40/40×3.0t</v>
          </cell>
          <cell r="B499" t="str">
            <v>0.2元/个</v>
          </cell>
          <cell r="C499">
            <v>2.8731</v>
          </cell>
          <cell r="D499">
            <v>0.12</v>
          </cell>
          <cell r="J499">
            <v>6.5</v>
          </cell>
          <cell r="L499">
            <v>0.95</v>
          </cell>
          <cell r="M499">
            <v>2.2999999999999998</v>
          </cell>
          <cell r="O499">
            <v>2.2000000000000002</v>
          </cell>
        </row>
        <row r="500">
          <cell r="A500" t="str">
            <v>U50/63×W86×3t</v>
          </cell>
          <cell r="C500">
            <v>0.2288589</v>
          </cell>
          <cell r="D500">
            <v>9.4599999999999997E-3</v>
          </cell>
          <cell r="J500">
            <v>6.5</v>
          </cell>
          <cell r="L500">
            <v>0.95</v>
          </cell>
          <cell r="M500">
            <v>2.2999999999999998</v>
          </cell>
          <cell r="O500">
            <v>2.2000000000000002</v>
          </cell>
          <cell r="W500" t="str">
            <v>热卷 3.0t</v>
          </cell>
          <cell r="X500" t="str">
            <v>镀锌卷 3.0t</v>
          </cell>
        </row>
        <row r="501">
          <cell r="A501" t="str">
            <v>U45/63×W52×3t</v>
          </cell>
          <cell r="C501">
            <v>0.14082900000000001</v>
          </cell>
          <cell r="D501">
            <v>5.8240000000000002E-3</v>
          </cell>
          <cell r="J501">
            <v>6.5</v>
          </cell>
          <cell r="L501">
            <v>0.95</v>
          </cell>
          <cell r="M501">
            <v>2.2999999999999998</v>
          </cell>
          <cell r="O501">
            <v>2.2000000000000002</v>
          </cell>
          <cell r="W501" t="str">
            <v>热卷 3.0t</v>
          </cell>
          <cell r="X501" t="str">
            <v>镀锌卷 3.0t</v>
          </cell>
        </row>
        <row r="502">
          <cell r="A502" t="str">
            <v>118×86×3.0t</v>
          </cell>
          <cell r="C502">
            <v>0.23898539999999999</v>
          </cell>
          <cell r="J502">
            <v>6.5</v>
          </cell>
          <cell r="L502">
            <v>0.95</v>
          </cell>
          <cell r="M502">
            <v>2.2999999999999998</v>
          </cell>
          <cell r="O502">
            <v>2.2000000000000002</v>
          </cell>
          <cell r="W502" t="str">
            <v>热卷 3.0t</v>
          </cell>
          <cell r="X502" t="str">
            <v>镀锌卷 3.0t</v>
          </cell>
        </row>
        <row r="503">
          <cell r="A503" t="str">
            <v>U30/63×150×5.0t</v>
          </cell>
          <cell r="C503">
            <v>0.62</v>
          </cell>
          <cell r="J503">
            <v>6.5</v>
          </cell>
          <cell r="L503">
            <v>0.95</v>
          </cell>
          <cell r="M503">
            <v>2.2999999999999998</v>
          </cell>
          <cell r="O503">
            <v>2.2000000000000002</v>
          </cell>
          <cell r="W503" t="str">
            <v>热卷 5.0t</v>
          </cell>
          <cell r="X503" t="str">
            <v>镀锌卷 5.0t</v>
          </cell>
        </row>
        <row r="504">
          <cell r="A504" t="str">
            <v>58×30×t3.0</v>
          </cell>
          <cell r="C504">
            <v>4.0977E-2</v>
          </cell>
          <cell r="J504">
            <v>6.5</v>
          </cell>
          <cell r="L504">
            <v>0.95</v>
          </cell>
          <cell r="M504">
            <v>2.2999999999999998</v>
          </cell>
          <cell r="O504">
            <v>2.2000000000000002</v>
          </cell>
          <cell r="W504" t="str">
            <v>热卷 3.0t</v>
          </cell>
          <cell r="X504" t="str">
            <v>镀锌卷 3.0t</v>
          </cell>
        </row>
        <row r="505">
          <cell r="A505" t="str">
            <v>136×400×t2.0</v>
          </cell>
          <cell r="C505">
            <v>0.85407999999999995</v>
          </cell>
          <cell r="J505">
            <v>6.5</v>
          </cell>
          <cell r="L505">
            <v>0.95</v>
          </cell>
          <cell r="M505">
            <v>2.2999999999999998</v>
          </cell>
          <cell r="O505">
            <v>2.2000000000000002</v>
          </cell>
          <cell r="W505" t="str">
            <v>热卷 2.0t</v>
          </cell>
          <cell r="X505" t="str">
            <v>镀锌卷 2.0t</v>
          </cell>
        </row>
        <row r="506">
          <cell r="A506" t="str">
            <v>150×50×3.0t</v>
          </cell>
          <cell r="C506">
            <v>0.176625</v>
          </cell>
          <cell r="J506">
            <v>6.5</v>
          </cell>
          <cell r="L506">
            <v>0.95</v>
          </cell>
          <cell r="M506">
            <v>2.2999999999999998</v>
          </cell>
          <cell r="O506">
            <v>2.2000000000000002</v>
          </cell>
          <cell r="W506" t="str">
            <v>热卷 3.0t</v>
          </cell>
          <cell r="X506" t="str">
            <v>镀锌卷 3.0t</v>
          </cell>
        </row>
        <row r="507">
          <cell r="A507" t="str">
            <v>58×100×3.0t</v>
          </cell>
          <cell r="C507">
            <v>0.13658999999999999</v>
          </cell>
          <cell r="J507">
            <v>6.5</v>
          </cell>
          <cell r="L507">
            <v>0.95</v>
          </cell>
          <cell r="M507">
            <v>2.2999999999999998</v>
          </cell>
          <cell r="O507">
            <v>2.2000000000000002</v>
          </cell>
          <cell r="W507" t="str">
            <v>热卷 3.0t</v>
          </cell>
          <cell r="X507" t="str">
            <v>镀锌卷 3.0t</v>
          </cell>
        </row>
        <row r="508">
          <cell r="A508" t="str">
            <v>H70×W86×2.5t</v>
          </cell>
          <cell r="C508">
            <v>0.30717050000000001</v>
          </cell>
          <cell r="J508">
            <v>6.5</v>
          </cell>
          <cell r="L508">
            <v>0.95</v>
          </cell>
          <cell r="M508">
            <v>2.2999999999999998</v>
          </cell>
          <cell r="O508">
            <v>2.2000000000000002</v>
          </cell>
          <cell r="W508" t="str">
            <v>热卷 2.5t</v>
          </cell>
          <cell r="X508" t="str">
            <v>镀锌卷 2.5t</v>
          </cell>
        </row>
        <row r="509">
          <cell r="A509" t="str">
            <v>u30/103×120×5.0t</v>
          </cell>
          <cell r="C509">
            <v>0.68294999999999995</v>
          </cell>
          <cell r="J509">
            <v>6.5</v>
          </cell>
          <cell r="L509">
            <v>0.95</v>
          </cell>
          <cell r="M509">
            <v>2.2999999999999998</v>
          </cell>
          <cell r="O509">
            <v>2.2000000000000002</v>
          </cell>
          <cell r="W509" t="str">
            <v>热卷 5.0t</v>
          </cell>
          <cell r="X509" t="str">
            <v>镀锌卷 5.0t</v>
          </cell>
        </row>
        <row r="514">
          <cell r="A514" t="str">
            <v>悬臂挡杆</v>
          </cell>
        </row>
        <row r="515">
          <cell r="A515" t="str">
            <v>φ20×2t×L220</v>
          </cell>
          <cell r="C515">
            <v>0.217021728</v>
          </cell>
          <cell r="J515">
            <v>4.2300000000000004</v>
          </cell>
          <cell r="K515">
            <v>6.91175032944167</v>
          </cell>
          <cell r="L515">
            <v>0.95</v>
          </cell>
          <cell r="M515">
            <v>2.8</v>
          </cell>
          <cell r="O515">
            <v>2.2000000000000002</v>
          </cell>
          <cell r="Q515" t="str">
            <v>ø4.5*40</v>
          </cell>
          <cell r="R515">
            <v>1</v>
          </cell>
          <cell r="W515" t="str">
            <v>圆管ø20-2.0t</v>
          </cell>
        </row>
        <row r="516">
          <cell r="A516" t="str">
            <v>φ20×2t×L360</v>
          </cell>
          <cell r="C516">
            <v>0.35512646399999998</v>
          </cell>
          <cell r="J516">
            <v>4.2300000000000004</v>
          </cell>
          <cell r="K516">
            <v>4.2238474235476904</v>
          </cell>
          <cell r="L516">
            <v>0.95</v>
          </cell>
          <cell r="M516">
            <v>2.8</v>
          </cell>
          <cell r="O516">
            <v>2.2000000000000002</v>
          </cell>
          <cell r="Q516" t="str">
            <v>ø4.5*40</v>
          </cell>
          <cell r="R516">
            <v>1</v>
          </cell>
          <cell r="W516" t="str">
            <v>圆管ø20-2.0t</v>
          </cell>
        </row>
        <row r="517">
          <cell r="A517" t="str">
            <v>φ16×2.5t×L285</v>
          </cell>
          <cell r="C517">
            <v>0.23699999999999999</v>
          </cell>
          <cell r="J517">
            <v>8.25</v>
          </cell>
          <cell r="K517">
            <v>6.3291139240506302</v>
          </cell>
          <cell r="L517">
            <v>0.95</v>
          </cell>
          <cell r="M517">
            <v>2.8</v>
          </cell>
          <cell r="O517">
            <v>2.2000000000000002</v>
          </cell>
          <cell r="W517" t="str">
            <v>无缝圆管ø16-2.5t</v>
          </cell>
        </row>
        <row r="523">
          <cell r="A523" t="str">
            <v>垫圈</v>
          </cell>
        </row>
        <row r="524">
          <cell r="A524" t="str">
            <v>ø39(ø21)×3.0t</v>
          </cell>
          <cell r="C524">
            <v>1.7000000000000001E-2</v>
          </cell>
          <cell r="E524">
            <v>11.764705882352899</v>
          </cell>
          <cell r="L524">
            <v>0.95</v>
          </cell>
          <cell r="M524">
            <v>2.2999999999999998</v>
          </cell>
          <cell r="O524">
            <v>2.2000000000000002</v>
          </cell>
        </row>
        <row r="525">
          <cell r="A525" t="str">
            <v>ø37(ø21)×3.0t</v>
          </cell>
          <cell r="C525">
            <v>1.7000000000000001E-2</v>
          </cell>
          <cell r="E525">
            <v>11.764705882352899</v>
          </cell>
          <cell r="L525">
            <v>0.95</v>
          </cell>
          <cell r="M525">
            <v>2.2999999999999998</v>
          </cell>
          <cell r="O525">
            <v>2.2000000000000002</v>
          </cell>
        </row>
        <row r="526">
          <cell r="A526" t="str">
            <v>ø30(ø20)×3.0t</v>
          </cell>
          <cell r="C526">
            <v>1.7000000000000001E-2</v>
          </cell>
          <cell r="E526">
            <v>11.764705882352899</v>
          </cell>
        </row>
        <row r="527">
          <cell r="A527" t="str">
            <v>ø30(ø17)×3.0t</v>
          </cell>
          <cell r="C527">
            <v>1.7000000000000001E-2</v>
          </cell>
          <cell r="E527">
            <v>11.764705882352899</v>
          </cell>
        </row>
        <row r="532">
          <cell r="A532" t="str">
            <v>悬臂拉杆</v>
          </cell>
          <cell r="K532" t="str">
            <v>按根</v>
          </cell>
        </row>
        <row r="533">
          <cell r="A533" t="str">
            <v>H Brace ø32×1.5t</v>
          </cell>
          <cell r="C533">
            <v>1.1279999999999999</v>
          </cell>
          <cell r="D533">
            <v>0.10048</v>
          </cell>
          <cell r="J533">
            <v>4.28</v>
          </cell>
          <cell r="K533">
            <v>1</v>
          </cell>
          <cell r="L533">
            <v>0.8</v>
          </cell>
          <cell r="M533">
            <v>3.6</v>
          </cell>
          <cell r="O533">
            <v>2.2000000000000002</v>
          </cell>
          <cell r="Q533" t="str">
            <v>M10*120 8.8G</v>
          </cell>
          <cell r="R533">
            <v>4</v>
          </cell>
          <cell r="S533" t="str">
            <v>M10*30  8.8G</v>
          </cell>
          <cell r="T533">
            <v>2</v>
          </cell>
          <cell r="W533" t="str">
            <v>退火圆管ø32-1.5t</v>
          </cell>
        </row>
        <row r="534">
          <cell r="A534" t="str">
            <v>D brace ø32×1.5t</v>
          </cell>
          <cell r="C534">
            <v>1.1279999999999999</v>
          </cell>
          <cell r="D534">
            <v>0.10048</v>
          </cell>
          <cell r="J534">
            <v>4.28</v>
          </cell>
          <cell r="K534">
            <v>1</v>
          </cell>
          <cell r="L534">
            <v>0.8</v>
          </cell>
          <cell r="M534">
            <v>3.6</v>
          </cell>
          <cell r="O534">
            <v>2.2000000000000002</v>
          </cell>
          <cell r="W534" t="str">
            <v>退火圆管ø32-1.5t</v>
          </cell>
        </row>
        <row r="535">
          <cell r="A535" t="str">
            <v xml:space="preserve">L50×4.0t </v>
          </cell>
          <cell r="C535">
            <v>3.06</v>
          </cell>
          <cell r="D535">
            <v>0.2</v>
          </cell>
          <cell r="E535">
            <v>4.13</v>
          </cell>
          <cell r="J535">
            <v>3.63</v>
          </cell>
          <cell r="K535">
            <v>1</v>
          </cell>
          <cell r="L535">
            <v>0.95</v>
          </cell>
          <cell r="W535" t="str">
            <v>角钢 L5050.4t</v>
          </cell>
          <cell r="X535" t="str">
            <v>镀锌角钢 L5050.4t</v>
          </cell>
        </row>
        <row r="536">
          <cell r="A536" t="str">
            <v>L40×4.0t</v>
          </cell>
          <cell r="C536">
            <v>2.4220000000000002</v>
          </cell>
          <cell r="D536">
            <v>0.16</v>
          </cell>
          <cell r="E536">
            <v>4.2300000000000004</v>
          </cell>
          <cell r="J536">
            <v>3.68</v>
          </cell>
          <cell r="K536">
            <v>1</v>
          </cell>
          <cell r="L536">
            <v>0.95</v>
          </cell>
          <cell r="W536" t="str">
            <v>角钢 L4040.4t</v>
          </cell>
          <cell r="X536" t="str">
            <v>镀锌角钢 L4040.4t</v>
          </cell>
        </row>
        <row r="542">
          <cell r="A542" t="str">
            <v>悬臂拉杆连接件</v>
          </cell>
        </row>
        <row r="543">
          <cell r="A543" t="str">
            <v>L105/50×H150×3t</v>
          </cell>
          <cell r="C543">
            <v>0.52987499999999998</v>
          </cell>
          <cell r="D543">
            <v>4.4999999999999998E-2</v>
          </cell>
          <cell r="J543">
            <v>7.5489502241094604</v>
          </cell>
          <cell r="L543">
            <v>0.95</v>
          </cell>
          <cell r="M543">
            <v>2.2999999999999998</v>
          </cell>
          <cell r="O543">
            <v>2.2000000000000002</v>
          </cell>
        </row>
        <row r="544">
          <cell r="A544" t="str">
            <v xml:space="preserve">L50×4.0t×H150 </v>
          </cell>
          <cell r="C544">
            <v>0.45900000000000002</v>
          </cell>
          <cell r="D544">
            <v>4.4999999999999998E-2</v>
          </cell>
          <cell r="E544">
            <v>4.13</v>
          </cell>
          <cell r="J544">
            <v>3.63</v>
          </cell>
          <cell r="K544">
            <v>1</v>
          </cell>
          <cell r="L544">
            <v>0.95</v>
          </cell>
          <cell r="M544">
            <v>2.2999999999999998</v>
          </cell>
          <cell r="O544">
            <v>2.2000000000000002</v>
          </cell>
          <cell r="Q544" t="str">
            <v>M10*110  8.8G</v>
          </cell>
          <cell r="R544">
            <v>2</v>
          </cell>
          <cell r="S544" t="str">
            <v>M10.L20</v>
          </cell>
          <cell r="T544">
            <v>2</v>
          </cell>
          <cell r="W544" t="str">
            <v>角钢 L5050.4t</v>
          </cell>
        </row>
        <row r="545">
          <cell r="A545" t="str">
            <v>Flat 50×60×5t</v>
          </cell>
          <cell r="C545">
            <v>0.11799999999999999</v>
          </cell>
          <cell r="D545">
            <v>7.4999999999999997E-3</v>
          </cell>
          <cell r="J545">
            <v>6</v>
          </cell>
          <cell r="K545">
            <v>1</v>
          </cell>
          <cell r="L545">
            <v>0.95</v>
          </cell>
          <cell r="M545">
            <v>2.2999999999999998</v>
          </cell>
          <cell r="O545">
            <v>2.2000000000000002</v>
          </cell>
          <cell r="W545" t="str">
            <v>角钢 L5050.4t</v>
          </cell>
          <cell r="X545" t="str">
            <v>镀锌角钢 L5050.4t</v>
          </cell>
        </row>
        <row r="546">
          <cell r="W546" t="str">
            <v>角钢 L5050.4t</v>
          </cell>
        </row>
        <row r="549">
          <cell r="A549" t="str">
            <v>护脚</v>
          </cell>
        </row>
        <row r="550">
          <cell r="A550" t="str">
            <v>H305×4.5t P</v>
          </cell>
          <cell r="B550" t="str">
            <v>横梁式</v>
          </cell>
          <cell r="C550">
            <v>4.8105585</v>
          </cell>
          <cell r="J550">
            <v>7.0677864119103804</v>
          </cell>
        </row>
        <row r="551">
          <cell r="A551" t="str">
            <v>H400×4.5t D</v>
          </cell>
          <cell r="B551" t="str">
            <v>驶入式</v>
          </cell>
          <cell r="C551">
            <v>6.4248403500000002</v>
          </cell>
          <cell r="J551">
            <v>7.1597109802113597</v>
          </cell>
        </row>
        <row r="552">
          <cell r="A552" t="str">
            <v>H600×4.5t D</v>
          </cell>
          <cell r="B552" t="str">
            <v>驶入式</v>
          </cell>
          <cell r="C552">
            <v>9.4839853499999993</v>
          </cell>
          <cell r="J552">
            <v>4.8502816381933798</v>
          </cell>
        </row>
        <row r="553">
          <cell r="A553" t="str">
            <v>H500×5.0t W</v>
          </cell>
          <cell r="B553" t="str">
            <v>一体式</v>
          </cell>
          <cell r="C553">
            <v>4.0557417500000001</v>
          </cell>
          <cell r="J553">
            <v>6</v>
          </cell>
        </row>
        <row r="554">
          <cell r="A554" t="str">
            <v>H1068×4.5t L</v>
          </cell>
          <cell r="B554" t="str">
            <v>角钢护脚</v>
          </cell>
          <cell r="C554">
            <v>7.2840224999999998</v>
          </cell>
          <cell r="J554">
            <v>6.5</v>
          </cell>
        </row>
        <row r="555">
          <cell r="A555" t="str">
            <v>H400×4.5t CPJA</v>
          </cell>
          <cell r="B555" t="str">
            <v>CPJ 护脚A</v>
          </cell>
          <cell r="C555">
            <v>6.3935777250000001</v>
          </cell>
          <cell r="J555">
            <v>7.1947197607580504</v>
          </cell>
        </row>
        <row r="556">
          <cell r="A556" t="str">
            <v>H400×4.5t CPJB</v>
          </cell>
          <cell r="B556" t="str">
            <v>CPJ 护脚B</v>
          </cell>
          <cell r="C556">
            <v>5.3264801249999998</v>
          </cell>
          <cell r="J556">
            <v>8.0728734531793602</v>
          </cell>
        </row>
        <row r="557">
          <cell r="A557" t="str">
            <v>H500×φ76×2.0</v>
          </cell>
          <cell r="B557" t="str">
            <v>圆管护脚</v>
          </cell>
          <cell r="C557">
            <v>2.7081249999999999</v>
          </cell>
          <cell r="J557">
            <v>7.5</v>
          </cell>
        </row>
        <row r="564">
          <cell r="A564" t="str">
            <v>钢层板筋的惯性矩及米重</v>
          </cell>
        </row>
        <row r="565">
          <cell r="A565" t="str">
            <v>厚度</v>
          </cell>
          <cell r="B565">
            <v>0.6</v>
          </cell>
          <cell r="D565">
            <v>0.7</v>
          </cell>
          <cell r="F565">
            <v>0.8</v>
          </cell>
          <cell r="H565">
            <v>1</v>
          </cell>
          <cell r="J565">
            <v>1.2</v>
          </cell>
          <cell r="N565" t="str">
            <v>横梁</v>
          </cell>
          <cell r="O565" t="str">
            <v>层板D</v>
          </cell>
          <cell r="P565" t="str">
            <v>H</v>
          </cell>
        </row>
        <row r="566">
          <cell r="A566" t="str">
            <v>筋高</v>
          </cell>
          <cell r="B566" t="str">
            <v>I</v>
          </cell>
          <cell r="C566" t="str">
            <v>kg/m</v>
          </cell>
          <cell r="D566" t="str">
            <v>I</v>
          </cell>
          <cell r="E566" t="str">
            <v>kg/m</v>
          </cell>
          <cell r="F566" t="str">
            <v>I</v>
          </cell>
          <cell r="G566" t="str">
            <v>kg/m</v>
          </cell>
          <cell r="H566" t="str">
            <v>I</v>
          </cell>
          <cell r="I566" t="str">
            <v>kg/m</v>
          </cell>
          <cell r="J566" t="str">
            <v>I</v>
          </cell>
          <cell r="K566" t="str">
            <v>kg/m</v>
          </cell>
          <cell r="N566" t="str">
            <v xml:space="preserve">P60*40  </v>
          </cell>
          <cell r="O566">
            <v>-40</v>
          </cell>
          <cell r="P566">
            <v>28</v>
          </cell>
        </row>
        <row r="567">
          <cell r="A567">
            <v>20</v>
          </cell>
          <cell r="B567">
            <v>0.45</v>
          </cell>
          <cell r="F567">
            <v>0.6</v>
          </cell>
          <cell r="L567">
            <v>20</v>
          </cell>
          <cell r="N567" t="str">
            <v xml:space="preserve">P60*40  </v>
          </cell>
          <cell r="O567">
            <v>-40</v>
          </cell>
          <cell r="P567">
            <v>28</v>
          </cell>
        </row>
        <row r="568">
          <cell r="A568">
            <v>24</v>
          </cell>
          <cell r="B568">
            <v>0.54</v>
          </cell>
          <cell r="D568">
            <v>0.63</v>
          </cell>
          <cell r="E568">
            <v>0.54</v>
          </cell>
          <cell r="L568">
            <v>25</v>
          </cell>
          <cell r="N568" t="str">
            <v>P80*50</v>
          </cell>
          <cell r="O568">
            <v>-50</v>
          </cell>
          <cell r="P568">
            <v>28</v>
          </cell>
        </row>
        <row r="569">
          <cell r="A569">
            <v>27</v>
          </cell>
          <cell r="B569">
            <v>0.71</v>
          </cell>
          <cell r="D569">
            <v>0.83</v>
          </cell>
          <cell r="E569">
            <v>0.57199999999999995</v>
          </cell>
          <cell r="F569">
            <v>0.94</v>
          </cell>
          <cell r="G569">
            <v>0.64700000000000002</v>
          </cell>
          <cell r="H569">
            <v>1.1399999999999999</v>
          </cell>
          <cell r="I569">
            <v>0.80100000000000005</v>
          </cell>
          <cell r="J569">
            <v>1.32</v>
          </cell>
          <cell r="K569">
            <v>0.94199999999999995</v>
          </cell>
          <cell r="L569">
            <v>28</v>
          </cell>
          <cell r="N569" t="str">
            <v>P80*50</v>
          </cell>
          <cell r="O569">
            <v>-50</v>
          </cell>
          <cell r="P569">
            <v>28</v>
          </cell>
        </row>
        <row r="570">
          <cell r="A570">
            <v>29</v>
          </cell>
          <cell r="B570">
            <v>0.84</v>
          </cell>
          <cell r="D570">
            <v>0.98</v>
          </cell>
          <cell r="E570">
            <v>0.59399999999999997</v>
          </cell>
          <cell r="F570">
            <v>1.1100000000000001</v>
          </cell>
          <cell r="G570">
            <v>0.67200000000000004</v>
          </cell>
          <cell r="H570">
            <v>1.34</v>
          </cell>
          <cell r="I570">
            <v>0.83299999999999996</v>
          </cell>
          <cell r="J570">
            <v>1.57</v>
          </cell>
          <cell r="K570">
            <v>0.98</v>
          </cell>
          <cell r="L570">
            <v>30</v>
          </cell>
          <cell r="N570" t="str">
            <v>PY</v>
          </cell>
          <cell r="O570">
            <v>-60</v>
          </cell>
          <cell r="P570">
            <v>40</v>
          </cell>
        </row>
        <row r="571">
          <cell r="A571">
            <v>39</v>
          </cell>
          <cell r="B571">
            <v>2.16</v>
          </cell>
          <cell r="D571">
            <v>2.52</v>
          </cell>
          <cell r="E571">
            <v>0.81899999999999995</v>
          </cell>
          <cell r="F571">
            <v>2.85</v>
          </cell>
          <cell r="G571">
            <v>0.93</v>
          </cell>
          <cell r="H571">
            <v>3.48</v>
          </cell>
          <cell r="I571">
            <v>1.1539999999999999</v>
          </cell>
          <cell r="J571">
            <v>4.09</v>
          </cell>
          <cell r="K571">
            <v>1.3660000000000001</v>
          </cell>
          <cell r="L571">
            <v>40</v>
          </cell>
        </row>
        <row r="574">
          <cell r="A574" t="str">
            <v>组合</v>
          </cell>
          <cell r="B574" t="str">
            <v>惯性矩I</v>
          </cell>
        </row>
        <row r="575">
          <cell r="A575" t="str">
            <v>20-0.6</v>
          </cell>
          <cell r="B575">
            <v>0.45</v>
          </cell>
        </row>
        <row r="576">
          <cell r="A576" t="str">
            <v>25-0.6</v>
          </cell>
          <cell r="B576">
            <v>0.54</v>
          </cell>
        </row>
        <row r="577">
          <cell r="A577" t="str">
            <v>28-0.6</v>
          </cell>
          <cell r="B577">
            <v>0.71</v>
          </cell>
        </row>
        <row r="578">
          <cell r="A578" t="str">
            <v>30-0.6</v>
          </cell>
          <cell r="B578">
            <v>0.84</v>
          </cell>
        </row>
        <row r="579">
          <cell r="A579" t="str">
            <v>40-0.6</v>
          </cell>
          <cell r="B579">
            <v>2.16</v>
          </cell>
        </row>
        <row r="580">
          <cell r="A580" t="str">
            <v>25-0.7</v>
          </cell>
          <cell r="B580">
            <v>0.63</v>
          </cell>
          <cell r="C580">
            <v>0.54</v>
          </cell>
        </row>
        <row r="581">
          <cell r="A581" t="str">
            <v>28-0.7</v>
          </cell>
          <cell r="B581">
            <v>0.83</v>
          </cell>
          <cell r="C581">
            <v>0.57199999999999995</v>
          </cell>
        </row>
        <row r="582">
          <cell r="A582" t="str">
            <v>30-0.7</v>
          </cell>
          <cell r="B582">
            <v>0.98</v>
          </cell>
          <cell r="C582">
            <v>0.59399999999999997</v>
          </cell>
        </row>
        <row r="583">
          <cell r="A583" t="str">
            <v>40-0.7</v>
          </cell>
          <cell r="B583">
            <v>2.52</v>
          </cell>
          <cell r="C583">
            <v>0.81899999999999995</v>
          </cell>
        </row>
        <row r="584">
          <cell r="A584" t="str">
            <v>20-0.8</v>
          </cell>
          <cell r="B584">
            <v>0.6</v>
          </cell>
        </row>
        <row r="585">
          <cell r="A585" t="str">
            <v>28-0.8</v>
          </cell>
          <cell r="B585">
            <v>0.94</v>
          </cell>
          <cell r="C585">
            <v>0.64700000000000002</v>
          </cell>
        </row>
        <row r="586">
          <cell r="A586" t="str">
            <v>30-0.8</v>
          </cell>
          <cell r="B586">
            <v>1.1100000000000001</v>
          </cell>
          <cell r="C586">
            <v>0.67200000000000004</v>
          </cell>
        </row>
        <row r="587">
          <cell r="A587" t="str">
            <v>40-0.8</v>
          </cell>
          <cell r="B587">
            <v>2.85</v>
          </cell>
          <cell r="C587">
            <v>0.93</v>
          </cell>
        </row>
        <row r="588">
          <cell r="A588" t="str">
            <v>28-1</v>
          </cell>
          <cell r="B588">
            <v>1.1399999999999999</v>
          </cell>
          <cell r="C588">
            <v>0.80100000000000005</v>
          </cell>
        </row>
        <row r="589">
          <cell r="A589" t="str">
            <v>30-1</v>
          </cell>
          <cell r="B589">
            <v>1.34</v>
          </cell>
          <cell r="C589">
            <v>0.83299999999999996</v>
          </cell>
        </row>
        <row r="590">
          <cell r="A590" t="str">
            <v>40-1</v>
          </cell>
          <cell r="B590">
            <v>3.48</v>
          </cell>
          <cell r="C590">
            <v>1.1539999999999999</v>
          </cell>
        </row>
        <row r="591">
          <cell r="A591" t="str">
            <v>28-1.2</v>
          </cell>
          <cell r="B591">
            <v>1.32</v>
          </cell>
          <cell r="C591">
            <v>0.94199999999999995</v>
          </cell>
        </row>
        <row r="592">
          <cell r="A592" t="str">
            <v>30-1.2</v>
          </cell>
          <cell r="B592">
            <v>1.57</v>
          </cell>
          <cell r="C592">
            <v>0.98</v>
          </cell>
        </row>
        <row r="593">
          <cell r="A593" t="str">
            <v>40-1.2</v>
          </cell>
          <cell r="B593">
            <v>4.09</v>
          </cell>
          <cell r="C593">
            <v>1.3660000000000001</v>
          </cell>
        </row>
        <row r="596">
          <cell r="A596" t="str">
            <v>方管</v>
          </cell>
        </row>
        <row r="597">
          <cell r="A597" t="str">
            <v>F30</v>
          </cell>
          <cell r="D597">
            <v>0.12</v>
          </cell>
          <cell r="G597">
            <v>120</v>
          </cell>
          <cell r="H597">
            <v>30</v>
          </cell>
          <cell r="I597">
            <v>30</v>
          </cell>
        </row>
        <row r="598">
          <cell r="A598" t="str">
            <v>F40</v>
          </cell>
          <cell r="D598">
            <v>0.16</v>
          </cell>
          <cell r="G598">
            <v>160</v>
          </cell>
          <cell r="H598">
            <v>40</v>
          </cell>
          <cell r="I598">
            <v>40</v>
          </cell>
        </row>
        <row r="599">
          <cell r="A599" t="str">
            <v>F100</v>
          </cell>
          <cell r="C599">
            <v>9.1373999999999995</v>
          </cell>
          <cell r="D599">
            <v>0.4</v>
          </cell>
          <cell r="F599">
            <v>3</v>
          </cell>
          <cell r="G599">
            <v>388</v>
          </cell>
          <cell r="H599">
            <v>100</v>
          </cell>
          <cell r="I599">
            <v>100</v>
          </cell>
          <cell r="L599">
            <v>0.95</v>
          </cell>
          <cell r="M599">
            <v>2.2999999999999998</v>
          </cell>
          <cell r="O599">
            <v>2.2000000000000002</v>
          </cell>
        </row>
        <row r="600">
          <cell r="A600" t="str">
            <v>F100</v>
          </cell>
          <cell r="C600">
            <v>12.057600000000001</v>
          </cell>
          <cell r="D600">
            <v>0.4</v>
          </cell>
          <cell r="F600">
            <v>4</v>
          </cell>
          <cell r="G600">
            <v>384</v>
          </cell>
          <cell r="H600">
            <v>100</v>
          </cell>
          <cell r="I600">
            <v>100</v>
          </cell>
          <cell r="L600">
            <v>0.95</v>
          </cell>
          <cell r="M600">
            <v>2.2999999999999998</v>
          </cell>
          <cell r="O600">
            <v>2.2000000000000002</v>
          </cell>
        </row>
        <row r="601">
          <cell r="A601" t="str">
            <v>F120</v>
          </cell>
          <cell r="C601">
            <v>11.0214</v>
          </cell>
          <cell r="D601">
            <v>0.48</v>
          </cell>
          <cell r="F601">
            <v>3</v>
          </cell>
          <cell r="G601">
            <v>468</v>
          </cell>
          <cell r="H601">
            <v>120</v>
          </cell>
          <cell r="I601">
            <v>120</v>
          </cell>
          <cell r="L601">
            <v>0.95</v>
          </cell>
          <cell r="M601">
            <v>2.2999999999999998</v>
          </cell>
          <cell r="O601">
            <v>2.2000000000000002</v>
          </cell>
        </row>
        <row r="602">
          <cell r="A602" t="str">
            <v>F120</v>
          </cell>
          <cell r="C602">
            <v>14.569599999999999</v>
          </cell>
          <cell r="D602">
            <v>0.48</v>
          </cell>
          <cell r="F602">
            <v>4</v>
          </cell>
          <cell r="G602">
            <v>464</v>
          </cell>
          <cell r="H602">
            <v>120</v>
          </cell>
          <cell r="I602">
            <v>120</v>
          </cell>
          <cell r="L602">
            <v>0.95</v>
          </cell>
          <cell r="M602">
            <v>2.2999999999999998</v>
          </cell>
          <cell r="O602">
            <v>2.2000000000000002</v>
          </cell>
        </row>
        <row r="603">
          <cell r="A603" t="str">
            <v>F150</v>
          </cell>
          <cell r="C603">
            <v>18.337599999999998</v>
          </cell>
          <cell r="D603">
            <v>0.6</v>
          </cell>
          <cell r="F603">
            <v>4</v>
          </cell>
          <cell r="G603">
            <v>584</v>
          </cell>
          <cell r="H603">
            <v>150</v>
          </cell>
          <cell r="I603">
            <v>150</v>
          </cell>
          <cell r="L603">
            <v>0.95</v>
          </cell>
          <cell r="M603">
            <v>2.2999999999999998</v>
          </cell>
          <cell r="O603">
            <v>2.2000000000000002</v>
          </cell>
        </row>
        <row r="604">
          <cell r="A604" t="str">
            <v>F150</v>
          </cell>
          <cell r="C604">
            <v>22.765000000000001</v>
          </cell>
          <cell r="D604">
            <v>0.6</v>
          </cell>
          <cell r="F604">
            <v>5</v>
          </cell>
          <cell r="G604">
            <v>580</v>
          </cell>
          <cell r="H604">
            <v>150</v>
          </cell>
          <cell r="I604">
            <v>150</v>
          </cell>
          <cell r="L604">
            <v>0.95</v>
          </cell>
          <cell r="M604">
            <v>2.2999999999999998</v>
          </cell>
          <cell r="O604">
            <v>2.2000000000000002</v>
          </cell>
        </row>
        <row r="605">
          <cell r="A605" t="str">
            <v>F180</v>
          </cell>
          <cell r="C605">
            <v>22.105599999999999</v>
          </cell>
          <cell r="D605">
            <v>0.72</v>
          </cell>
          <cell r="F605">
            <v>4</v>
          </cell>
          <cell r="G605">
            <v>704</v>
          </cell>
          <cell r="H605">
            <v>180</v>
          </cell>
          <cell r="I605">
            <v>180</v>
          </cell>
          <cell r="L605">
            <v>0.95</v>
          </cell>
          <cell r="M605">
            <v>2.2999999999999998</v>
          </cell>
          <cell r="O605">
            <v>2.2000000000000002</v>
          </cell>
        </row>
        <row r="606">
          <cell r="A606" t="str">
            <v>F180</v>
          </cell>
          <cell r="C606">
            <v>27.475000000000001</v>
          </cell>
          <cell r="D606">
            <v>0.72</v>
          </cell>
          <cell r="F606">
            <v>5</v>
          </cell>
          <cell r="G606">
            <v>700</v>
          </cell>
          <cell r="H606">
            <v>180</v>
          </cell>
          <cell r="I606">
            <v>180</v>
          </cell>
          <cell r="L606">
            <v>0.95</v>
          </cell>
          <cell r="M606">
            <v>2.2999999999999998</v>
          </cell>
          <cell r="O606">
            <v>2.2000000000000002</v>
          </cell>
        </row>
        <row r="607">
          <cell r="A607" t="str">
            <v>F200</v>
          </cell>
          <cell r="C607">
            <v>24.617599999999999</v>
          </cell>
          <cell r="D607">
            <v>0.8</v>
          </cell>
          <cell r="F607">
            <v>4</v>
          </cell>
          <cell r="G607">
            <v>784</v>
          </cell>
          <cell r="H607">
            <v>200</v>
          </cell>
          <cell r="I607">
            <v>200</v>
          </cell>
          <cell r="L607">
            <v>0.95</v>
          </cell>
          <cell r="M607">
            <v>2.2999999999999998</v>
          </cell>
          <cell r="O607">
            <v>2.2000000000000002</v>
          </cell>
        </row>
        <row r="608">
          <cell r="A608" t="str">
            <v>F200</v>
          </cell>
          <cell r="C608">
            <v>30.614999999999998</v>
          </cell>
          <cell r="D608">
            <v>0.8</v>
          </cell>
          <cell r="F608">
            <v>5</v>
          </cell>
          <cell r="G608">
            <v>780</v>
          </cell>
          <cell r="H608">
            <v>200</v>
          </cell>
          <cell r="I608">
            <v>200</v>
          </cell>
          <cell r="L608">
            <v>0.95</v>
          </cell>
          <cell r="M608">
            <v>2.2999999999999998</v>
          </cell>
          <cell r="O608">
            <v>2.2000000000000002</v>
          </cell>
        </row>
        <row r="609">
          <cell r="A609" t="str">
            <v>F200</v>
          </cell>
          <cell r="C609">
            <v>36.549599999999998</v>
          </cell>
          <cell r="D609">
            <v>0.8</v>
          </cell>
          <cell r="F609">
            <v>6</v>
          </cell>
          <cell r="G609">
            <v>776</v>
          </cell>
          <cell r="H609">
            <v>200</v>
          </cell>
          <cell r="I609">
            <v>200</v>
          </cell>
          <cell r="L609">
            <v>0.95</v>
          </cell>
          <cell r="M609">
            <v>2.2999999999999998</v>
          </cell>
          <cell r="O609">
            <v>2.2000000000000002</v>
          </cell>
        </row>
        <row r="610">
          <cell r="A610" t="str">
            <v>F250</v>
          </cell>
          <cell r="C610">
            <v>30.897600000000001</v>
          </cell>
          <cell r="D610">
            <v>1</v>
          </cell>
          <cell r="F610">
            <v>4</v>
          </cell>
          <cell r="G610">
            <v>984</v>
          </cell>
          <cell r="H610">
            <v>250</v>
          </cell>
          <cell r="I610">
            <v>250</v>
          </cell>
          <cell r="L610">
            <v>0.95</v>
          </cell>
          <cell r="M610">
            <v>2.2999999999999998</v>
          </cell>
          <cell r="O610">
            <v>2.2000000000000002</v>
          </cell>
        </row>
        <row r="611">
          <cell r="A611" t="str">
            <v>F250</v>
          </cell>
          <cell r="C611">
            <v>38.465000000000003</v>
          </cell>
          <cell r="D611">
            <v>1</v>
          </cell>
          <cell r="F611">
            <v>5</v>
          </cell>
          <cell r="G611">
            <v>980</v>
          </cell>
          <cell r="H611">
            <v>250</v>
          </cell>
          <cell r="I611">
            <v>250</v>
          </cell>
          <cell r="L611">
            <v>0.95</v>
          </cell>
          <cell r="M611">
            <v>2.2999999999999998</v>
          </cell>
          <cell r="O611">
            <v>2.2000000000000002</v>
          </cell>
        </row>
        <row r="612">
          <cell r="A612" t="str">
            <v>F250</v>
          </cell>
          <cell r="C612">
            <v>45.9696</v>
          </cell>
          <cell r="D612">
            <v>1</v>
          </cell>
          <cell r="F612">
            <v>6</v>
          </cell>
          <cell r="G612">
            <v>976</v>
          </cell>
          <cell r="H612">
            <v>250</v>
          </cell>
          <cell r="I612">
            <v>250</v>
          </cell>
          <cell r="L612">
            <v>0.95</v>
          </cell>
          <cell r="M612">
            <v>2.2999999999999998</v>
          </cell>
          <cell r="O612">
            <v>2.2000000000000002</v>
          </cell>
        </row>
        <row r="613">
          <cell r="A613" t="str">
            <v>F300</v>
          </cell>
          <cell r="C613">
            <v>37.177599999999998</v>
          </cell>
          <cell r="D613">
            <v>1.2</v>
          </cell>
          <cell r="F613">
            <v>4</v>
          </cell>
          <cell r="G613">
            <v>1184</v>
          </cell>
          <cell r="H613">
            <v>300</v>
          </cell>
          <cell r="I613">
            <v>300</v>
          </cell>
          <cell r="L613">
            <v>0.95</v>
          </cell>
          <cell r="M613">
            <v>2.2999999999999998</v>
          </cell>
          <cell r="O613">
            <v>2.2000000000000002</v>
          </cell>
        </row>
        <row r="614">
          <cell r="A614" t="str">
            <v>F300</v>
          </cell>
          <cell r="C614">
            <v>46.314999999999998</v>
          </cell>
          <cell r="D614">
            <v>1.2</v>
          </cell>
          <cell r="F614">
            <v>5</v>
          </cell>
          <cell r="G614">
            <v>1180</v>
          </cell>
          <cell r="H614">
            <v>300</v>
          </cell>
          <cell r="I614">
            <v>300</v>
          </cell>
          <cell r="L614">
            <v>0.95</v>
          </cell>
          <cell r="M614">
            <v>2.2999999999999998</v>
          </cell>
          <cell r="O614">
            <v>2.2000000000000002</v>
          </cell>
        </row>
        <row r="615">
          <cell r="A615" t="str">
            <v>F300</v>
          </cell>
          <cell r="C615">
            <v>55.389600000000002</v>
          </cell>
          <cell r="D615">
            <v>1.2</v>
          </cell>
          <cell r="F615">
            <v>6</v>
          </cell>
          <cell r="G615">
            <v>1176</v>
          </cell>
          <cell r="H615">
            <v>300</v>
          </cell>
          <cell r="I615">
            <v>300</v>
          </cell>
          <cell r="L615">
            <v>0.95</v>
          </cell>
          <cell r="M615">
            <v>2.2999999999999998</v>
          </cell>
          <cell r="O615">
            <v>2.2000000000000002</v>
          </cell>
        </row>
        <row r="617">
          <cell r="A617" t="str">
            <v>以下自由编辑区</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客户清单"/>
    </sheetNames>
    <sheetDataSet>
      <sheetData sheetId="0">
        <row r="1">
          <cell r="A1" t="str">
            <v>国家</v>
          </cell>
          <cell r="B1" t="str">
            <v>客户</v>
          </cell>
          <cell r="C1" t="str">
            <v>客户代码</v>
          </cell>
          <cell r="D1" t="str">
            <v>Contact:</v>
          </cell>
          <cell r="E1" t="str">
            <v>客户特殊要求</v>
          </cell>
          <cell r="P1" t="str">
            <v>堡力思联系人</v>
          </cell>
          <cell r="Q1" t="str">
            <v>堡力思邮箱</v>
          </cell>
          <cell r="S1" t="str">
            <v>中文</v>
          </cell>
          <cell r="T1" t="str">
            <v>英文</v>
          </cell>
          <cell r="U1" t="str">
            <v>中文</v>
          </cell>
        </row>
        <row r="2">
          <cell r="A2" t="str">
            <v>印尼</v>
          </cell>
          <cell r="B2" t="str">
            <v>ALNIFF Indonesia</v>
          </cell>
          <cell r="C2" t="str">
            <v>IDA</v>
          </cell>
          <cell r="D2" t="str">
            <v>Eric</v>
          </cell>
        </row>
        <row r="3">
          <cell r="A3" t="str">
            <v>新加坡</v>
          </cell>
          <cell r="B3" t="str">
            <v>ALNIFF Singapore</v>
          </cell>
          <cell r="C3" t="str">
            <v>SGA</v>
          </cell>
          <cell r="D3" t="str">
            <v>Joseph</v>
          </cell>
          <cell r="E3" t="str">
            <v>1.90立柱特殊尺寸（正面孔50），一般用90*70*2.0，喷塑
2.横斜撑24*40*1.2
3.中型货架使用60*50立柱
4. 6m以下H2底板
5.楼板、成本需要喷塑
6.悬臂立柱和底座一般喷塑
7.重型货架用内膨胀螺栓M10*65</v>
          </cell>
        </row>
        <row r="4">
          <cell r="A4" t="str">
            <v>新加坡</v>
          </cell>
          <cell r="B4" t="str">
            <v>Integral Powerlift Pte Ltd</v>
          </cell>
          <cell r="C4" t="str">
            <v>IPJ</v>
          </cell>
          <cell r="E4" t="str">
            <v>1.防撞栏、护脚用橘色，一般不用黄色
2.横斜撑一般24*40*1.2</v>
          </cell>
        </row>
        <row r="5">
          <cell r="A5" t="str">
            <v>菲律宾</v>
          </cell>
          <cell r="B5" t="str">
            <v>SSIS</v>
          </cell>
          <cell r="C5" t="str">
            <v>SSS</v>
          </cell>
          <cell r="D5" t="str">
            <v>Victor</v>
          </cell>
          <cell r="E5" t="str">
            <v>1.90立柱特殊尺寸（正面孔50），一般用90*70*2.0，喷塑
2.横斜撑24*40*1.2
3. 6m以下H2底板</v>
          </cell>
        </row>
        <row r="6">
          <cell r="A6" t="str">
            <v>卡塔尔</v>
          </cell>
          <cell r="B6" t="str">
            <v>FTC Qatar W.LL</v>
          </cell>
          <cell r="C6" t="str">
            <v>FTC</v>
          </cell>
          <cell r="D6" t="str">
            <v>Ibrahim Al Fil/Subramanian</v>
          </cell>
          <cell r="E6" t="str">
            <v>1.立柱喷塑，横斜撑预镀锌，脚底板喷塑
2.横斜撑一般24*40*1.2，预镀锌
3.驶入式货架使用U型地轨，以及较坚固的护脚。</v>
          </cell>
        </row>
        <row r="7">
          <cell r="A7" t="str">
            <v>黎巴嫩</v>
          </cell>
          <cell r="B7" t="str">
            <v>FTC Lebanon</v>
          </cell>
          <cell r="C7" t="str">
            <v>FTC</v>
          </cell>
          <cell r="D7" t="str">
            <v>Caren Hakim</v>
          </cell>
          <cell r="E7" t="str">
            <v>1.立柱喷塑，横斜撑预镀锌，脚底板喷塑
2.横斜撑一般35*24*1.4，预镀锌
3.底板用H4</v>
          </cell>
        </row>
        <row r="8">
          <cell r="A8" t="str">
            <v>新西兰</v>
          </cell>
          <cell r="B8" t="str">
            <v>Capital Racking Ltd</v>
          </cell>
          <cell r="C8" t="str">
            <v>CPJ</v>
          </cell>
          <cell r="D8" t="str">
            <v>Fraser/Chad</v>
          </cell>
          <cell r="E8" t="str">
            <v>1.横斜撑40*24*1.5mm；
2.脚底板特制，并镀锌
3.脚底板不配膨胀螺栓。
4.立柱使用Q355 材料
5. 特殊柱卡
6.76.2节距
7.重型悬臂货架用焊接式底座
8.立柱和横梁都需要字码
9.横梁配弹簧销</v>
          </cell>
        </row>
        <row r="9">
          <cell r="A9" t="str">
            <v>英国</v>
          </cell>
          <cell r="B9" t="str">
            <v>Stamina</v>
          </cell>
          <cell r="C9" t="str">
            <v>SHJ</v>
          </cell>
          <cell r="E9" t="str">
            <v>1. 特殊防撞栏和护脚，高度400，
2.横斜撑用24*35*1.4
3.预镀锌立柱和横斜撑
4.分段规格2850, 3450, 4650. 5850 and 6450
5.立柱对接件用焊接一体式
6. 立柱需要打字码，以及厚度区分字码</v>
          </cell>
        </row>
        <row r="10">
          <cell r="A10" t="str">
            <v>洪都拉斯</v>
          </cell>
          <cell r="B10" t="str">
            <v>Dura rack</v>
          </cell>
          <cell r="C10" t="str">
            <v>MHJ</v>
          </cell>
          <cell r="D10" t="str">
            <v>Daniel, Suyapa</v>
          </cell>
          <cell r="E10" t="str">
            <v>1. 脚底板统一镀锌
2.6m以下用H2底板
3.立柱和横梁都需要字码
4. 护脚为定制</v>
          </cell>
        </row>
        <row r="11">
          <cell r="A11"/>
          <cell r="B11" t="str">
            <v>johnkumbluvelil@gmail.com</v>
          </cell>
          <cell r="C11"/>
          <cell r="D11"/>
          <cell r="E11"/>
        </row>
        <row r="12">
          <cell r="A12" t="str">
            <v>印度</v>
          </cell>
          <cell r="B12" t="str">
            <v>BEYOND RETAIL SOLUTION</v>
          </cell>
          <cell r="C12" t="str">
            <v>RDJ</v>
          </cell>
          <cell r="D12" t="str">
            <v>Prakash ji</v>
          </cell>
          <cell r="E12" t="str">
            <v>1.W2700,承载2吨，用110*50*1.5，不用100*50*1.5
2.提醒请客户技术检查截面和厚度
3.通道拉不用立柱形式，矩管需要套材，K抱梁与项目横梁一致
4.护脚用角钢焊接底板
5.特殊客户的P型梁需要打孔（有前挡网）</v>
          </cell>
        </row>
        <row r="13">
          <cell r="A13" t="str">
            <v>泰国</v>
          </cell>
          <cell r="B13" t="str">
            <v>CHENG HUA (Thailand) Co., Ltd.</v>
          </cell>
          <cell r="C13"/>
          <cell r="D13" t="str">
            <v>Armstrong</v>
          </cell>
          <cell r="E13"/>
        </row>
        <row r="14">
          <cell r="A14"/>
          <cell r="B14" t="str">
            <v>张君杰</v>
          </cell>
          <cell r="C14"/>
          <cell r="D14" t="str">
            <v>张君杰</v>
          </cell>
          <cell r="E14"/>
        </row>
        <row r="15">
          <cell r="A15" t="str">
            <v>菲律宾</v>
          </cell>
          <cell r="B15" t="str">
            <v>MRC</v>
          </cell>
          <cell r="C15" t="str">
            <v>MRC</v>
          </cell>
          <cell r="D15" t="str">
            <v>Tania</v>
          </cell>
          <cell r="E15" t="str">
            <v>1.用90H4脚底板
2.库存90*70*2.0，横斜撑35*24*1.4
3.网层板筋厚1.8mm</v>
          </cell>
        </row>
        <row r="16">
          <cell r="A16" t="str">
            <v>墨西哥</v>
          </cell>
          <cell r="B16" t="str">
            <v>Power Trade</v>
          </cell>
          <cell r="C16" t="str">
            <v>PTJ</v>
          </cell>
          <cell r="D16" t="str">
            <v>Miguel Castillo</v>
          </cell>
          <cell r="E16"/>
        </row>
        <row r="17">
          <cell r="A17"/>
          <cell r="B17" t="str">
            <v>SYNERGY</v>
          </cell>
          <cell r="C17"/>
          <cell r="D17" t="str">
            <v>Jose Juan Sanchez</v>
          </cell>
          <cell r="E17"/>
        </row>
        <row r="18">
          <cell r="A18"/>
          <cell r="B18" t="str">
            <v>MEIR ANTEBI</v>
          </cell>
          <cell r="C18"/>
          <cell r="D18" t="str">
            <v>Confecciones Turkimex da de cv</v>
          </cell>
          <cell r="E18"/>
        </row>
        <row r="19">
          <cell r="A19"/>
          <cell r="B19" t="str">
            <v>UB bio Ltd</v>
          </cell>
          <cell r="C19"/>
          <cell r="D19" t="str">
            <v>Dan Jin</v>
          </cell>
          <cell r="E19"/>
        </row>
        <row r="20">
          <cell r="A20" t="str">
            <v>新西兰</v>
          </cell>
          <cell r="B20" t="str">
            <v>VINOX</v>
          </cell>
          <cell r="C20" t="str">
            <v>NZS</v>
          </cell>
          <cell r="D20" t="str">
            <v>Victor</v>
          </cell>
          <cell r="E20" t="str">
            <v xml:space="preserve">1.柱片和横斜撑用预镀锌，横斜撑用24*35*1.4
2.脚底板不配膨胀螺栓。
3.76.2节距
4.隔撑用矩管
</v>
          </cell>
        </row>
        <row r="21">
          <cell r="B21" t="str">
            <v>SPK Trading &amp; Consulting</v>
          </cell>
          <cell r="D21" t="str">
            <v>Mr. S P Kohli</v>
          </cell>
          <cell r="E21" t="str">
            <v>spk4africa@gmail.com(</v>
          </cell>
        </row>
        <row r="22">
          <cell r="B22" t="str">
            <v>BALVIKA</v>
          </cell>
          <cell r="C22" t="str">
            <v>BALVIKA</v>
          </cell>
        </row>
        <row r="23">
          <cell r="B23" t="str">
            <v>Farjallah</v>
          </cell>
          <cell r="C23" t="str">
            <v>Farjallah</v>
          </cell>
          <cell r="D23" t="str">
            <v>Fouad</v>
          </cell>
        </row>
        <row r="24">
          <cell r="B24" t="str">
            <v>King of Decoration Est</v>
          </cell>
          <cell r="C24" t="str">
            <v>KDJ</v>
          </cell>
          <cell r="D24" t="str">
            <v>AHMED YAHYA SALEH AL-ZABIDI</v>
          </cell>
        </row>
      </sheetData>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连接1" refreshOnLoad="1" connectionId="2" xr16:uid="{00000000-0016-0000-0800-000000000000}" autoFormatId="16" applyNumberFormats="0" applyBorderFormats="0" applyFontFormats="1" applyPatternFormats="1" applyAlignmentFormats="0" applyWidthHeightFormats="0">
  <queryTableRefresh preserveSortFilterLayout="0" nextId="9">
    <queryTableFields count="8">
      <queryTableField id="1" dataBound="0"/>
      <queryTableField id="2" dataBound="0"/>
      <queryTableField id="3" dataBound="0"/>
      <queryTableField id="4" dataBound="0"/>
      <queryTableField id="5" dataBound="0"/>
      <queryTableField id="6" dataBound="0"/>
      <queryTableField id="7" dataBound="0"/>
      <queryTableField id="8" dataBound="0"/>
    </queryTableFields>
  </queryTableRefresh>
</queryTable>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表_2" displayName="表_2" ref="Y4:AF5" totalsRowShown="0">
  <autoFilter ref="Y4:AF5" xr:uid="{00000000-0009-0000-0100-000004000000}"/>
  <tableColumns count="8">
    <tableColumn id="1" xr3:uid="{00000000-0010-0000-0000-000001000000}" name="货币名称" dataDxfId="11"/>
    <tableColumn id="2" xr3:uid="{00000000-0010-0000-0000-000002000000}" name="现汇买入价" dataDxfId="10"/>
    <tableColumn id="3" xr3:uid="{00000000-0010-0000-0000-000003000000}" name="现钞买入价" dataDxfId="9"/>
    <tableColumn id="4" xr3:uid="{00000000-0010-0000-0000-000004000000}" name="现汇卖出价" dataDxfId="8"/>
    <tableColumn id="5" xr3:uid="{00000000-0010-0000-0000-000005000000}" name="现钞卖出价" dataDxfId="7"/>
    <tableColumn id="6" xr3:uid="{00000000-0010-0000-0000-000006000000}" name="中行折算价" dataDxfId="6"/>
    <tableColumn id="7" xr3:uid="{00000000-0010-0000-0000-000007000000}" name="发布日期" dataDxfId="5"/>
    <tableColumn id="8" xr3:uid="{00000000-0010-0000-0000-000008000000}" name="发布时间" dataDxf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23458;&#25143;&#30456;&#20851;/&#35774;&#35745;&#22522;&#30784;&#25968;&#25454;20240903.xlsx" TargetMode="External"/><Relationship Id="rId1" Type="http://schemas.openxmlformats.org/officeDocument/2006/relationships/hyperlink" Target="&#23458;&#25143;&#30456;&#20851;/&#35774;&#35745;&#22522;&#30784;&#25968;&#25454;20240903.xlsx"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file:///D:\&#23458;&#25143;&#30456;&#20851;\&#35774;&#35745;&#22522;&#30784;&#25968;&#25454;20240903.xlsx" TargetMode="Externa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queryTable" Target="../queryTables/queryTable1.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tabColor rgb="FF92D050"/>
    <pageSetUpPr fitToPage="1"/>
  </sheetPr>
  <dimension ref="A1:X75"/>
  <sheetViews>
    <sheetView showGridLines="0" zoomScale="70" zoomScaleNormal="70" zoomScaleSheetLayoutView="70" workbookViewId="0">
      <selection activeCell="I2" sqref="I2"/>
    </sheetView>
  </sheetViews>
  <sheetFormatPr defaultColWidth="8.625" defaultRowHeight="15" outlineLevelRow="1" outlineLevelCol="1"/>
  <cols>
    <col min="1" max="1" width="7" style="115" customWidth="1"/>
    <col min="2" max="2" width="8.125" style="115" customWidth="1"/>
    <col min="3" max="4" width="27.125" style="115" customWidth="1"/>
    <col min="5" max="5" width="22.875" style="123" customWidth="1"/>
    <col min="6" max="6" width="36.875" style="123" customWidth="1"/>
    <col min="7" max="7" width="9" style="115" customWidth="1"/>
    <col min="8" max="8" width="10.625" style="115" customWidth="1"/>
    <col min="9" max="9" width="15.625" style="115" customWidth="1"/>
    <col min="10" max="10" width="19.5" style="115" hidden="1" customWidth="1"/>
    <col min="11" max="11" width="12.875" style="133" customWidth="1" outlineLevel="1"/>
    <col min="12" max="12" width="20.875" style="115" customWidth="1"/>
    <col min="13" max="13" width="23.125" style="115" customWidth="1"/>
    <col min="14" max="14" width="17.125" style="115" customWidth="1"/>
    <col min="15" max="15" width="19.75" style="115" customWidth="1"/>
    <col min="16" max="21" width="14.125" style="115" customWidth="1"/>
    <col min="22" max="22" width="16.375" style="115" customWidth="1"/>
    <col min="23" max="23" width="17.375" style="115" customWidth="1"/>
    <col min="24" max="24" width="14.125" style="115" customWidth="1"/>
    <col min="25" max="16384" width="8.625" style="115"/>
  </cols>
  <sheetData>
    <row r="1" spans="2:19">
      <c r="I1" s="751" t="s">
        <v>0</v>
      </c>
      <c r="L1" s="917" t="str">
        <f ca="1">"Boracs-"&amp;IFERROR(VLOOKUP(C8,客户清单!B:D,2,0),"-")&amp;"-"&amp;C10&amp;"-price list "&amp;RIGHT(YEAR(I9),2)&amp;TEXT(MONTH(I9),"00")&amp;TEXT(DAY(I9),"00")</f>
        <v>Boracs-IDA-Pallet racking-price list 260309</v>
      </c>
      <c r="M1" s="917"/>
      <c r="N1" s="114" t="s">
        <v>1</v>
      </c>
      <c r="O1" s="918" t="s">
        <v>2</v>
      </c>
      <c r="P1" s="918"/>
      <c r="Q1" s="854"/>
    </row>
    <row r="2" spans="2:19">
      <c r="I2" s="753" t="s">
        <v>3</v>
      </c>
      <c r="K2" s="115"/>
      <c r="M2" s="799" t="s">
        <v>4</v>
      </c>
      <c r="O2" s="920" t="s">
        <v>5</v>
      </c>
      <c r="P2" s="135" t="s">
        <v>6</v>
      </c>
      <c r="Q2" s="141" t="s">
        <v>7</v>
      </c>
      <c r="R2" s="141" t="s">
        <v>8</v>
      </c>
    </row>
    <row r="3" spans="2:19" ht="15" customHeight="1">
      <c r="I3" s="113" t="s">
        <v>9</v>
      </c>
      <c r="K3" s="115"/>
      <c r="M3" s="921" t="str">
        <f>IFERROR(VLOOKUP($C$8,客户清单!$B:$F,4,0),"-")</f>
        <v>1.90立柱特殊尺寸（正面孔50），一般用90*70*2.0，喷塑
2.横斜撑24*40*1.2
3.中型货架使用60*50立柱
4. 6m以下H2底板
5.楼板、层板需要喷塑
6.悬臂立柱和底座一般喷塑
7.重型货架用内膨胀螺栓M10*65, 横梁顶焊
8. 中型货架内膨胀螺栓用长度60mm</v>
      </c>
      <c r="N3" s="921"/>
      <c r="O3" s="920"/>
      <c r="P3" s="135" t="s">
        <v>10</v>
      </c>
      <c r="Q3" s="755">
        <f>SUM(报价辅助计算!AR:AR)</f>
        <v>0</v>
      </c>
      <c r="R3" s="755">
        <f>SUM(报价辅助计算!AS:AS)</f>
        <v>0</v>
      </c>
    </row>
    <row r="4" spans="2:19">
      <c r="H4" s="756"/>
      <c r="I4" s="113" t="s">
        <v>11</v>
      </c>
      <c r="K4" s="115"/>
      <c r="M4" s="921"/>
      <c r="N4" s="921"/>
      <c r="O4" s="920"/>
      <c r="P4" s="135" t="s">
        <v>12</v>
      </c>
      <c r="Q4" s="755" t="s">
        <v>13</v>
      </c>
      <c r="R4" s="755">
        <f>SUM(报价辅助计算!AT:AT)</f>
        <v>0</v>
      </c>
    </row>
    <row r="5" spans="2:19">
      <c r="H5" s="756"/>
      <c r="I5" s="113" t="s">
        <v>14</v>
      </c>
      <c r="K5" s="115"/>
      <c r="L5" s="171" t="s">
        <v>15</v>
      </c>
      <c r="M5" s="921"/>
      <c r="N5" s="921"/>
      <c r="O5" s="131"/>
      <c r="P5" s="135" t="s">
        <v>16</v>
      </c>
      <c r="Q5" s="755">
        <f>SUM(报价辅助计算!AU:AU)</f>
        <v>0</v>
      </c>
      <c r="R5" s="755">
        <f>SUM(报价辅助计算!AV:AV)</f>
        <v>0</v>
      </c>
    </row>
    <row r="6" spans="2:19">
      <c r="E6" s="757"/>
      <c r="F6" s="757"/>
      <c r="H6" s="756"/>
      <c r="I6" s="113" t="s">
        <v>17</v>
      </c>
      <c r="K6" s="115"/>
      <c r="L6" s="171" t="s">
        <v>18</v>
      </c>
      <c r="M6" s="921"/>
      <c r="N6" s="921"/>
      <c r="O6" s="920" t="s">
        <v>19</v>
      </c>
      <c r="P6" s="141" t="s">
        <v>20</v>
      </c>
      <c r="Q6" s="755" t="s">
        <v>13</v>
      </c>
      <c r="R6" s="755">
        <f>SUM(报价辅助计算!AW:AW)</f>
        <v>0</v>
      </c>
    </row>
    <row r="7" spans="2:19">
      <c r="E7" s="757"/>
      <c r="F7" s="757"/>
      <c r="H7" s="756"/>
      <c r="I7" s="113"/>
      <c r="K7" s="115"/>
      <c r="L7" s="131"/>
      <c r="M7" s="921"/>
      <c r="N7" s="921"/>
      <c r="O7" s="920"/>
      <c r="P7" s="135" t="s">
        <v>21</v>
      </c>
      <c r="Q7" s="755">
        <f>SUM(Q3:Q6)</f>
        <v>0</v>
      </c>
      <c r="R7" s="755">
        <f>SUM(R3:R6)</f>
        <v>0</v>
      </c>
    </row>
    <row r="8" spans="2:19">
      <c r="B8" s="855" t="s">
        <v>22</v>
      </c>
      <c r="C8" s="856" t="s">
        <v>23</v>
      </c>
      <c r="E8" s="759"/>
      <c r="F8" s="759"/>
      <c r="H8" s="756" t="s">
        <v>24</v>
      </c>
      <c r="I8" s="113" t="s">
        <v>25</v>
      </c>
      <c r="K8" s="115"/>
      <c r="L8" s="171" t="s">
        <v>26</v>
      </c>
      <c r="M8" s="921"/>
      <c r="N8" s="921"/>
      <c r="O8" s="920"/>
    </row>
    <row r="9" spans="2:19">
      <c r="B9" s="762" t="s">
        <v>24</v>
      </c>
      <c r="C9" s="856" t="str">
        <f>IFERROR(VLOOKUP(C8,客户清单!B:D,3,0),"-")</f>
        <v>Eric</v>
      </c>
      <c r="H9" s="756" t="s">
        <v>27</v>
      </c>
      <c r="I9" s="761">
        <f ca="1">TODAY()</f>
        <v>46090</v>
      </c>
      <c r="K9" s="115"/>
      <c r="L9" s="131"/>
      <c r="M9" s="921"/>
      <c r="N9" s="921"/>
      <c r="O9" s="754"/>
    </row>
    <row r="10" spans="2:19">
      <c r="B10" s="131" t="s">
        <v>28</v>
      </c>
      <c r="C10" s="856" t="s">
        <v>29</v>
      </c>
      <c r="H10" s="121" t="s">
        <v>30</v>
      </c>
      <c r="I10" s="808" t="str">
        <f>IF(R31=0,"EXW",IF(R30&lt;4050,"FOB Nanjing",IF(R30&gt;4050,"FOB Shanghai","请核对数据")))</f>
        <v>EXW</v>
      </c>
      <c r="K10" s="115"/>
      <c r="L10" s="171" t="s">
        <v>31</v>
      </c>
      <c r="M10" s="921"/>
      <c r="N10" s="921"/>
      <c r="O10" s="754"/>
    </row>
    <row r="11" spans="2:19" ht="33">
      <c r="B11" s="919" t="s">
        <v>32</v>
      </c>
      <c r="C11" s="919"/>
      <c r="D11" s="919"/>
      <c r="E11" s="919"/>
      <c r="F11" s="919"/>
      <c r="G11" s="919"/>
      <c r="H11" s="919"/>
      <c r="I11" s="919"/>
      <c r="J11" s="919"/>
      <c r="K11" s="134"/>
      <c r="M11" s="921"/>
      <c r="N11" s="921"/>
      <c r="O11" s="754"/>
      <c r="P11" s="114" t="s">
        <v>33</v>
      </c>
      <c r="Q11" s="114" t="s">
        <v>34</v>
      </c>
      <c r="R11" s="170" t="s">
        <v>35</v>
      </c>
      <c r="S11" s="114" t="s">
        <v>36</v>
      </c>
    </row>
    <row r="12" spans="2:19" ht="39" customHeight="1">
      <c r="B12" s="124" t="s">
        <v>37</v>
      </c>
      <c r="C12" s="125" t="s">
        <v>38</v>
      </c>
      <c r="D12" s="125" t="s">
        <v>39</v>
      </c>
      <c r="E12" s="125" t="s">
        <v>40</v>
      </c>
      <c r="F12" s="125" t="s">
        <v>41</v>
      </c>
      <c r="G12" s="138" t="s">
        <v>42</v>
      </c>
      <c r="H12" s="126" t="s">
        <v>43</v>
      </c>
      <c r="I12" s="126" t="s">
        <v>44</v>
      </c>
      <c r="J12" s="139" t="s">
        <v>39</v>
      </c>
      <c r="K12" s="159" t="s">
        <v>45</v>
      </c>
      <c r="L12" s="115" t="s">
        <v>46</v>
      </c>
      <c r="M12" s="115" t="s">
        <v>47</v>
      </c>
      <c r="N12" s="115" t="s">
        <v>48</v>
      </c>
      <c r="O12" s="115" t="s">
        <v>49</v>
      </c>
      <c r="P12" s="772">
        <v>1.2</v>
      </c>
      <c r="Q12" s="772">
        <v>7.1</v>
      </c>
      <c r="R12" s="813" t="str">
        <f ca="1">V30</f>
        <v>-</v>
      </c>
    </row>
    <row r="13" spans="2:19" ht="62.25" hidden="1" customHeight="1" outlineLevel="1">
      <c r="B13" s="142">
        <v>0</v>
      </c>
      <c r="C13" s="144"/>
      <c r="E13" s="145"/>
      <c r="F13" s="145"/>
      <c r="G13" s="146"/>
      <c r="H13" s="126"/>
      <c r="I13" s="126"/>
      <c r="J13" s="126"/>
      <c r="K13" s="148"/>
    </row>
    <row r="14" spans="2:19" ht="75.95" customHeight="1" collapsed="1">
      <c r="B14" s="124" t="str">
        <f>IFERROR(IF(B13=SUM(报价辅助计算!A:A),"-",' price 恒鑫荣'!B13+1),"-")</f>
        <v>-</v>
      </c>
      <c r="C14" s="130" t="str">
        <f>IFERROR(VLOOKUP($B14,报价辅助计算!$B:$I,2,0),"-")</f>
        <v>-</v>
      </c>
      <c r="D14" s="127" t="str">
        <f>IFERROR(VLOOKUP($B14,报价辅助计算!$B:$I,8,0),"-")</f>
        <v>-</v>
      </c>
      <c r="E14" s="128" t="str">
        <f>IFERROR(VLOOKUP($B14,报价辅助计算!$B:$I,3,0),"-")</f>
        <v>-</v>
      </c>
      <c r="F14" s="129" t="str">
        <f>IFERROR(VLOOKUP($B14,报价辅助计算!$B:$I,4,0),"-")</f>
        <v>-</v>
      </c>
      <c r="G14" s="127" t="str">
        <f>IFERROR(VLOOKUP($B14,报价辅助计算!$B:$I,5,0),"-")</f>
        <v>-</v>
      </c>
      <c r="H14" s="857" t="str">
        <f>IFERROR(ROUNDUP(Q14,1),"-")</f>
        <v>-</v>
      </c>
      <c r="I14" s="858" t="str">
        <f>IFERROR(H14*G14,"-")</f>
        <v>-</v>
      </c>
      <c r="J14" s="127" t="str">
        <f>IFERROR(VLOOKUP($B14,报价辅助计算!$B:$I,8,0),"-")</f>
        <v>-</v>
      </c>
      <c r="K14" s="816" t="str">
        <f>IFERROR(ROUND(L14*1.05,1),"-")</f>
        <v>-</v>
      </c>
      <c r="L14" s="817" t="str">
        <f>IFERROR(VLOOKUP($B14,报价辅助计算!$B:$I,6,0),"-")</f>
        <v>-</v>
      </c>
      <c r="M14" s="770" t="str">
        <f>IFERROR(VLOOKUP($B14,报价辅助计算!$B:$I,7,0),"-")</f>
        <v>-</v>
      </c>
      <c r="N14" s="115" t="str">
        <f>IFERROR(L14*G14,"-")</f>
        <v>-</v>
      </c>
      <c r="O14" s="771" t="str">
        <f>IFERROR(M14*G14,"-")</f>
        <v>-</v>
      </c>
      <c r="P14" s="115" t="str">
        <f t="shared" ref="P14:P15" si="0">IF(M14="-","-",$P$12)</f>
        <v>-</v>
      </c>
      <c r="Q14" s="763" t="str">
        <f t="shared" ref="Q14:Q15" si="1">IFERROR(M14*P14/$Q$12,"-")</f>
        <v>-</v>
      </c>
      <c r="S14" s="115" t="str">
        <f>IFERROR(H14/L14,"-")</f>
        <v>-</v>
      </c>
    </row>
    <row r="15" spans="2:19" ht="75.95" customHeight="1">
      <c r="B15" s="124" t="str">
        <f>IFERROR(IF(B14=SUM(报价辅助计算!A:A),"-",' price 恒鑫荣'!B14+1),"-")</f>
        <v>-</v>
      </c>
      <c r="C15" s="130" t="str">
        <f>IFERROR(VLOOKUP($B15,报价辅助计算!$B:$I,2,0),"-")</f>
        <v>-</v>
      </c>
      <c r="D15" s="127" t="str">
        <f>IFERROR(VLOOKUP($B15,报价辅助计算!$B:$I,8,0),"-")</f>
        <v>-</v>
      </c>
      <c r="E15" s="128" t="str">
        <f>IFERROR(VLOOKUP($B15,报价辅助计算!$B:$I,3,0),"-")</f>
        <v>-</v>
      </c>
      <c r="F15" s="129" t="str">
        <f>IFERROR(VLOOKUP($B15,报价辅助计算!$B:$I,4,0),"-")</f>
        <v>-</v>
      </c>
      <c r="G15" s="127" t="str">
        <f>IFERROR(VLOOKUP($B15,报价辅助计算!$B:$I,5,0),"-")</f>
        <v>-</v>
      </c>
      <c r="H15" s="857" t="str">
        <f t="shared" ref="H15:H24" si="2">IFERROR(ROUNDUP(Q15,1),"-")</f>
        <v>-</v>
      </c>
      <c r="I15" s="858" t="str">
        <f>IFERROR(H15*G15,"-")</f>
        <v>-</v>
      </c>
      <c r="J15" s="127" t="str">
        <f>IFERROR(VLOOKUP($B15,报价辅助计算!$B:$I,8,0),"-")</f>
        <v>-</v>
      </c>
      <c r="K15" s="816" t="str">
        <f>IFERROR(ROUND(L15*1.05,1),"-")</f>
        <v>-</v>
      </c>
      <c r="L15" s="817" t="str">
        <f>IFERROR(VLOOKUP($B15,报价辅助计算!$B:$I,6,0),"-")</f>
        <v>-</v>
      </c>
      <c r="M15" s="770" t="str">
        <f>IFERROR(VLOOKUP($B15,报价辅助计算!$B:$I,7,0),"-")</f>
        <v>-</v>
      </c>
      <c r="N15" s="115" t="str">
        <f>IFERROR(L15*G15,"-")</f>
        <v>-</v>
      </c>
      <c r="O15" s="771" t="str">
        <f>IFERROR(M15*G15,"-")</f>
        <v>-</v>
      </c>
      <c r="P15" s="115" t="str">
        <f t="shared" si="0"/>
        <v>-</v>
      </c>
      <c r="Q15" s="763" t="str">
        <f t="shared" si="1"/>
        <v>-</v>
      </c>
      <c r="S15" s="115" t="str">
        <f>IFERROR(H15/L15,"-")</f>
        <v>-</v>
      </c>
    </row>
    <row r="16" spans="2:19" ht="75.95" customHeight="1">
      <c r="B16" s="124" t="str">
        <f>IFERROR(IF(B15=SUM(报价辅助计算!A:A),"-",' price 恒鑫荣'!B15+1),"-")</f>
        <v>-</v>
      </c>
      <c r="C16" s="130" t="str">
        <f>IFERROR(VLOOKUP($B16,报价辅助计算!$B:$I,2,0),"-")</f>
        <v>-</v>
      </c>
      <c r="D16" s="127" t="str">
        <f>IFERROR(VLOOKUP($B16,报价辅助计算!$B:$I,8,0),"-")</f>
        <v>-</v>
      </c>
      <c r="E16" s="128" t="str">
        <f>IFERROR(VLOOKUP($B16,报价辅助计算!$B:$I,3,0),"-")</f>
        <v>-</v>
      </c>
      <c r="F16" s="129" t="str">
        <f>IFERROR(VLOOKUP($B16,报价辅助计算!$B:$I,4,0),"-")</f>
        <v>-</v>
      </c>
      <c r="G16" s="127" t="str">
        <f>IFERROR(VLOOKUP($B16,报价辅助计算!$B:$I,5,0),"-")</f>
        <v>-</v>
      </c>
      <c r="H16" s="857" t="str">
        <f t="shared" si="2"/>
        <v>-</v>
      </c>
      <c r="I16" s="858" t="str">
        <f t="shared" ref="I16:I24" si="3">IFERROR(H16*G16,"-")</f>
        <v>-</v>
      </c>
      <c r="J16" s="127" t="str">
        <f>IFERROR(VLOOKUP($B16,报价辅助计算!$B:$I,8,0),"-")</f>
        <v>-</v>
      </c>
      <c r="K16" s="816" t="str">
        <f t="shared" ref="K16:K24" si="4">IFERROR(ROUND(L16*1.05,1),"-")</f>
        <v>-</v>
      </c>
      <c r="L16" s="817" t="str">
        <f>IFERROR(VLOOKUP($B16,报价辅助计算!$B:$I,6,0),"-")</f>
        <v>-</v>
      </c>
      <c r="M16" s="770" t="str">
        <f>IFERROR(VLOOKUP($B16,报价辅助计算!$B:$I,7,0),"-")</f>
        <v>-</v>
      </c>
      <c r="N16" s="115" t="str">
        <f t="shared" ref="N16:N24" si="5">IFERROR(L16*G16,"-")</f>
        <v>-</v>
      </c>
      <c r="O16" s="771" t="str">
        <f t="shared" ref="O16:O24" si="6">IFERROR(M16*G16,"-")</f>
        <v>-</v>
      </c>
      <c r="P16" s="115" t="str">
        <f t="shared" ref="P16:P24" si="7">IF(M16="-","-",$P$12)</f>
        <v>-</v>
      </c>
      <c r="Q16" s="763" t="str">
        <f t="shared" ref="Q16:Q24" si="8">IFERROR(M16*P16/$Q$12,"-")</f>
        <v>-</v>
      </c>
      <c r="S16" s="115" t="str">
        <f t="shared" ref="S16:S24" si="9">IFERROR(H16/L16,"-")</f>
        <v>-</v>
      </c>
    </row>
    <row r="17" spans="1:24" ht="75.95" customHeight="1">
      <c r="B17" s="124" t="str">
        <f>IFERROR(IF(B16=SUM(报价辅助计算!A:A),"-",' price 恒鑫荣'!B16+1),"-")</f>
        <v>-</v>
      </c>
      <c r="C17" s="130" t="str">
        <f>IFERROR(VLOOKUP($B17,报价辅助计算!$B:$I,2,0),"-")</f>
        <v>-</v>
      </c>
      <c r="D17" s="127" t="str">
        <f>IFERROR(VLOOKUP($B17,报价辅助计算!$B:$I,8,0),"-")</f>
        <v>-</v>
      </c>
      <c r="E17" s="128" t="str">
        <f>IFERROR(VLOOKUP($B17,报价辅助计算!$B:$I,3,0),"-")</f>
        <v>-</v>
      </c>
      <c r="F17" s="129" t="str">
        <f>IFERROR(VLOOKUP($B17,报价辅助计算!$B:$I,4,0),"-")</f>
        <v>-</v>
      </c>
      <c r="G17" s="127" t="str">
        <f>IFERROR(VLOOKUP($B17,报价辅助计算!$B:$I,5,0),"-")</f>
        <v>-</v>
      </c>
      <c r="H17" s="857" t="str">
        <f t="shared" si="2"/>
        <v>-</v>
      </c>
      <c r="I17" s="858" t="str">
        <f t="shared" si="3"/>
        <v>-</v>
      </c>
      <c r="J17" s="127" t="str">
        <f>IFERROR(VLOOKUP($B17,报价辅助计算!$B:$I,8,0),"-")</f>
        <v>-</v>
      </c>
      <c r="K17" s="816" t="str">
        <f t="shared" si="4"/>
        <v>-</v>
      </c>
      <c r="L17" s="817" t="str">
        <f>IFERROR(VLOOKUP($B17,报价辅助计算!$B:$I,6,0),"-")</f>
        <v>-</v>
      </c>
      <c r="M17" s="770" t="str">
        <f>IFERROR(VLOOKUP($B17,报价辅助计算!$B:$I,7,0),"-")</f>
        <v>-</v>
      </c>
      <c r="N17" s="115" t="str">
        <f t="shared" si="5"/>
        <v>-</v>
      </c>
      <c r="O17" s="771" t="str">
        <f t="shared" si="6"/>
        <v>-</v>
      </c>
      <c r="P17" s="115" t="str">
        <f t="shared" si="7"/>
        <v>-</v>
      </c>
      <c r="Q17" s="763" t="str">
        <f t="shared" si="8"/>
        <v>-</v>
      </c>
      <c r="S17" s="115" t="str">
        <f t="shared" si="9"/>
        <v>-</v>
      </c>
    </row>
    <row r="18" spans="1:24" ht="75.95" customHeight="1">
      <c r="B18" s="124" t="str">
        <f>IFERROR(IF(B17=SUM(报价辅助计算!A:A),"-",' price 恒鑫荣'!B17+1),"-")</f>
        <v>-</v>
      </c>
      <c r="C18" s="130" t="str">
        <f>IFERROR(VLOOKUP($B18,报价辅助计算!$B:$I,2,0),"-")</f>
        <v>-</v>
      </c>
      <c r="D18" s="127" t="str">
        <f>IFERROR(VLOOKUP($B18,报价辅助计算!$B:$I,8,0),"-")</f>
        <v>-</v>
      </c>
      <c r="E18" s="128" t="str">
        <f>IFERROR(VLOOKUP($B18,报价辅助计算!$B:$I,3,0),"-")</f>
        <v>-</v>
      </c>
      <c r="F18" s="129" t="str">
        <f>IFERROR(VLOOKUP($B18,报价辅助计算!$B:$I,4,0),"-")</f>
        <v>-</v>
      </c>
      <c r="G18" s="127" t="str">
        <f>IFERROR(VLOOKUP($B18,报价辅助计算!$B:$I,5,0),"-")</f>
        <v>-</v>
      </c>
      <c r="H18" s="857" t="str">
        <f t="shared" si="2"/>
        <v>-</v>
      </c>
      <c r="I18" s="858" t="str">
        <f t="shared" si="3"/>
        <v>-</v>
      </c>
      <c r="J18" s="127" t="str">
        <f>IFERROR(VLOOKUP($B18,报价辅助计算!$B:$I,8,0),"-")</f>
        <v>-</v>
      </c>
      <c r="K18" s="816" t="str">
        <f t="shared" si="4"/>
        <v>-</v>
      </c>
      <c r="L18" s="817" t="str">
        <f>IFERROR(VLOOKUP($B18,报价辅助计算!$B:$I,6,0),"-")</f>
        <v>-</v>
      </c>
      <c r="M18" s="770" t="str">
        <f>IFERROR(VLOOKUP($B18,报价辅助计算!$B:$I,7,0),"-")</f>
        <v>-</v>
      </c>
      <c r="N18" s="115" t="str">
        <f t="shared" si="5"/>
        <v>-</v>
      </c>
      <c r="O18" s="771" t="str">
        <f t="shared" si="6"/>
        <v>-</v>
      </c>
      <c r="P18" s="115" t="str">
        <f t="shared" si="7"/>
        <v>-</v>
      </c>
      <c r="Q18" s="763" t="str">
        <f t="shared" si="8"/>
        <v>-</v>
      </c>
      <c r="S18" s="115" t="str">
        <f t="shared" si="9"/>
        <v>-</v>
      </c>
    </row>
    <row r="19" spans="1:24" ht="75.95" customHeight="1">
      <c r="B19" s="124" t="str">
        <f>IFERROR(IF(B18=SUM(报价辅助计算!A:A),"-",' price 恒鑫荣'!B18+1),"-")</f>
        <v>-</v>
      </c>
      <c r="C19" s="130" t="str">
        <f>IFERROR(VLOOKUP($B19,报价辅助计算!$B:$I,2,0),"-")</f>
        <v>-</v>
      </c>
      <c r="D19" s="127" t="str">
        <f>IFERROR(VLOOKUP($B19,报价辅助计算!$B:$I,8,0),"-")</f>
        <v>-</v>
      </c>
      <c r="E19" s="128" t="str">
        <f>IFERROR(VLOOKUP($B19,报价辅助计算!$B:$I,3,0),"-")</f>
        <v>-</v>
      </c>
      <c r="F19" s="129" t="str">
        <f>IFERROR(VLOOKUP($B19,报价辅助计算!$B:$I,4,0),"-")</f>
        <v>-</v>
      </c>
      <c r="G19" s="127" t="str">
        <f>IFERROR(VLOOKUP($B19,报价辅助计算!$B:$I,5,0),"-")</f>
        <v>-</v>
      </c>
      <c r="H19" s="857" t="str">
        <f t="shared" si="2"/>
        <v>-</v>
      </c>
      <c r="I19" s="858" t="str">
        <f t="shared" si="3"/>
        <v>-</v>
      </c>
      <c r="J19" s="127" t="str">
        <f>IFERROR(VLOOKUP($B19,报价辅助计算!$B:$I,8,0),"-")</f>
        <v>-</v>
      </c>
      <c r="K19" s="816" t="str">
        <f t="shared" si="4"/>
        <v>-</v>
      </c>
      <c r="L19" s="817" t="str">
        <f>IFERROR(VLOOKUP($B19,报价辅助计算!$B:$I,6,0),"-")</f>
        <v>-</v>
      </c>
      <c r="M19" s="770" t="str">
        <f>IFERROR(VLOOKUP($B19,报价辅助计算!$B:$I,7,0),"-")</f>
        <v>-</v>
      </c>
      <c r="N19" s="115" t="str">
        <f t="shared" si="5"/>
        <v>-</v>
      </c>
      <c r="O19" s="771" t="str">
        <f t="shared" si="6"/>
        <v>-</v>
      </c>
      <c r="P19" s="115" t="str">
        <f t="shared" si="7"/>
        <v>-</v>
      </c>
      <c r="Q19" s="763" t="str">
        <f t="shared" si="8"/>
        <v>-</v>
      </c>
      <c r="S19" s="115" t="str">
        <f t="shared" si="9"/>
        <v>-</v>
      </c>
    </row>
    <row r="20" spans="1:24" ht="75.95" customHeight="1">
      <c r="B20" s="124" t="str">
        <f>IFERROR(IF(B19=SUM(报价辅助计算!A:A),"-",' price 恒鑫荣'!B19+1),"-")</f>
        <v>-</v>
      </c>
      <c r="C20" s="130" t="str">
        <f>IFERROR(VLOOKUP($B20,报价辅助计算!$B:$I,2,0),"-")</f>
        <v>-</v>
      </c>
      <c r="D20" s="127" t="str">
        <f>IFERROR(VLOOKUP($B20,报价辅助计算!$B:$I,8,0),"-")</f>
        <v>-</v>
      </c>
      <c r="E20" s="128" t="str">
        <f>IFERROR(VLOOKUP($B20,报价辅助计算!$B:$I,3,0),"-")</f>
        <v>-</v>
      </c>
      <c r="F20" s="129" t="str">
        <f>IFERROR(VLOOKUP($B20,报价辅助计算!$B:$I,4,0),"-")</f>
        <v>-</v>
      </c>
      <c r="G20" s="127" t="str">
        <f>IFERROR(VLOOKUP($B20,报价辅助计算!$B:$I,5,0),"-")</f>
        <v>-</v>
      </c>
      <c r="H20" s="857" t="str">
        <f t="shared" si="2"/>
        <v>-</v>
      </c>
      <c r="I20" s="858" t="str">
        <f t="shared" si="3"/>
        <v>-</v>
      </c>
      <c r="J20" s="127" t="str">
        <f>IFERROR(VLOOKUP($B20,报价辅助计算!$B:$I,8,0),"-")</f>
        <v>-</v>
      </c>
      <c r="K20" s="816" t="str">
        <f t="shared" si="4"/>
        <v>-</v>
      </c>
      <c r="L20" s="817" t="str">
        <f>IFERROR(VLOOKUP($B20,报价辅助计算!$B:$I,6,0),"-")</f>
        <v>-</v>
      </c>
      <c r="M20" s="770" t="str">
        <f>IFERROR(VLOOKUP($B20,报价辅助计算!$B:$I,7,0),"-")</f>
        <v>-</v>
      </c>
      <c r="N20" s="115" t="str">
        <f t="shared" si="5"/>
        <v>-</v>
      </c>
      <c r="O20" s="771" t="str">
        <f t="shared" si="6"/>
        <v>-</v>
      </c>
      <c r="P20" s="115" t="str">
        <f t="shared" si="7"/>
        <v>-</v>
      </c>
      <c r="Q20" s="763" t="str">
        <f t="shared" si="8"/>
        <v>-</v>
      </c>
      <c r="S20" s="115" t="str">
        <f t="shared" si="9"/>
        <v>-</v>
      </c>
    </row>
    <row r="21" spans="1:24" ht="75.95" customHeight="1">
      <c r="B21" s="124" t="str">
        <f>IFERROR(IF(B20=SUM(报价辅助计算!A:A),"-",' price 恒鑫荣'!B20+1),"-")</f>
        <v>-</v>
      </c>
      <c r="C21" s="130" t="str">
        <f>IFERROR(VLOOKUP($B21,报价辅助计算!$B:$I,2,0),"-")</f>
        <v>-</v>
      </c>
      <c r="D21" s="127" t="str">
        <f>IFERROR(VLOOKUP($B21,报价辅助计算!$B:$I,8,0),"-")</f>
        <v>-</v>
      </c>
      <c r="E21" s="128" t="str">
        <f>IFERROR(VLOOKUP($B21,报价辅助计算!$B:$I,3,0),"-")</f>
        <v>-</v>
      </c>
      <c r="F21" s="129" t="str">
        <f>IFERROR(VLOOKUP($B21,报价辅助计算!$B:$I,4,0),"-")</f>
        <v>-</v>
      </c>
      <c r="G21" s="127" t="str">
        <f>IFERROR(VLOOKUP($B21,报价辅助计算!$B:$I,5,0),"-")</f>
        <v>-</v>
      </c>
      <c r="H21" s="857" t="str">
        <f t="shared" si="2"/>
        <v>-</v>
      </c>
      <c r="I21" s="858" t="str">
        <f t="shared" si="3"/>
        <v>-</v>
      </c>
      <c r="J21" s="127" t="str">
        <f>IFERROR(VLOOKUP($B21,报价辅助计算!$B:$I,8,0),"-")</f>
        <v>-</v>
      </c>
      <c r="K21" s="816" t="str">
        <f t="shared" si="4"/>
        <v>-</v>
      </c>
      <c r="L21" s="817" t="str">
        <f>IFERROR(VLOOKUP($B21,报价辅助计算!$B:$I,6,0),"-")</f>
        <v>-</v>
      </c>
      <c r="M21" s="770" t="str">
        <f>IFERROR(VLOOKUP($B21,报价辅助计算!$B:$I,7,0),"-")</f>
        <v>-</v>
      </c>
      <c r="N21" s="115" t="str">
        <f t="shared" si="5"/>
        <v>-</v>
      </c>
      <c r="O21" s="771" t="str">
        <f t="shared" si="6"/>
        <v>-</v>
      </c>
      <c r="P21" s="115" t="str">
        <f t="shared" si="7"/>
        <v>-</v>
      </c>
      <c r="Q21" s="763" t="str">
        <f t="shared" si="8"/>
        <v>-</v>
      </c>
      <c r="S21" s="115" t="str">
        <f t="shared" si="9"/>
        <v>-</v>
      </c>
    </row>
    <row r="22" spans="1:24" ht="75.95" customHeight="1">
      <c r="B22" s="124" t="str">
        <f>IFERROR(IF(B21=SUM(报价辅助计算!A:A),"-",' price 恒鑫荣'!B21+1),"-")</f>
        <v>-</v>
      </c>
      <c r="C22" s="130" t="str">
        <f>IFERROR(VLOOKUP($B22,报价辅助计算!$B:$I,2,0),"-")</f>
        <v>-</v>
      </c>
      <c r="D22" s="127" t="str">
        <f>IFERROR(VLOOKUP($B22,报价辅助计算!$B:$I,8,0),"-")</f>
        <v>-</v>
      </c>
      <c r="E22" s="128" t="str">
        <f>IFERROR(VLOOKUP($B22,报价辅助计算!$B:$I,3,0),"-")</f>
        <v>-</v>
      </c>
      <c r="F22" s="129" t="str">
        <f>IFERROR(VLOOKUP($B22,报价辅助计算!$B:$I,4,0),"-")</f>
        <v>-</v>
      </c>
      <c r="G22" s="127" t="str">
        <f>IFERROR(VLOOKUP($B22,报价辅助计算!$B:$I,5,0),"-")</f>
        <v>-</v>
      </c>
      <c r="H22" s="857" t="str">
        <f t="shared" si="2"/>
        <v>-</v>
      </c>
      <c r="I22" s="858" t="str">
        <f t="shared" si="3"/>
        <v>-</v>
      </c>
      <c r="J22" s="127" t="str">
        <f>IFERROR(VLOOKUP($B22,报价辅助计算!$B:$I,8,0),"-")</f>
        <v>-</v>
      </c>
      <c r="K22" s="816" t="str">
        <f t="shared" si="4"/>
        <v>-</v>
      </c>
      <c r="L22" s="817" t="str">
        <f>IFERROR(VLOOKUP($B22,报价辅助计算!$B:$I,6,0),"-")</f>
        <v>-</v>
      </c>
      <c r="M22" s="770" t="str">
        <f>IFERROR(VLOOKUP($B22,报价辅助计算!$B:$I,7,0),"-")</f>
        <v>-</v>
      </c>
      <c r="N22" s="115" t="str">
        <f t="shared" si="5"/>
        <v>-</v>
      </c>
      <c r="O22" s="771" t="str">
        <f t="shared" si="6"/>
        <v>-</v>
      </c>
      <c r="P22" s="115" t="str">
        <f t="shared" si="7"/>
        <v>-</v>
      </c>
      <c r="Q22" s="763" t="str">
        <f t="shared" si="8"/>
        <v>-</v>
      </c>
      <c r="S22" s="115" t="str">
        <f t="shared" si="9"/>
        <v>-</v>
      </c>
    </row>
    <row r="23" spans="1:24" ht="75.95" customHeight="1">
      <c r="B23" s="124" t="str">
        <f>IFERROR(IF(B22=SUM(报价辅助计算!A:A),"-",' price 恒鑫荣'!B22+1),"-")</f>
        <v>-</v>
      </c>
      <c r="C23" s="130" t="str">
        <f>IFERROR(VLOOKUP($B23,报价辅助计算!$B:$I,2,0),"-")</f>
        <v>-</v>
      </c>
      <c r="D23" s="127" t="str">
        <f>IFERROR(VLOOKUP($B23,报价辅助计算!$B:$I,8,0),"-")</f>
        <v>-</v>
      </c>
      <c r="E23" s="128" t="str">
        <f>IFERROR(VLOOKUP($B23,报价辅助计算!$B:$I,3,0),"-")</f>
        <v>-</v>
      </c>
      <c r="F23" s="129" t="str">
        <f>IFERROR(VLOOKUP($B23,报价辅助计算!$B:$I,4,0),"-")</f>
        <v>-</v>
      </c>
      <c r="G23" s="127" t="str">
        <f>IFERROR(VLOOKUP($B23,报价辅助计算!$B:$I,5,0),"-")</f>
        <v>-</v>
      </c>
      <c r="H23" s="857" t="str">
        <f t="shared" si="2"/>
        <v>-</v>
      </c>
      <c r="I23" s="858" t="str">
        <f t="shared" si="3"/>
        <v>-</v>
      </c>
      <c r="J23" s="127" t="str">
        <f>IFERROR(VLOOKUP($B23,报价辅助计算!$B:$I,8,0),"-")</f>
        <v>-</v>
      </c>
      <c r="K23" s="816" t="str">
        <f t="shared" si="4"/>
        <v>-</v>
      </c>
      <c r="L23" s="817" t="str">
        <f>IFERROR(VLOOKUP($B23,报价辅助计算!$B:$I,6,0),"-")</f>
        <v>-</v>
      </c>
      <c r="M23" s="770" t="str">
        <f>IFERROR(VLOOKUP($B23,报价辅助计算!$B:$I,7,0),"-")</f>
        <v>-</v>
      </c>
      <c r="N23" s="115" t="str">
        <f t="shared" si="5"/>
        <v>-</v>
      </c>
      <c r="O23" s="771" t="str">
        <f t="shared" si="6"/>
        <v>-</v>
      </c>
      <c r="P23" s="115" t="str">
        <f t="shared" si="7"/>
        <v>-</v>
      </c>
      <c r="Q23" s="763" t="str">
        <f t="shared" si="8"/>
        <v>-</v>
      </c>
      <c r="S23" s="115" t="str">
        <f t="shared" si="9"/>
        <v>-</v>
      </c>
    </row>
    <row r="24" spans="1:24" ht="75.95" customHeight="1">
      <c r="B24" s="124" t="str">
        <f>IFERROR(IF(B23=SUM(报价辅助计算!A:A),"-",' price 恒鑫荣'!B23+1),"-")</f>
        <v>-</v>
      </c>
      <c r="C24" s="130" t="str">
        <f>IFERROR(VLOOKUP($B24,报价辅助计算!$B:$I,2,0),"-")</f>
        <v>-</v>
      </c>
      <c r="D24" s="127" t="str">
        <f>IFERROR(VLOOKUP($B24,报价辅助计算!$B:$I,8,0),"-")</f>
        <v>-</v>
      </c>
      <c r="E24" s="128" t="str">
        <f>IFERROR(VLOOKUP($B24,报价辅助计算!$B:$I,3,0),"-")</f>
        <v>-</v>
      </c>
      <c r="F24" s="129" t="str">
        <f>IFERROR(VLOOKUP($B24,报价辅助计算!$B:$I,4,0),"-")</f>
        <v>-</v>
      </c>
      <c r="G24" s="127" t="str">
        <f>IFERROR(VLOOKUP($B24,报价辅助计算!$B:$I,5,0),"-")</f>
        <v>-</v>
      </c>
      <c r="H24" s="857" t="str">
        <f t="shared" si="2"/>
        <v>-</v>
      </c>
      <c r="I24" s="858" t="str">
        <f t="shared" si="3"/>
        <v>-</v>
      </c>
      <c r="J24" s="127" t="str">
        <f>IFERROR(VLOOKUP($B24,报价辅助计算!$B:$I,8,0),"-")</f>
        <v>-</v>
      </c>
      <c r="K24" s="816" t="str">
        <f t="shared" si="4"/>
        <v>-</v>
      </c>
      <c r="L24" s="817" t="str">
        <f>IFERROR(VLOOKUP($B24,报价辅助计算!$B:$I,6,0),"-")</f>
        <v>-</v>
      </c>
      <c r="M24" s="770" t="str">
        <f>IFERROR(VLOOKUP($B24,报价辅助计算!$B:$I,7,0),"-")</f>
        <v>-</v>
      </c>
      <c r="N24" s="115" t="str">
        <f t="shared" si="5"/>
        <v>-</v>
      </c>
      <c r="O24" s="771" t="str">
        <f t="shared" si="6"/>
        <v>-</v>
      </c>
      <c r="P24" s="115" t="str">
        <f t="shared" si="7"/>
        <v>-</v>
      </c>
      <c r="Q24" s="763" t="str">
        <f t="shared" si="8"/>
        <v>-</v>
      </c>
      <c r="S24" s="115" t="str">
        <f t="shared" si="9"/>
        <v>-</v>
      </c>
    </row>
    <row r="25" spans="1:24" ht="30" customHeight="1">
      <c r="A25" s="772">
        <v>14</v>
      </c>
      <c r="B25" s="773"/>
      <c r="C25" s="775" t="s">
        <v>50</v>
      </c>
      <c r="D25" s="775"/>
      <c r="E25" s="776"/>
      <c r="F25" s="776"/>
      <c r="G25" s="777"/>
      <c r="H25" s="778"/>
      <c r="I25" s="779">
        <f ca="1">SUM(INDEX(I:I,A25):INDIRECT(SUBSTITUTE(ADDRESS(1,COLUMN(),4),"1","")&amp;ROW()-1))*(-O25)</f>
        <v>0</v>
      </c>
      <c r="J25" s="777"/>
      <c r="K25" s="820"/>
      <c r="L25" s="821"/>
      <c r="M25" s="822"/>
      <c r="N25" s="114" t="s">
        <v>51</v>
      </c>
      <c r="O25" s="813"/>
      <c r="P25" s="171" t="s">
        <v>52</v>
      </c>
      <c r="Q25" s="763"/>
      <c r="V25" s="114" t="s">
        <v>53</v>
      </c>
      <c r="W25" s="813"/>
    </row>
    <row r="26" spans="1:24" ht="30" hidden="1" customHeight="1" outlineLevel="1">
      <c r="B26" s="773"/>
      <c r="C26" s="781" t="s">
        <v>54</v>
      </c>
      <c r="D26" s="781"/>
      <c r="E26" s="780"/>
      <c r="F26" s="780"/>
      <c r="G26" s="782"/>
      <c r="H26" s="783"/>
      <c r="I26" s="784">
        <f>ROUNDUP(IF(O26&gt;0,(R28+S28)/$Q$12,0),0)</f>
        <v>0</v>
      </c>
      <c r="J26" s="781"/>
      <c r="K26" s="824"/>
      <c r="L26" s="825"/>
      <c r="M26" s="826"/>
      <c r="N26" s="785" t="s">
        <v>55</v>
      </c>
      <c r="O26" s="772"/>
      <c r="P26" s="171"/>
      <c r="Q26" s="763"/>
    </row>
    <row r="27" spans="1:24" ht="30" hidden="1" customHeight="1" outlineLevel="1">
      <c r="B27" s="773"/>
      <c r="C27" s="781" t="s">
        <v>56</v>
      </c>
      <c r="D27" s="781"/>
      <c r="E27" s="780"/>
      <c r="F27" s="780"/>
      <c r="G27" s="782"/>
      <c r="H27" s="783"/>
      <c r="I27" s="784">
        <f>ROUNDUP(IF(O27&gt;0,T28/$Q$12,0),0)</f>
        <v>0</v>
      </c>
      <c r="J27" s="781"/>
      <c r="K27" s="824"/>
      <c r="L27" s="825"/>
      <c r="M27" s="826"/>
      <c r="N27" s="785" t="s">
        <v>57</v>
      </c>
      <c r="O27" s="772"/>
      <c r="P27" s="171"/>
      <c r="Q27" s="763"/>
    </row>
    <row r="28" spans="1:24" ht="39" customHeight="1" collapsed="1">
      <c r="A28" s="785" t="s">
        <v>58</v>
      </c>
      <c r="B28" s="773"/>
      <c r="C28" s="787" t="s">
        <v>59</v>
      </c>
      <c r="D28" s="787"/>
      <c r="E28" s="788"/>
      <c r="F28" s="831" t="s">
        <v>60</v>
      </c>
      <c r="G28" s="859">
        <f>IF(N30&gt;0,N30,ROUNDUP(M30,1))</f>
        <v>0.5</v>
      </c>
      <c r="H28" s="833" t="s">
        <v>61</v>
      </c>
      <c r="I28" s="786">
        <f ca="1">SUM(INDEX(I:I,A25):INDIRECT(SUBSTITUTE(ADDRESS(1,COLUMN(),4),"1","")&amp;ROW()-1))</f>
        <v>0</v>
      </c>
      <c r="J28" s="786"/>
      <c r="K28" s="820">
        <f ca="1">IFERROR(ROUND(N28*1.05,1),"-")</f>
        <v>0</v>
      </c>
      <c r="L28" s="786"/>
      <c r="M28" s="786" t="s">
        <v>21</v>
      </c>
      <c r="N28" s="791">
        <f ca="1">SUM(INDEX(N:N,A25):INDIRECT(SUBSTITUTE(ADDRESS(1,COLUMN(),4),"1","")&amp;ROW()-3))</f>
        <v>0</v>
      </c>
      <c r="O28" s="835">
        <f ca="1">SUM(INDEX(O:O,A25):INDIRECT(SUBSTITUTE(ADDRESS(1,COLUMN(),4),"1","")&amp;ROW()-3))</f>
        <v>0</v>
      </c>
      <c r="P28" s="836">
        <f>P30*IF(N30&gt;0,N30,M30)</f>
        <v>550</v>
      </c>
      <c r="Q28" s="836">
        <f>Q30*IF(N30&gt;0,N30,M30)</f>
        <v>125</v>
      </c>
      <c r="R28" s="836">
        <f>R30*ROUNDUP(IF(N30&gt;0,N30,M30),1)*R31</f>
        <v>0</v>
      </c>
      <c r="S28" s="836">
        <f>S30*ROUNDUP(IF(N30&gt;0,N30,M30),1)*S31</f>
        <v>0</v>
      </c>
      <c r="T28" s="836">
        <f>T30*ROUNDUP(IF(N30&gt;0,N30,M30),0)*$Q$12*T31</f>
        <v>0</v>
      </c>
      <c r="U28" s="836">
        <f ca="1">W30*U30*1.13*U31</f>
        <v>0</v>
      </c>
      <c r="V28" s="114" t="s">
        <v>62</v>
      </c>
      <c r="W28" s="837">
        <v>0.15</v>
      </c>
      <c r="X28" s="838" t="str">
        <f ca="1">IFERROR(IF(V30&lt;W28,"利润偏低","-"),"-")</f>
        <v>-</v>
      </c>
    </row>
    <row r="29" spans="1:24" s="750" customFormat="1" ht="27" customHeight="1">
      <c r="B29" s="115"/>
      <c r="C29" s="115"/>
      <c r="D29" s="115"/>
      <c r="E29" s="123"/>
      <c r="F29" s="123"/>
      <c r="G29" s="115"/>
      <c r="H29" s="115"/>
      <c r="I29" s="115"/>
      <c r="J29" s="115"/>
      <c r="K29" s="133"/>
      <c r="L29" s="114" t="s">
        <v>63</v>
      </c>
      <c r="M29" s="793" t="s">
        <v>64</v>
      </c>
      <c r="N29" s="839" t="s">
        <v>65</v>
      </c>
      <c r="P29" s="793" t="s">
        <v>66</v>
      </c>
      <c r="Q29" s="793" t="s">
        <v>67</v>
      </c>
      <c r="R29" s="793" t="s">
        <v>68</v>
      </c>
      <c r="S29" s="750" t="s">
        <v>69</v>
      </c>
      <c r="T29" s="793" t="s">
        <v>70</v>
      </c>
      <c r="U29" s="793" t="s">
        <v>71</v>
      </c>
      <c r="V29" s="793" t="s">
        <v>35</v>
      </c>
      <c r="W29" s="793" t="s">
        <v>72</v>
      </c>
      <c r="X29" s="793" t="s">
        <v>73</v>
      </c>
    </row>
    <row r="30" spans="1:24" ht="27" customHeight="1">
      <c r="I30" s="794"/>
      <c r="J30" s="794"/>
      <c r="L30" s="840">
        <v>26000</v>
      </c>
      <c r="M30" s="841">
        <f ca="1">ROUNDUP(N28/L30,2)</f>
        <v>0</v>
      </c>
      <c r="N30" s="772">
        <v>0.5</v>
      </c>
      <c r="O30" s="114" t="s">
        <v>74</v>
      </c>
      <c r="P30" s="842">
        <v>1100</v>
      </c>
      <c r="Q30" s="842">
        <v>250</v>
      </c>
      <c r="R30" s="842">
        <v>4000</v>
      </c>
      <c r="S30" s="842">
        <v>3200</v>
      </c>
      <c r="T30" s="843">
        <v>300</v>
      </c>
      <c r="U30" s="837">
        <v>0.05</v>
      </c>
      <c r="V30" s="844" t="str">
        <f ca="1">IFERROR(X30/W30,"-")</f>
        <v>-</v>
      </c>
      <c r="W30" s="836">
        <f ca="1">I28*IF(V31&gt;0,V31,$Q$12)/(1+W25)</f>
        <v>0</v>
      </c>
      <c r="X30" s="836">
        <f ca="1">W30-U28-T28-S28-R28-Q28-P28-O28</f>
        <v>-675</v>
      </c>
    </row>
    <row r="31" spans="1:24" ht="27" customHeight="1">
      <c r="L31" s="170" t="s">
        <v>75</v>
      </c>
      <c r="M31" s="795" t="str">
        <f ca="1">IFERROR((W30-U28-T28-S28-R28-Q28-P28)/N28,"-")</f>
        <v>-</v>
      </c>
      <c r="N31" s="114" t="s">
        <v>76</v>
      </c>
      <c r="Q31" s="796" t="s">
        <v>77</v>
      </c>
      <c r="R31" s="797"/>
      <c r="S31" s="797"/>
      <c r="T31" s="797"/>
      <c r="U31" s="797"/>
      <c r="V31" s="772"/>
      <c r="W31" s="114" t="s">
        <v>78</v>
      </c>
    </row>
    <row r="32" spans="1:24" ht="27" customHeight="1">
      <c r="B32" s="115" t="s">
        <v>79</v>
      </c>
      <c r="H32" s="763"/>
    </row>
    <row r="33" spans="1:14" ht="27" customHeight="1">
      <c r="B33" s="131" t="s">
        <v>80</v>
      </c>
      <c r="C33" s="131"/>
      <c r="D33" s="131"/>
      <c r="L33" s="115" t="s">
        <v>81</v>
      </c>
      <c r="M33" s="115" t="s">
        <v>82</v>
      </c>
      <c r="N33" s="115" t="s">
        <v>83</v>
      </c>
    </row>
    <row r="34" spans="1:14" ht="39" customHeight="1">
      <c r="B34" s="131" t="s">
        <v>84</v>
      </c>
      <c r="C34" s="131"/>
      <c r="D34" s="131"/>
      <c r="L34" s="115" t="s">
        <v>85</v>
      </c>
      <c r="M34" s="115" t="s">
        <v>86</v>
      </c>
      <c r="N34" s="115" t="s">
        <v>87</v>
      </c>
    </row>
    <row r="35" spans="1:14" ht="39" customHeight="1">
      <c r="B35" s="131" t="s">
        <v>88</v>
      </c>
      <c r="C35" s="131"/>
      <c r="D35" s="131"/>
      <c r="L35" s="115" t="s">
        <v>89</v>
      </c>
      <c r="M35" s="115" t="s">
        <v>90</v>
      </c>
      <c r="N35" s="115" t="s">
        <v>91</v>
      </c>
    </row>
    <row r="36" spans="1:14" ht="39" customHeight="1"/>
    <row r="37" spans="1:14" ht="39" customHeight="1"/>
    <row r="40" spans="1:14">
      <c r="B40" s="131"/>
      <c r="C40" s="131"/>
      <c r="D40" s="131"/>
    </row>
    <row r="41" spans="1:14">
      <c r="A41" s="131"/>
      <c r="B41" s="131"/>
      <c r="C41" s="131"/>
      <c r="D41" s="131"/>
    </row>
    <row r="42" spans="1:14">
      <c r="A42" s="131"/>
      <c r="B42" s="131"/>
      <c r="C42" s="131"/>
      <c r="D42" s="131"/>
    </row>
    <row r="43" spans="1:14">
      <c r="A43" s="131"/>
      <c r="B43" s="131"/>
      <c r="C43" s="131"/>
      <c r="D43" s="131"/>
    </row>
    <row r="44" spans="1:14">
      <c r="B44" s="131"/>
      <c r="C44" s="131"/>
      <c r="D44" s="131"/>
      <c r="H44" s="121"/>
    </row>
    <row r="45" spans="1:14">
      <c r="B45" s="131"/>
      <c r="C45" s="131"/>
      <c r="D45" s="131"/>
    </row>
    <row r="46" spans="1:14">
      <c r="B46" s="131"/>
      <c r="C46" s="131"/>
      <c r="D46" s="131"/>
    </row>
    <row r="47" spans="1:14">
      <c r="B47" s="131"/>
      <c r="C47" s="131"/>
      <c r="D47" s="131"/>
    </row>
    <row r="48" spans="1:14">
      <c r="B48" s="131"/>
      <c r="C48" s="131"/>
      <c r="D48" s="131"/>
    </row>
    <row r="49" spans="1:24">
      <c r="B49" s="131"/>
      <c r="C49" s="131"/>
      <c r="D49" s="131"/>
    </row>
    <row r="50" spans="1:24">
      <c r="B50" s="131"/>
      <c r="C50" s="131"/>
      <c r="D50" s="131"/>
    </row>
    <row r="51" spans="1:24">
      <c r="B51" s="131"/>
      <c r="C51" s="131"/>
      <c r="D51" s="131"/>
    </row>
    <row r="52" spans="1:24">
      <c r="B52" s="131"/>
      <c r="C52" s="131"/>
      <c r="D52" s="131"/>
    </row>
    <row r="53" spans="1:24" s="123" customFormat="1">
      <c r="A53" s="115"/>
      <c r="B53" s="131"/>
      <c r="C53" s="131"/>
      <c r="D53" s="131"/>
      <c r="G53" s="115"/>
      <c r="H53" s="115"/>
      <c r="I53" s="115"/>
      <c r="J53" s="115"/>
      <c r="K53" s="133"/>
      <c r="L53" s="115"/>
      <c r="M53" s="115"/>
      <c r="N53" s="115"/>
      <c r="O53" s="115"/>
      <c r="P53" s="115"/>
      <c r="Q53" s="115"/>
      <c r="R53" s="115"/>
      <c r="S53" s="115"/>
      <c r="T53" s="115"/>
      <c r="U53" s="115"/>
      <c r="V53" s="115"/>
      <c r="W53" s="115"/>
      <c r="X53" s="115"/>
    </row>
    <row r="54" spans="1:24" s="123" customFormat="1">
      <c r="A54" s="115"/>
      <c r="B54" s="131"/>
      <c r="C54" s="131"/>
      <c r="D54" s="131"/>
      <c r="G54" s="115"/>
      <c r="H54" s="115"/>
      <c r="I54" s="115"/>
      <c r="J54" s="115"/>
      <c r="K54" s="133"/>
      <c r="L54" s="115"/>
      <c r="M54" s="115"/>
      <c r="N54" s="115"/>
      <c r="O54" s="115"/>
      <c r="P54" s="115"/>
      <c r="Q54" s="115"/>
      <c r="R54" s="115"/>
      <c r="S54" s="115"/>
      <c r="T54" s="115"/>
      <c r="U54" s="115"/>
      <c r="V54" s="115"/>
      <c r="W54" s="115"/>
      <c r="X54" s="115"/>
    </row>
    <row r="55" spans="1:24" s="123" customFormat="1">
      <c r="A55" s="115"/>
      <c r="B55" s="131"/>
      <c r="C55" s="131"/>
      <c r="D55" s="131"/>
      <c r="G55" s="115"/>
      <c r="H55" s="115"/>
      <c r="I55" s="115"/>
      <c r="J55" s="115"/>
      <c r="K55" s="133"/>
      <c r="L55" s="115"/>
      <c r="M55" s="115"/>
      <c r="N55" s="115"/>
      <c r="O55" s="115"/>
      <c r="P55" s="115"/>
      <c r="Q55" s="115"/>
      <c r="R55" s="115"/>
      <c r="S55" s="115"/>
      <c r="T55" s="115"/>
      <c r="U55" s="115"/>
      <c r="V55" s="115"/>
      <c r="W55" s="115"/>
      <c r="X55" s="115"/>
    </row>
    <row r="56" spans="1:24" s="123" customFormat="1">
      <c r="A56" s="115"/>
      <c r="B56" s="131"/>
      <c r="C56" s="131"/>
      <c r="D56" s="131"/>
      <c r="G56" s="115"/>
      <c r="H56" s="115"/>
      <c r="I56" s="115"/>
      <c r="J56" s="115"/>
      <c r="K56" s="133"/>
      <c r="L56" s="115"/>
      <c r="M56" s="115"/>
      <c r="N56" s="115"/>
      <c r="O56" s="115"/>
      <c r="P56" s="115"/>
      <c r="Q56" s="115"/>
      <c r="R56" s="115"/>
      <c r="S56" s="115"/>
      <c r="T56" s="115"/>
      <c r="U56" s="115"/>
      <c r="V56" s="115"/>
      <c r="W56" s="115"/>
      <c r="X56" s="115"/>
    </row>
    <row r="57" spans="1:24" s="123" customFormat="1">
      <c r="A57" s="115"/>
      <c r="B57" s="131"/>
      <c r="C57" s="131"/>
      <c r="D57" s="131"/>
      <c r="G57" s="115"/>
      <c r="H57" s="115"/>
      <c r="I57" s="115"/>
      <c r="J57" s="115"/>
      <c r="K57" s="133"/>
      <c r="L57" s="115"/>
      <c r="M57" s="115"/>
      <c r="N57" s="115"/>
      <c r="O57" s="115"/>
      <c r="P57" s="115"/>
      <c r="Q57" s="115"/>
      <c r="R57" s="115"/>
      <c r="S57" s="115"/>
      <c r="T57" s="115"/>
      <c r="U57" s="115"/>
      <c r="V57" s="115"/>
      <c r="W57" s="115"/>
      <c r="X57" s="115"/>
    </row>
    <row r="58" spans="1:24" s="123" customFormat="1">
      <c r="A58" s="115"/>
      <c r="B58" s="131"/>
      <c r="C58" s="131"/>
      <c r="D58" s="131"/>
      <c r="G58" s="115"/>
      <c r="H58" s="115"/>
      <c r="I58" s="115"/>
      <c r="J58" s="115"/>
      <c r="K58" s="133"/>
      <c r="L58" s="115"/>
      <c r="M58" s="115"/>
      <c r="N58" s="115"/>
      <c r="O58" s="115"/>
      <c r="P58" s="115"/>
      <c r="Q58" s="115"/>
      <c r="R58" s="115"/>
      <c r="S58" s="115"/>
      <c r="T58" s="115"/>
      <c r="U58" s="115"/>
      <c r="V58" s="115"/>
      <c r="W58" s="115"/>
      <c r="X58" s="115"/>
    </row>
    <row r="59" spans="1:24" s="123" customFormat="1">
      <c r="A59" s="115"/>
      <c r="B59" s="131"/>
      <c r="C59" s="131"/>
      <c r="D59" s="131"/>
      <c r="G59" s="115"/>
      <c r="H59" s="115"/>
      <c r="I59" s="115"/>
      <c r="J59" s="115"/>
      <c r="K59" s="133"/>
      <c r="L59" s="115"/>
      <c r="M59" s="115"/>
      <c r="N59" s="115"/>
      <c r="O59" s="115"/>
      <c r="P59" s="115"/>
      <c r="Q59" s="115"/>
      <c r="R59" s="115"/>
      <c r="S59" s="115"/>
      <c r="T59" s="115"/>
      <c r="U59" s="115"/>
      <c r="V59" s="115"/>
      <c r="W59" s="115"/>
      <c r="X59" s="115"/>
    </row>
    <row r="60" spans="1:24" s="123" customFormat="1">
      <c r="A60" s="115"/>
      <c r="B60" s="131"/>
      <c r="C60" s="131"/>
      <c r="D60" s="131"/>
      <c r="G60" s="115"/>
      <c r="H60" s="115"/>
      <c r="I60" s="115"/>
      <c r="J60" s="115"/>
      <c r="K60" s="133"/>
      <c r="L60" s="115"/>
      <c r="M60" s="115"/>
      <c r="N60" s="115"/>
      <c r="O60" s="115"/>
      <c r="P60" s="115"/>
      <c r="Q60" s="115"/>
      <c r="R60" s="115"/>
      <c r="S60" s="115"/>
      <c r="T60" s="115"/>
      <c r="U60" s="115"/>
      <c r="V60" s="115"/>
      <c r="W60" s="115"/>
      <c r="X60" s="115"/>
    </row>
    <row r="61" spans="1:24" s="123" customFormat="1">
      <c r="A61" s="115"/>
      <c r="B61" s="131"/>
      <c r="C61" s="131"/>
      <c r="D61" s="131"/>
      <c r="G61" s="115"/>
      <c r="H61" s="115"/>
      <c r="I61" s="115"/>
      <c r="J61" s="115"/>
      <c r="K61" s="133"/>
      <c r="L61" s="115"/>
      <c r="M61" s="115"/>
      <c r="N61" s="115"/>
      <c r="O61" s="115"/>
      <c r="P61" s="115"/>
      <c r="Q61" s="115"/>
      <c r="R61" s="115"/>
      <c r="S61" s="115"/>
      <c r="T61" s="115"/>
      <c r="U61" s="115"/>
      <c r="V61" s="115"/>
      <c r="W61" s="115"/>
      <c r="X61" s="115"/>
    </row>
    <row r="62" spans="1:24" s="123" customFormat="1">
      <c r="A62" s="115"/>
      <c r="B62" s="131"/>
      <c r="C62" s="131"/>
      <c r="D62" s="131"/>
      <c r="G62" s="115"/>
      <c r="H62" s="115"/>
      <c r="I62" s="115"/>
      <c r="J62" s="115"/>
      <c r="K62" s="133"/>
      <c r="L62" s="115"/>
      <c r="M62" s="115"/>
      <c r="N62" s="115"/>
      <c r="O62" s="115"/>
      <c r="P62" s="115"/>
      <c r="Q62" s="115"/>
      <c r="R62" s="115"/>
      <c r="S62" s="115"/>
      <c r="T62" s="115"/>
      <c r="U62" s="115"/>
      <c r="V62" s="115"/>
      <c r="W62" s="115"/>
      <c r="X62" s="115"/>
    </row>
    <row r="63" spans="1:24" s="123" customFormat="1">
      <c r="A63" s="115"/>
      <c r="B63" s="131"/>
      <c r="C63" s="131"/>
      <c r="D63" s="131"/>
      <c r="G63" s="115"/>
      <c r="H63" s="115"/>
      <c r="I63" s="115"/>
      <c r="J63" s="115"/>
      <c r="K63" s="133"/>
      <c r="L63" s="115"/>
      <c r="M63" s="115"/>
      <c r="N63" s="115"/>
      <c r="O63" s="115"/>
      <c r="P63" s="115"/>
      <c r="Q63" s="115"/>
      <c r="R63" s="115"/>
      <c r="S63" s="115"/>
      <c r="T63" s="115"/>
      <c r="U63" s="115"/>
      <c r="V63" s="115"/>
      <c r="W63" s="115"/>
      <c r="X63" s="115"/>
    </row>
    <row r="64" spans="1:24" s="123" customFormat="1">
      <c r="A64" s="115"/>
      <c r="B64" s="131"/>
      <c r="C64" s="131"/>
      <c r="D64" s="131"/>
      <c r="G64" s="115"/>
      <c r="H64" s="115"/>
      <c r="I64" s="115"/>
      <c r="J64" s="115"/>
      <c r="K64" s="133"/>
      <c r="L64" s="115"/>
      <c r="M64" s="115"/>
      <c r="N64" s="115"/>
      <c r="O64" s="115"/>
      <c r="P64" s="115"/>
      <c r="Q64" s="115"/>
      <c r="R64" s="115"/>
      <c r="S64" s="115"/>
      <c r="T64" s="115"/>
      <c r="U64" s="115"/>
      <c r="V64" s="115"/>
      <c r="W64" s="115"/>
      <c r="X64" s="115"/>
    </row>
    <row r="65" spans="1:24" s="123" customFormat="1">
      <c r="A65" s="115"/>
      <c r="B65" s="131"/>
      <c r="C65" s="131"/>
      <c r="D65" s="131"/>
      <c r="G65" s="115"/>
      <c r="H65" s="115"/>
      <c r="I65" s="115"/>
      <c r="J65" s="115"/>
      <c r="K65" s="133"/>
      <c r="L65" s="115"/>
      <c r="M65" s="115"/>
      <c r="N65" s="115"/>
      <c r="O65" s="115"/>
      <c r="P65" s="115"/>
      <c r="Q65" s="115"/>
      <c r="R65" s="115"/>
      <c r="S65" s="115"/>
      <c r="T65" s="115"/>
      <c r="U65" s="115"/>
      <c r="V65" s="115"/>
      <c r="W65" s="115"/>
      <c r="X65" s="115"/>
    </row>
    <row r="66" spans="1:24" s="123" customFormat="1">
      <c r="A66" s="115"/>
      <c r="B66" s="131"/>
      <c r="C66" s="131"/>
      <c r="D66" s="131"/>
      <c r="G66" s="115"/>
      <c r="H66" s="115"/>
      <c r="I66" s="115"/>
      <c r="J66" s="115"/>
      <c r="K66" s="133"/>
      <c r="L66" s="115"/>
      <c r="M66" s="115"/>
      <c r="N66" s="115"/>
      <c r="O66" s="115"/>
      <c r="P66" s="115"/>
      <c r="Q66" s="115"/>
      <c r="R66" s="115"/>
      <c r="S66" s="115"/>
      <c r="T66" s="115"/>
      <c r="U66" s="115"/>
      <c r="V66" s="115"/>
      <c r="W66" s="115"/>
      <c r="X66" s="115"/>
    </row>
    <row r="67" spans="1:24" s="123" customFormat="1">
      <c r="A67" s="115"/>
      <c r="B67" s="131"/>
      <c r="C67" s="131"/>
      <c r="D67" s="131"/>
      <c r="G67" s="115"/>
      <c r="H67" s="115"/>
      <c r="I67" s="115"/>
      <c r="J67" s="115"/>
      <c r="K67" s="133"/>
      <c r="L67" s="115"/>
      <c r="M67" s="115"/>
      <c r="N67" s="115"/>
      <c r="O67" s="115"/>
      <c r="P67" s="115"/>
      <c r="Q67" s="115"/>
      <c r="R67" s="115"/>
      <c r="S67" s="115"/>
      <c r="T67" s="115"/>
      <c r="U67" s="115"/>
      <c r="V67" s="115"/>
      <c r="W67" s="115"/>
      <c r="X67" s="115"/>
    </row>
    <row r="68" spans="1:24" s="123" customFormat="1">
      <c r="A68" s="115"/>
      <c r="B68" s="131"/>
      <c r="C68" s="131"/>
      <c r="D68" s="131"/>
      <c r="G68" s="115"/>
      <c r="H68" s="115"/>
      <c r="I68" s="115"/>
      <c r="J68" s="115"/>
      <c r="K68" s="133"/>
      <c r="L68" s="115"/>
      <c r="M68" s="115"/>
      <c r="N68" s="115"/>
      <c r="O68" s="115"/>
      <c r="P68" s="115"/>
      <c r="Q68" s="115"/>
      <c r="R68" s="115"/>
      <c r="S68" s="115"/>
      <c r="T68" s="115"/>
      <c r="U68" s="115"/>
      <c r="V68" s="115"/>
      <c r="W68" s="115"/>
      <c r="X68" s="115"/>
    </row>
    <row r="69" spans="1:24" s="123" customFormat="1">
      <c r="A69" s="115"/>
      <c r="B69" s="131"/>
      <c r="C69" s="131"/>
      <c r="D69" s="131"/>
      <c r="G69" s="115"/>
      <c r="H69" s="115"/>
      <c r="I69" s="115"/>
      <c r="J69" s="115"/>
      <c r="K69" s="133"/>
      <c r="L69" s="115"/>
      <c r="M69" s="115"/>
      <c r="N69" s="115"/>
      <c r="O69" s="115"/>
      <c r="P69" s="115"/>
      <c r="Q69" s="115"/>
      <c r="R69" s="115"/>
      <c r="S69" s="115"/>
      <c r="T69" s="115"/>
      <c r="U69" s="115"/>
      <c r="V69" s="115"/>
      <c r="W69" s="115"/>
      <c r="X69" s="115"/>
    </row>
    <row r="70" spans="1:24" s="123" customFormat="1">
      <c r="A70" s="115"/>
      <c r="B70" s="131"/>
      <c r="C70" s="131"/>
      <c r="D70" s="131"/>
      <c r="G70" s="115"/>
      <c r="H70" s="115"/>
      <c r="I70" s="115"/>
      <c r="J70" s="115"/>
      <c r="K70" s="133"/>
      <c r="L70" s="115"/>
      <c r="M70" s="115"/>
      <c r="N70" s="115"/>
      <c r="O70" s="115"/>
      <c r="P70" s="115"/>
      <c r="Q70" s="115"/>
      <c r="R70" s="115"/>
      <c r="S70" s="115"/>
      <c r="T70" s="115"/>
      <c r="U70" s="115"/>
      <c r="V70" s="115"/>
      <c r="W70" s="115"/>
      <c r="X70" s="115"/>
    </row>
    <row r="71" spans="1:24" s="123" customFormat="1">
      <c r="A71" s="115"/>
      <c r="B71" s="131"/>
      <c r="C71" s="131"/>
      <c r="D71" s="131"/>
      <c r="G71" s="115"/>
      <c r="H71" s="115"/>
      <c r="I71" s="115"/>
      <c r="J71" s="115"/>
      <c r="K71" s="133"/>
      <c r="L71" s="115"/>
      <c r="M71" s="115"/>
      <c r="N71" s="115"/>
      <c r="O71" s="115"/>
      <c r="P71" s="115"/>
      <c r="Q71" s="115"/>
      <c r="R71" s="115"/>
      <c r="S71" s="115"/>
      <c r="T71" s="115"/>
      <c r="U71" s="115"/>
      <c r="V71" s="115"/>
      <c r="W71" s="115"/>
      <c r="X71" s="115"/>
    </row>
    <row r="72" spans="1:24" s="123" customFormat="1">
      <c r="A72" s="115"/>
      <c r="B72" s="131"/>
      <c r="C72" s="131"/>
      <c r="D72" s="131"/>
      <c r="G72" s="115"/>
      <c r="H72" s="115"/>
      <c r="I72" s="115"/>
      <c r="J72" s="115"/>
      <c r="K72" s="133"/>
      <c r="L72" s="115"/>
      <c r="M72" s="115"/>
      <c r="N72" s="115"/>
      <c r="O72" s="115"/>
      <c r="P72" s="115"/>
      <c r="Q72" s="115"/>
      <c r="R72" s="115"/>
      <c r="S72" s="115"/>
      <c r="T72" s="115"/>
      <c r="U72" s="115"/>
      <c r="V72" s="115"/>
      <c r="W72" s="115"/>
      <c r="X72" s="115"/>
    </row>
    <row r="73" spans="1:24" s="123" customFormat="1">
      <c r="A73" s="115"/>
      <c r="B73" s="131"/>
      <c r="C73" s="131"/>
      <c r="D73" s="131"/>
      <c r="G73" s="115"/>
      <c r="H73" s="115"/>
      <c r="I73" s="115"/>
      <c r="J73" s="115"/>
      <c r="K73" s="133"/>
      <c r="L73" s="115"/>
      <c r="M73" s="115"/>
      <c r="N73" s="115"/>
      <c r="O73" s="115"/>
      <c r="P73" s="115"/>
      <c r="Q73" s="115"/>
      <c r="R73" s="115"/>
      <c r="S73" s="115"/>
      <c r="T73" s="115"/>
      <c r="U73" s="115"/>
      <c r="V73" s="115"/>
      <c r="W73" s="115"/>
      <c r="X73" s="115"/>
    </row>
    <row r="74" spans="1:24" s="123" customFormat="1">
      <c r="A74" s="115"/>
      <c r="B74" s="131"/>
      <c r="C74" s="131"/>
      <c r="D74" s="131"/>
      <c r="G74" s="115"/>
      <c r="H74" s="115"/>
      <c r="I74" s="115"/>
      <c r="J74" s="115"/>
      <c r="K74" s="133"/>
      <c r="L74" s="115"/>
      <c r="M74" s="115"/>
      <c r="N74" s="115"/>
      <c r="O74" s="115"/>
      <c r="P74" s="115"/>
      <c r="Q74" s="115"/>
      <c r="R74" s="115"/>
      <c r="S74" s="115"/>
      <c r="T74" s="115"/>
      <c r="U74" s="115"/>
      <c r="V74" s="115"/>
      <c r="W74" s="115"/>
      <c r="X74" s="115"/>
    </row>
    <row r="75" spans="1:24" s="123" customFormat="1">
      <c r="A75" s="115"/>
      <c r="B75" s="131"/>
      <c r="C75" s="131"/>
      <c r="D75" s="131"/>
      <c r="G75" s="115"/>
      <c r="H75" s="115"/>
      <c r="I75" s="115"/>
      <c r="J75" s="115"/>
      <c r="K75" s="133"/>
      <c r="L75" s="115"/>
      <c r="M75" s="115"/>
      <c r="N75" s="115"/>
      <c r="O75" s="115"/>
      <c r="P75" s="115"/>
      <c r="Q75" s="115"/>
      <c r="R75" s="115"/>
      <c r="S75" s="115"/>
      <c r="T75" s="115"/>
      <c r="U75" s="115"/>
      <c r="V75" s="115"/>
      <c r="W75" s="115"/>
      <c r="X75" s="115"/>
    </row>
  </sheetData>
  <mergeCells count="6">
    <mergeCell ref="L1:M1"/>
    <mergeCell ref="O1:P1"/>
    <mergeCell ref="B11:J11"/>
    <mergeCell ref="O2:O4"/>
    <mergeCell ref="O6:O8"/>
    <mergeCell ref="M3:N11"/>
  </mergeCells>
  <phoneticPr fontId="120" type="noConversion"/>
  <conditionalFormatting sqref="C10">
    <cfRule type="containsBlanks" dxfId="324" priority="1">
      <formula>LEN(TRIM(C10))=0</formula>
    </cfRule>
  </conditionalFormatting>
  <conditionalFormatting sqref="C13">
    <cfRule type="containsBlanks" dxfId="323" priority="12">
      <formula>LEN(TRIM(C13))=0</formula>
    </cfRule>
  </conditionalFormatting>
  <conditionalFormatting sqref="H28:I28">
    <cfRule type="expression" dxfId="322" priority="7">
      <formula>$Q$12=1</formula>
    </cfRule>
  </conditionalFormatting>
  <conditionalFormatting sqref="R31:U31">
    <cfRule type="cellIs" dxfId="321" priority="9" operator="greaterThan">
      <formula>0</formula>
    </cfRule>
  </conditionalFormatting>
  <conditionalFormatting sqref="C8:C9">
    <cfRule type="containsBlanks" dxfId="320" priority="2">
      <formula>LEN(TRIM(C8))=0</formula>
    </cfRule>
  </conditionalFormatting>
  <conditionalFormatting sqref="E14:E24">
    <cfRule type="expression" dxfId="319" priority="8">
      <formula>ISNUMBER(SEARCH("guard",C14))</formula>
    </cfRule>
    <cfRule type="expression" dxfId="318" priority="10">
      <formula>ISNUMBER(SEARCH("protector",C14))</formula>
    </cfRule>
    <cfRule type="expression" dxfId="317" priority="11">
      <formula>ISNUMBER(SEARCH("beam",C14))</formula>
    </cfRule>
  </conditionalFormatting>
  <conditionalFormatting sqref="I26:I27">
    <cfRule type="expression" dxfId="316" priority="5">
      <formula>$O26=0</formula>
    </cfRule>
  </conditionalFormatting>
  <conditionalFormatting sqref="P14:P24">
    <cfRule type="cellIs" dxfId="315" priority="14" operator="equal">
      <formula>"-"</formula>
    </cfRule>
    <cfRule type="cellIs" dxfId="314" priority="15" operator="notEqual">
      <formula>$P$12</formula>
    </cfRule>
  </conditionalFormatting>
  <conditionalFormatting sqref="I5:I6 I8">
    <cfRule type="containsBlanks" dxfId="313" priority="13">
      <formula>LEN(TRIM(I5))=0</formula>
    </cfRule>
  </conditionalFormatting>
  <conditionalFormatting sqref="B12:K12 B14:K24 B13:C13 E13:K13">
    <cfRule type="cellIs" dxfId="312" priority="3" operator="equal">
      <formula>0</formula>
    </cfRule>
  </conditionalFormatting>
  <conditionalFormatting sqref="H25:H27 H14:I24 Q14:Q24">
    <cfRule type="expression" dxfId="311" priority="6">
      <formula>$Q$12=1</formula>
    </cfRule>
  </conditionalFormatting>
  <conditionalFormatting sqref="J25:M27 B25:I25 C26:H27">
    <cfRule type="expression" dxfId="310" priority="4">
      <formula>$O25=0</formula>
    </cfRule>
  </conditionalFormatting>
  <dataValidations count="1">
    <dataValidation type="list" allowBlank="1" showInputMessage="1" showErrorMessage="1" sqref="R31:U31" xr:uid="{00000000-0002-0000-0000-000001000000}">
      <formula1>"0,1"</formula1>
    </dataValidation>
  </dataValidations>
  <hyperlinks>
    <hyperlink ref="O6:O8" r:id="rId1" display="设计基础数据" xr:uid="{00000000-0004-0000-0000-000000000000}"/>
    <hyperlink ref="O2:O4" r:id="rId2" display="包装方案" xr:uid="{00000000-0004-0000-0000-000001000000}"/>
  </hyperlinks>
  <pageMargins left="0.70866141732283505" right="0.70866141732283505" top="0.74803149606299202" bottom="0.74803149606299202" header="0.31496062992126" footer="0.31496062992126"/>
  <pageSetup paperSize="9" scale="48" fitToHeight="0" orientation="portrait" errors="blank" verticalDpi="300"/>
  <drawing r:id="rId3"/>
  <legacyDrawing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客户清单!$B:$B</xm:f>
          </x14:formula1>
          <xm:sqref>C8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R11"/>
  <sheetViews>
    <sheetView topLeftCell="B1" workbookViewId="0">
      <selection activeCell="G2" sqref="G2"/>
    </sheetView>
  </sheetViews>
  <sheetFormatPr defaultColWidth="9" defaultRowHeight="12.75"/>
  <cols>
    <col min="1" max="18" width="13" style="848" customWidth="1"/>
    <col min="19" max="16384" width="9" style="848"/>
  </cols>
  <sheetData>
    <row r="1" spans="1:18" ht="12.75" customHeight="1">
      <c r="A1" s="849" t="s">
        <v>92</v>
      </c>
      <c r="B1" s="849" t="s">
        <v>93</v>
      </c>
      <c r="C1" s="849" t="s">
        <v>94</v>
      </c>
      <c r="D1" s="849" t="s">
        <v>95</v>
      </c>
      <c r="E1" s="849" t="s">
        <v>96</v>
      </c>
      <c r="F1" s="849" t="s">
        <v>97</v>
      </c>
      <c r="G1" s="849" t="s">
        <v>98</v>
      </c>
      <c r="H1" s="849" t="s">
        <v>99</v>
      </c>
      <c r="I1" s="849" t="s">
        <v>100</v>
      </c>
      <c r="J1" s="849" t="s">
        <v>101</v>
      </c>
      <c r="K1" s="849" t="s">
        <v>102</v>
      </c>
      <c r="L1" s="849" t="s">
        <v>103</v>
      </c>
      <c r="M1" s="849" t="s">
        <v>53</v>
      </c>
      <c r="N1" s="849" t="s">
        <v>104</v>
      </c>
      <c r="O1" s="849" t="s">
        <v>105</v>
      </c>
      <c r="P1" s="849" t="s">
        <v>106</v>
      </c>
      <c r="Q1" s="849" t="s">
        <v>107</v>
      </c>
      <c r="R1" s="849" t="s">
        <v>108</v>
      </c>
    </row>
    <row r="2" spans="1:18" ht="41.25" customHeight="1">
      <c r="A2" s="850" t="s">
        <v>109</v>
      </c>
      <c r="B2" s="851" t="s">
        <v>110</v>
      </c>
      <c r="C2" s="852" t="s">
        <v>111</v>
      </c>
      <c r="D2" s="851" t="s">
        <v>112</v>
      </c>
      <c r="E2" s="851" t="s">
        <v>113</v>
      </c>
      <c r="F2" s="851" t="s">
        <v>114</v>
      </c>
      <c r="G2" s="852" t="s">
        <v>115</v>
      </c>
      <c r="H2" s="851" t="s">
        <v>113</v>
      </c>
      <c r="I2" s="852" t="s">
        <v>116</v>
      </c>
      <c r="J2" s="852" t="s">
        <v>117</v>
      </c>
      <c r="K2" s="852" t="s">
        <v>118</v>
      </c>
      <c r="L2" s="851" t="s">
        <v>113</v>
      </c>
      <c r="M2" s="851" t="s">
        <v>119</v>
      </c>
      <c r="N2" s="851" t="s">
        <v>120</v>
      </c>
      <c r="O2" s="851" t="s">
        <v>121</v>
      </c>
      <c r="P2" s="851" t="s">
        <v>122</v>
      </c>
      <c r="Q2" s="851" t="s">
        <v>123</v>
      </c>
      <c r="R2" s="851" t="s">
        <v>113</v>
      </c>
    </row>
    <row r="5" spans="1:18">
      <c r="A5" s="853">
        <f ca="1">'Price PDF'!I10</f>
        <v>46090</v>
      </c>
      <c r="B5" s="848" t="str">
        <f>'Price PDF'!C9</f>
        <v>Capital Racking Ltd</v>
      </c>
      <c r="F5" s="848" t="str">
        <f>'Price PDF'!C15</f>
        <v>-</v>
      </c>
    </row>
    <row r="11" spans="1:18" ht="99.95" customHeight="1">
      <c r="A11" s="922" t="s">
        <v>124</v>
      </c>
      <c r="B11" s="923"/>
      <c r="C11" s="923"/>
      <c r="D11" s="923"/>
      <c r="E11" s="923"/>
      <c r="F11" s="923"/>
      <c r="G11" s="923"/>
      <c r="H11" s="923"/>
    </row>
  </sheetData>
  <mergeCells count="1">
    <mergeCell ref="A11:H11"/>
  </mergeCells>
  <phoneticPr fontId="120" type="noConversion"/>
  <pageMargins left="0.75" right="0.75" top="1" bottom="1" header="0.5" footer="0.5"/>
  <pageSetup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tabColor rgb="FF92D050"/>
    <pageSetUpPr fitToPage="1"/>
  </sheetPr>
  <dimension ref="A1:X83"/>
  <sheetViews>
    <sheetView showGridLines="0" zoomScale="85" zoomScaleNormal="85" zoomScaleSheetLayoutView="70" workbookViewId="0">
      <pane xSplit="3" ySplit="8" topLeftCell="D9" activePane="bottomRight" state="frozen"/>
      <selection pane="topRight"/>
      <selection pane="bottomLeft"/>
      <selection pane="bottomRight" activeCell="F7" sqref="F7"/>
    </sheetView>
  </sheetViews>
  <sheetFormatPr defaultColWidth="8.625" defaultRowHeight="15" outlineLevelRow="1" outlineLevelCol="1"/>
  <cols>
    <col min="1" max="1" width="7" style="115" customWidth="1"/>
    <col min="2" max="2" width="8.125" style="115" customWidth="1"/>
    <col min="3" max="3" width="27.125" style="123" customWidth="1"/>
    <col min="4" max="4" width="20.75" style="115" customWidth="1"/>
    <col min="5" max="5" width="22.875" style="123" customWidth="1"/>
    <col min="6" max="6" width="57.875" style="123" customWidth="1"/>
    <col min="7" max="7" width="9" style="115" customWidth="1"/>
    <col min="8" max="8" width="10.625" style="115" customWidth="1"/>
    <col min="9" max="9" width="15.625" style="115" customWidth="1"/>
    <col min="10" max="10" width="12.875" style="133" customWidth="1" outlineLevel="1"/>
    <col min="11" max="11" width="19.5" style="115" customWidth="1" outlineLevel="1"/>
    <col min="12" max="12" width="16" style="115" customWidth="1"/>
    <col min="13" max="13" width="31.5" style="115" customWidth="1"/>
    <col min="14" max="14" width="14.125" style="115" customWidth="1"/>
    <col min="15" max="19" width="16.125" style="115" customWidth="1"/>
    <col min="20" max="21" width="14.125" style="115" customWidth="1"/>
    <col min="22" max="23" width="15.625" style="115" customWidth="1"/>
    <col min="24" max="25" width="17.75" style="115" customWidth="1"/>
    <col min="26" max="27" width="15.625" style="115" customWidth="1"/>
    <col min="28" max="16384" width="8.625" style="115"/>
  </cols>
  <sheetData>
    <row r="1" spans="1:21">
      <c r="A1" s="751" t="str">
        <f ca="1">L1&amp;"-S"</f>
        <v>Boracs-CPJ-BMW-price list 260309-S</v>
      </c>
      <c r="B1" s="751" t="s">
        <v>2324</v>
      </c>
      <c r="C1" s="909">
        <f ca="1">SUMIF(C13:C202,B1,I13:I202)</f>
        <v>0</v>
      </c>
      <c r="I1" s="751" t="s">
        <v>125</v>
      </c>
      <c r="L1" s="752" t="str">
        <f ca="1">"Boracs-"&amp;IFERROR(VLOOKUP(C9,客户清单!B:D,2,0),C9)&amp;"-"&amp;C11&amp;"-price list "&amp;RIGHT(YEAR(I10),2)&amp;TEXT(MONTH(I10),"00")&amp;TEXT(DAY(I10),"00")</f>
        <v>Boracs-CPJ-BMW-price list 260309</v>
      </c>
      <c r="M1" s="752"/>
      <c r="N1" s="114"/>
      <c r="O1" s="114"/>
      <c r="P1" s="114"/>
      <c r="Q1" s="114"/>
    </row>
    <row r="2" spans="1:21">
      <c r="A2" s="798" t="str">
        <f ca="1">"成本-"&amp;IFERROR(VLOOKUP(C9,客户清单!B:D,2,0),C9)&amp;"-"&amp;C11&amp;"-price list "&amp;RIGHT(YEAR(I10),2)&amp;TEXT(MONTH(I10),"00")&amp;TEXT(DAY(I10),"00")</f>
        <v>成本-CPJ-BMW-price list 260309</v>
      </c>
      <c r="I2" s="753" t="s">
        <v>126</v>
      </c>
      <c r="J2" s="115"/>
      <c r="L2" s="799" t="s">
        <v>127</v>
      </c>
      <c r="M2" s="799" t="s">
        <v>4</v>
      </c>
      <c r="O2" s="920"/>
      <c r="P2" s="135" t="s">
        <v>6</v>
      </c>
      <c r="Q2" s="141" t="s">
        <v>7</v>
      </c>
      <c r="R2" s="141" t="s">
        <v>8</v>
      </c>
    </row>
    <row r="3" spans="1:21">
      <c r="I3" s="753" t="s">
        <v>3</v>
      </c>
      <c r="J3" s="115"/>
      <c r="L3" s="114" t="s">
        <v>128</v>
      </c>
      <c r="M3" s="925" t="str">
        <f>IFERROR(VLOOKUP($C$9,客户清单!$B:$F,4,0),"-")</f>
        <v>1.横斜撑40*24*1.5mm；
2.脚底板特制，并镀锌
3.脚底板不配膨胀螺栓。
4.立柱使用Q355 材料
5. 特殊柱卡
6.76.2节距
7.重型悬臂货架用焊接式底座
8.立柱和横梁都需要字码
9.横梁配弹簧销</v>
      </c>
      <c r="O3" s="920"/>
      <c r="P3" s="135"/>
      <c r="Q3" s="141"/>
      <c r="R3" s="141"/>
    </row>
    <row r="4" spans="1:21" ht="15" customHeight="1">
      <c r="I4" s="113" t="s">
        <v>9</v>
      </c>
      <c r="J4" s="115"/>
      <c r="L4" s="799" t="s">
        <v>129</v>
      </c>
      <c r="M4" s="925"/>
      <c r="N4" s="754"/>
      <c r="O4" s="920"/>
      <c r="P4" s="135" t="s">
        <v>10</v>
      </c>
      <c r="Q4" s="755">
        <f>SUM(报价辅助计算!AR:AR)</f>
        <v>0</v>
      </c>
      <c r="R4" s="755">
        <f>SUM(报价辅助计算!AS:AS)</f>
        <v>0</v>
      </c>
    </row>
    <row r="5" spans="1:21">
      <c r="H5" s="756"/>
      <c r="I5" s="113" t="s">
        <v>11</v>
      </c>
      <c r="J5" s="115"/>
      <c r="L5" s="114" t="s">
        <v>128</v>
      </c>
      <c r="M5" s="925"/>
      <c r="N5" s="754"/>
      <c r="O5" s="920"/>
      <c r="P5" s="135" t="s">
        <v>12</v>
      </c>
      <c r="Q5" s="755" t="s">
        <v>13</v>
      </c>
      <c r="R5" s="755">
        <f>SUM(报价辅助计算!AT:AT)</f>
        <v>0</v>
      </c>
    </row>
    <row r="6" spans="1:21" ht="15" customHeight="1">
      <c r="F6" s="123" t="s">
        <v>130</v>
      </c>
      <c r="H6" s="756"/>
      <c r="I6" s="113" t="s">
        <v>14</v>
      </c>
      <c r="J6" s="115"/>
      <c r="L6" s="799" t="s">
        <v>131</v>
      </c>
      <c r="M6" s="925"/>
      <c r="N6" s="754"/>
      <c r="O6" s="131"/>
      <c r="P6" s="135" t="s">
        <v>16</v>
      </c>
      <c r="Q6" s="755">
        <f>SUM(报价辅助计算!AU:AU)</f>
        <v>0</v>
      </c>
      <c r="R6" s="755">
        <f>SUM(报价辅助计算!AV:AV)</f>
        <v>0</v>
      </c>
    </row>
    <row r="7" spans="1:21" ht="15" customHeight="1">
      <c r="E7" s="757"/>
      <c r="F7" s="757"/>
      <c r="H7" s="756"/>
      <c r="I7" s="113" t="s">
        <v>17</v>
      </c>
      <c r="J7" s="115"/>
      <c r="L7" s="800">
        <v>0</v>
      </c>
      <c r="M7" s="925"/>
      <c r="N7" s="754"/>
      <c r="O7" s="736"/>
      <c r="P7" s="141" t="s">
        <v>20</v>
      </c>
      <c r="Q7" s="755" t="s">
        <v>13</v>
      </c>
      <c r="R7" s="755">
        <f>SUM(报价辅助计算!AW:AW)</f>
        <v>0</v>
      </c>
    </row>
    <row r="8" spans="1:21" ht="15" customHeight="1">
      <c r="E8" s="757"/>
      <c r="F8" s="757"/>
      <c r="H8" s="756"/>
      <c r="I8" s="113"/>
      <c r="J8" s="115"/>
      <c r="L8" s="131"/>
      <c r="M8" s="925"/>
      <c r="N8" s="754"/>
      <c r="O8" s="736"/>
      <c r="P8" s="135" t="s">
        <v>21</v>
      </c>
      <c r="Q8" s="755">
        <f>SUM(Q4:Q7)</f>
        <v>0</v>
      </c>
      <c r="R8" s="755">
        <f>SUM(R4:R7)</f>
        <v>0</v>
      </c>
    </row>
    <row r="9" spans="1:21">
      <c r="A9" s="801"/>
      <c r="B9" s="802" t="s">
        <v>22</v>
      </c>
      <c r="C9" s="803" t="str">
        <f>IF(D9&lt;&gt;0,D9,"右侧单元格选择客户➡️")</f>
        <v>Capital Racking Ltd</v>
      </c>
      <c r="D9" s="804" t="s">
        <v>2340</v>
      </c>
      <c r="E9" s="759"/>
      <c r="F9" s="759"/>
      <c r="H9" s="756" t="s">
        <v>24</v>
      </c>
      <c r="I9" s="113" t="s">
        <v>25</v>
      </c>
      <c r="J9" s="115"/>
      <c r="L9" s="171"/>
      <c r="M9" s="925"/>
      <c r="N9" s="805" t="s">
        <v>132</v>
      </c>
    </row>
    <row r="10" spans="1:21">
      <c r="A10" s="806" t="str">
        <f>IFERROR(VLOOKUP(C9,客户清单!B:D,3,0),"-")&amp;IF(D10&gt;0,D10," ")</f>
        <v xml:space="preserve">Fraser/Chad </v>
      </c>
      <c r="B10" s="807" t="s">
        <v>24</v>
      </c>
      <c r="C10" s="803" t="str">
        <f>IFERROR(VLOOKUP(C9,客户清单!B:D,3,0),"-")&amp;IF(D10&gt;0,D10," ")</f>
        <v xml:space="preserve">Fraser/Chad </v>
      </c>
      <c r="D10" s="806"/>
      <c r="H10" s="756" t="s">
        <v>27</v>
      </c>
      <c r="I10" s="761">
        <f ca="1">TODAY()</f>
        <v>46090</v>
      </c>
      <c r="J10" s="115"/>
      <c r="L10" s="131"/>
      <c r="M10" s="925"/>
      <c r="N10" s="805" t="s">
        <v>133</v>
      </c>
      <c r="O10" s="805" t="s">
        <v>134</v>
      </c>
      <c r="P10" s="805" t="s">
        <v>135</v>
      </c>
      <c r="Q10" s="805" t="s">
        <v>136</v>
      </c>
      <c r="R10" s="115" t="s">
        <v>137</v>
      </c>
      <c r="S10" s="115" t="s">
        <v>138</v>
      </c>
      <c r="T10" s="115" t="s">
        <v>139</v>
      </c>
      <c r="U10" s="115" t="s">
        <v>140</v>
      </c>
    </row>
    <row r="11" spans="1:21">
      <c r="A11" s="801"/>
      <c r="B11" s="802" t="s">
        <v>28</v>
      </c>
      <c r="C11" s="803" t="s">
        <v>2341</v>
      </c>
      <c r="D11" s="801"/>
      <c r="H11" s="121" t="s">
        <v>30</v>
      </c>
      <c r="I11" s="808" t="str">
        <f>IF(R39=0,"EXW",IF(R38&lt;4050,"FOB Nanjing",IF(R38&gt;4050,"FOB Shanghai","请核对数据")))</f>
        <v>EXW</v>
      </c>
      <c r="J11" s="115"/>
      <c r="L11" s="171"/>
      <c r="M11" s="925"/>
      <c r="N11" s="809" t="s">
        <v>141</v>
      </c>
      <c r="O11" s="115">
        <f>VLOOKUP(N11,下拉菜单!BR:BY,2,0)</f>
        <v>688.59</v>
      </c>
      <c r="P11" s="810">
        <f>VLOOKUP(N11,下拉菜单!BR:BY,7,0)</f>
        <v>46087.687002314815</v>
      </c>
      <c r="Q11" s="117">
        <f>VLOOKUP(N11,下拉菜单!BR:BY,8,0)</f>
        <v>0.68700231481481477</v>
      </c>
      <c r="R11" s="115">
        <f>VLOOKUP(N11,下拉菜单!BR:BY,3,0)</f>
        <v>688.59</v>
      </c>
      <c r="S11" s="115">
        <f>VLOOKUP(N11,下拉菜单!BR:BY,4,0)</f>
        <v>691.49</v>
      </c>
      <c r="T11" s="115">
        <f>VLOOKUP(N11,下拉菜单!BR:BY,5,0)</f>
        <v>691.49</v>
      </c>
      <c r="U11" s="115">
        <f>VLOOKUP(N11,下拉菜单!BR:BY,6,0)</f>
        <v>690.25</v>
      </c>
    </row>
    <row r="12" spans="1:21" ht="33">
      <c r="B12" s="811"/>
      <c r="C12" s="924" t="s">
        <v>32</v>
      </c>
      <c r="D12" s="924"/>
      <c r="E12" s="924"/>
      <c r="F12" s="924"/>
      <c r="G12" s="924"/>
      <c r="H12" s="924"/>
      <c r="I12" s="812">
        <f>Q13</f>
        <v>6.8</v>
      </c>
      <c r="J12" s="134"/>
      <c r="M12" s="754"/>
      <c r="N12" s="754"/>
      <c r="O12" s="754"/>
      <c r="P12" s="114" t="s">
        <v>33</v>
      </c>
      <c r="Q12" s="114" t="s">
        <v>34</v>
      </c>
      <c r="R12" s="170" t="s">
        <v>35</v>
      </c>
      <c r="S12" s="114" t="s">
        <v>36</v>
      </c>
    </row>
    <row r="13" spans="1:21" ht="39" customHeight="1">
      <c r="B13" s="124" t="s">
        <v>37</v>
      </c>
      <c r="C13" s="125" t="s">
        <v>38</v>
      </c>
      <c r="D13" s="125" t="s">
        <v>39</v>
      </c>
      <c r="E13" s="125" t="s">
        <v>40</v>
      </c>
      <c r="F13" s="125" t="s">
        <v>41</v>
      </c>
      <c r="G13" s="125" t="s">
        <v>42</v>
      </c>
      <c r="H13" s="126" t="s">
        <v>43</v>
      </c>
      <c r="I13" s="126" t="s">
        <v>44</v>
      </c>
      <c r="J13" s="159" t="s">
        <v>45</v>
      </c>
      <c r="K13" s="139" t="s">
        <v>142</v>
      </c>
      <c r="L13" s="115" t="s">
        <v>46</v>
      </c>
      <c r="M13" s="115" t="s">
        <v>47</v>
      </c>
      <c r="N13" s="115" t="s">
        <v>48</v>
      </c>
      <c r="O13" s="115" t="s">
        <v>49</v>
      </c>
      <c r="P13" s="772">
        <v>1.4</v>
      </c>
      <c r="Q13" s="772">
        <v>6.8</v>
      </c>
      <c r="R13" s="813" t="str">
        <f ca="1">V38</f>
        <v>-</v>
      </c>
    </row>
    <row r="14" spans="1:21" ht="30" hidden="1" customHeight="1" outlineLevel="1">
      <c r="A14" s="114"/>
      <c r="B14" s="142">
        <v>0</v>
      </c>
      <c r="C14" s="766"/>
      <c r="D14" s="141"/>
      <c r="E14" s="145"/>
      <c r="F14" s="767"/>
      <c r="G14" s="146"/>
      <c r="H14" s="126"/>
      <c r="I14" s="126" t="s">
        <v>13</v>
      </c>
      <c r="J14" s="148"/>
      <c r="K14" s="126"/>
      <c r="R14" s="814">
        <f>报价辅助计算!E1</f>
        <v>75</v>
      </c>
    </row>
    <row r="15" spans="1:21" ht="30" customHeight="1" collapsed="1">
      <c r="A15" s="751"/>
      <c r="B15" s="124" t="str">
        <f>IFERROR(IF(B14=SUM(报价辅助计算!A:A),"-",'Price PDF'!B14+1),"-")</f>
        <v>-</v>
      </c>
      <c r="C15" s="127" t="str">
        <f>IFERROR(VLOOKUP($B15,报价辅助计算!$B:$I,2,0),"-")</f>
        <v>-</v>
      </c>
      <c r="D15" s="127" t="str">
        <f>IFERROR(VLOOKUP($B15,报价辅助计算!$B:$I,8,0),"-")</f>
        <v>-</v>
      </c>
      <c r="E15" s="128" t="str">
        <f>IFERROR(VLOOKUP($B15,报价辅助计算!$B:$I,3,0),"-")</f>
        <v>-</v>
      </c>
      <c r="F15" s="129" t="str">
        <f>IFERROR(VLOOKUP($B15,报价辅助计算!$B:$I,4,0),"-")</f>
        <v>-</v>
      </c>
      <c r="G15" s="127" t="str">
        <f>IFERROR(VLOOKUP($B15,报价辅助计算!$B:$I,5,0),"-")</f>
        <v>-</v>
      </c>
      <c r="H15" s="130" t="str" cm="1">
        <f t="array" ref="H15">IFERROR(IF($L$3="否",ROUNDUP(Q15,1),_xlfn.XLOOKUP(C15&amp;D15&amp;E15&amp;F15,历史价格!C:C&amp;历史价格!D:D&amp;历史价格!E:E&amp;历史价格!F:F,历史价格!H:H,IF($L$5="是",ROUNDUP(Q15,1),"-"),0)),"-")</f>
        <v>-</v>
      </c>
      <c r="I15" s="815" t="str">
        <f>IFERROR(H15*G15,"-")</f>
        <v>-</v>
      </c>
      <c r="J15" s="816" t="str">
        <f>IFERROR(ROUND(L15*1.05,1),"-")</f>
        <v>-</v>
      </c>
      <c r="K15" s="126" t="str">
        <f>IFERROR(VLOOKUP($B15,报价辅助计算!$B:$J,9,0),"-")</f>
        <v>-</v>
      </c>
      <c r="L15" s="817" t="str">
        <f>IFERROR(VLOOKUP($B15,报价辅助计算!$B:$I,6,0),"-")</f>
        <v>-</v>
      </c>
      <c r="M15" s="770" t="str">
        <f>IFERROR(VLOOKUP($B15,报价辅助计算!$B:$I,7,0),"-")</f>
        <v>-</v>
      </c>
      <c r="N15" s="818" t="str">
        <f t="shared" ref="N15" si="0">IFERROR(L15*G15,"-")</f>
        <v>-</v>
      </c>
      <c r="O15" s="771" t="str">
        <f t="shared" ref="O15" si="1">IFERROR(M15*G15,"-")</f>
        <v>-</v>
      </c>
      <c r="P15" s="115" t="str">
        <f t="shared" ref="P15" si="2">IF(M15="-","-",$P$13)</f>
        <v>-</v>
      </c>
      <c r="Q15" s="763" t="str">
        <f t="shared" ref="Q15" si="3">IFERROR(M15*P15/$Q$13,"-")</f>
        <v>-</v>
      </c>
      <c r="R15" s="751">
        <f>IFERROR(IF(VLOOKUP($B15,报价辅助计算!$B:$M,11,0)=0,报价辅助计算!$E$1,VLOOKUP($B15,报价辅助计算!$B:$M,11,0)),报价辅助计算!$E$1)</f>
        <v>75</v>
      </c>
      <c r="S15" s="115" t="str">
        <f t="shared" ref="S15" si="4">IFERROR(H15/L15,"-")</f>
        <v>-</v>
      </c>
    </row>
    <row r="16" spans="1:21" ht="30" customHeight="1">
      <c r="B16" s="124" t="str">
        <f>IFERROR(IF(B15=SUM(报价辅助计算!A:A),"-",'Price PDF'!B15+1),"-")</f>
        <v>-</v>
      </c>
      <c r="C16" s="127" t="str">
        <f>IFERROR(VLOOKUP($B16,报价辅助计算!$B:$I,2,0),"-")</f>
        <v>-</v>
      </c>
      <c r="D16" s="127" t="str">
        <f>IFERROR(VLOOKUP($B16,报价辅助计算!$B:$I,8,0),"-")</f>
        <v>-</v>
      </c>
      <c r="E16" s="128" t="str">
        <f>IFERROR(VLOOKUP($B16,报价辅助计算!$B:$I,3,0),"-")</f>
        <v>-</v>
      </c>
      <c r="F16" s="129" t="str">
        <f>IFERROR(VLOOKUP($B16,报价辅助计算!$B:$I,4,0),"-")</f>
        <v>-</v>
      </c>
      <c r="G16" s="127" t="str">
        <f>IFERROR(VLOOKUP($B16,报价辅助计算!$B:$I,5,0),"-")</f>
        <v>-</v>
      </c>
      <c r="H16" s="130" t="str" cm="1">
        <f t="array" ref="H16">IFERROR(IF($L$3="否",ROUNDUP(Q16,1),_xlfn.XLOOKUP(C16&amp;D16&amp;E16&amp;F16,历史价格!C:C&amp;历史价格!D:D&amp;历史价格!E:E&amp;历史价格!F:F,历史价格!H:H,IF($L$5="是",ROUNDUP(Q16,1),"-"),0)),"-")</f>
        <v>-</v>
      </c>
      <c r="I16" s="815" t="str">
        <f t="shared" ref="I16:I21" si="5">IFERROR(H16*G16,"-")</f>
        <v>-</v>
      </c>
      <c r="J16" s="816" t="str">
        <f t="shared" ref="J16:J21" si="6">IFERROR(ROUND(L16*1.05,1),"-")</f>
        <v>-</v>
      </c>
      <c r="K16" s="126" t="str">
        <f>IFERROR(VLOOKUP($B16,报价辅助计算!$B:$J,9,0),"-")</f>
        <v>-</v>
      </c>
      <c r="L16" s="817" t="str">
        <f>IFERROR(VLOOKUP($B16,报价辅助计算!$B:$I,6,0),"-")</f>
        <v>-</v>
      </c>
      <c r="M16" s="770" t="str">
        <f>IFERROR(VLOOKUP($B16,报价辅助计算!$B:$I,7,0),"-")</f>
        <v>-</v>
      </c>
      <c r="N16" s="818" t="str">
        <f t="shared" ref="N16:N21" si="7">IFERROR(L16*G16,"-")</f>
        <v>-</v>
      </c>
      <c r="O16" s="771" t="str">
        <f t="shared" ref="O16:O21" si="8">IFERROR(M16*G16,"-")</f>
        <v>-</v>
      </c>
      <c r="P16" s="115" t="str">
        <f t="shared" ref="P16:P23" si="9">IF(M16="-","-",$P$13)</f>
        <v>-</v>
      </c>
      <c r="Q16" s="763" t="str">
        <f t="shared" ref="Q16:Q23" si="10">IFERROR(M16*P16/$Q$13,"-")</f>
        <v>-</v>
      </c>
      <c r="R16" s="751">
        <f>IFERROR(IF(VLOOKUP($B16,报价辅助计算!$B:$M,11,0)=0,报价辅助计算!$E$1,VLOOKUP($B16,报价辅助计算!$B:$M,11,0)),报价辅助计算!$E$1)</f>
        <v>75</v>
      </c>
      <c r="S16" s="115" t="str">
        <f t="shared" ref="S16:S21" si="11">IFERROR(H16/L16,"-")</f>
        <v>-</v>
      </c>
    </row>
    <row r="17" spans="2:19" ht="30" customHeight="1">
      <c r="B17" s="124" t="str">
        <f>IFERROR(IF(B16=SUM(报价辅助计算!A:A),"-",'Price PDF'!B16+1),"-")</f>
        <v>-</v>
      </c>
      <c r="C17" s="127" t="str">
        <f>IFERROR(VLOOKUP($B17,报价辅助计算!$B:$I,2,0),"-")</f>
        <v>-</v>
      </c>
      <c r="D17" s="127" t="str">
        <f>IFERROR(VLOOKUP($B17,报价辅助计算!$B:$I,8,0),"-")</f>
        <v>-</v>
      </c>
      <c r="E17" s="128" t="str">
        <f>IFERROR(VLOOKUP($B17,报价辅助计算!$B:$I,3,0),"-")</f>
        <v>-</v>
      </c>
      <c r="F17" s="129" t="str">
        <f>IFERROR(VLOOKUP($B17,报价辅助计算!$B:$I,4,0),"-")</f>
        <v>-</v>
      </c>
      <c r="G17" s="127" t="str">
        <f>IFERROR(VLOOKUP($B17,报价辅助计算!$B:$I,5,0),"-")</f>
        <v>-</v>
      </c>
      <c r="H17" s="130" t="str" cm="1">
        <f t="array" ref="H17">IFERROR(IF($L$3="否",ROUNDUP(Q17,1),_xlfn.XLOOKUP(C17&amp;D17&amp;E17&amp;F17,历史价格!C:C&amp;历史价格!D:D&amp;历史价格!E:E&amp;历史价格!F:F,历史价格!H:H,IF($L$5="是",ROUNDUP(Q17,1),"-"),0)),"-")</f>
        <v>-</v>
      </c>
      <c r="I17" s="815" t="str">
        <f t="shared" si="5"/>
        <v>-</v>
      </c>
      <c r="J17" s="816" t="str">
        <f t="shared" si="6"/>
        <v>-</v>
      </c>
      <c r="K17" s="126" t="str">
        <f>IFERROR(VLOOKUP($B17,报价辅助计算!$B:$J,9,0),"-")</f>
        <v>-</v>
      </c>
      <c r="L17" s="817" t="str">
        <f>IFERROR(VLOOKUP($B17,报价辅助计算!$B:$I,6,0),"-")</f>
        <v>-</v>
      </c>
      <c r="M17" s="770" t="str">
        <f>IFERROR(VLOOKUP($B17,报价辅助计算!$B:$I,7,0),"-")</f>
        <v>-</v>
      </c>
      <c r="N17" s="818" t="str">
        <f t="shared" si="7"/>
        <v>-</v>
      </c>
      <c r="O17" s="771" t="str">
        <f t="shared" si="8"/>
        <v>-</v>
      </c>
      <c r="P17" s="115" t="str">
        <f t="shared" si="9"/>
        <v>-</v>
      </c>
      <c r="Q17" s="763" t="str">
        <f t="shared" si="10"/>
        <v>-</v>
      </c>
      <c r="R17" s="751">
        <f>IFERROR(IF(VLOOKUP($B17,报价辅助计算!$B:$M,11,0)=0,报价辅助计算!$E$1,VLOOKUP($B17,报价辅助计算!$B:$M,11,0)),报价辅助计算!$E$1)</f>
        <v>75</v>
      </c>
      <c r="S17" s="115" t="str">
        <f t="shared" si="11"/>
        <v>-</v>
      </c>
    </row>
    <row r="18" spans="2:19" ht="30" customHeight="1">
      <c r="B18" s="124" t="str">
        <f>IFERROR(IF(B17=SUM(报价辅助计算!A:A),"-",'Price PDF'!B17+1),"-")</f>
        <v>-</v>
      </c>
      <c r="C18" s="127" t="str">
        <f>IFERROR(VLOOKUP($B18,报价辅助计算!$B:$I,2,0),"-")</f>
        <v>-</v>
      </c>
      <c r="D18" s="127" t="str">
        <f>IFERROR(VLOOKUP($B18,报价辅助计算!$B:$I,8,0),"-")</f>
        <v>-</v>
      </c>
      <c r="E18" s="128" t="str">
        <f>IFERROR(VLOOKUP($B18,报价辅助计算!$B:$I,3,0),"-")</f>
        <v>-</v>
      </c>
      <c r="F18" s="129" t="str">
        <f>IFERROR(VLOOKUP($B18,报价辅助计算!$B:$I,4,0),"-")</f>
        <v>-</v>
      </c>
      <c r="G18" s="127" t="str">
        <f>IFERROR(VLOOKUP($B18,报价辅助计算!$B:$I,5,0),"-")</f>
        <v>-</v>
      </c>
      <c r="H18" s="130" t="str" cm="1">
        <f t="array" ref="H18">IFERROR(IF($L$3="否",ROUNDUP(Q18,1),_xlfn.XLOOKUP(C18&amp;D18&amp;E18&amp;F18,历史价格!C:C&amp;历史价格!D:D&amp;历史价格!E:E&amp;历史价格!F:F,历史价格!H:H,IF($L$5="是",ROUNDUP(Q18,1),"-"),0)),"-")</f>
        <v>-</v>
      </c>
      <c r="I18" s="815" t="str">
        <f t="shared" si="5"/>
        <v>-</v>
      </c>
      <c r="J18" s="816" t="str">
        <f t="shared" si="6"/>
        <v>-</v>
      </c>
      <c r="K18" s="126" t="str">
        <f>IFERROR(VLOOKUP($B18,报价辅助计算!$B:$J,9,0),"-")</f>
        <v>-</v>
      </c>
      <c r="L18" s="817" t="str">
        <f>IFERROR(VLOOKUP($B18,报价辅助计算!$B:$I,6,0),"-")</f>
        <v>-</v>
      </c>
      <c r="M18" s="770" t="str">
        <f>IFERROR(VLOOKUP($B18,报价辅助计算!$B:$I,7,0),"-")</f>
        <v>-</v>
      </c>
      <c r="N18" s="818" t="str">
        <f t="shared" si="7"/>
        <v>-</v>
      </c>
      <c r="O18" s="771" t="str">
        <f t="shared" si="8"/>
        <v>-</v>
      </c>
      <c r="P18" s="115" t="str">
        <f t="shared" si="9"/>
        <v>-</v>
      </c>
      <c r="Q18" s="763" t="str">
        <f t="shared" si="10"/>
        <v>-</v>
      </c>
      <c r="R18" s="751">
        <f>IFERROR(IF(VLOOKUP($B18,报价辅助计算!$B:$M,11,0)=0,报价辅助计算!$E$1,VLOOKUP($B18,报价辅助计算!$B:$M,11,0)),报价辅助计算!$E$1)</f>
        <v>75</v>
      </c>
      <c r="S18" s="115" t="str">
        <f t="shared" si="11"/>
        <v>-</v>
      </c>
    </row>
    <row r="19" spans="2:19" ht="30" customHeight="1">
      <c r="B19" s="124" t="str">
        <f>IFERROR(IF(B18=SUM(报价辅助计算!A:A),"-",'Price PDF'!B18+1),"-")</f>
        <v>-</v>
      </c>
      <c r="C19" s="127" t="str">
        <f>IFERROR(VLOOKUP($B19,报价辅助计算!$B:$I,2,0),"-")</f>
        <v>-</v>
      </c>
      <c r="D19" s="127" t="str">
        <f>IFERROR(VLOOKUP($B19,报价辅助计算!$B:$I,8,0),"-")</f>
        <v>-</v>
      </c>
      <c r="E19" s="128" t="str">
        <f>IFERROR(VLOOKUP($B19,报价辅助计算!$B:$I,3,0),"-")</f>
        <v>-</v>
      </c>
      <c r="F19" s="129" t="str">
        <f>IFERROR(VLOOKUP($B19,报价辅助计算!$B:$I,4,0),"-")</f>
        <v>-</v>
      </c>
      <c r="G19" s="127" t="str">
        <f>IFERROR(VLOOKUP($B19,报价辅助计算!$B:$I,5,0),"-")</f>
        <v>-</v>
      </c>
      <c r="H19" s="130" t="str" cm="1">
        <f t="array" ref="H19">IFERROR(IF($L$3="否",ROUNDUP(Q19,1),_xlfn.XLOOKUP(C19&amp;D19&amp;E19&amp;F19,历史价格!C:C&amp;历史价格!D:D&amp;历史价格!E:E&amp;历史价格!F:F,历史价格!H:H,IF($L$5="是",ROUNDUP(Q19,1),"-"),0)),"-")</f>
        <v>-</v>
      </c>
      <c r="I19" s="815" t="str">
        <f t="shared" si="5"/>
        <v>-</v>
      </c>
      <c r="J19" s="816" t="str">
        <f t="shared" si="6"/>
        <v>-</v>
      </c>
      <c r="K19" s="126" t="str">
        <f>IFERROR(VLOOKUP($B19,报价辅助计算!$B:$J,9,0),"-")</f>
        <v>-</v>
      </c>
      <c r="L19" s="817" t="str">
        <f>IFERROR(VLOOKUP($B19,报价辅助计算!$B:$I,6,0),"-")</f>
        <v>-</v>
      </c>
      <c r="M19" s="770" t="str">
        <f>IFERROR(VLOOKUP($B19,报价辅助计算!$B:$I,7,0),"-")</f>
        <v>-</v>
      </c>
      <c r="N19" s="818" t="str">
        <f t="shared" si="7"/>
        <v>-</v>
      </c>
      <c r="O19" s="771" t="str">
        <f t="shared" si="8"/>
        <v>-</v>
      </c>
      <c r="P19" s="115" t="str">
        <f t="shared" si="9"/>
        <v>-</v>
      </c>
      <c r="Q19" s="763" t="str">
        <f t="shared" si="10"/>
        <v>-</v>
      </c>
      <c r="R19" s="751">
        <f>IFERROR(IF(VLOOKUP($B19,报价辅助计算!$B:$M,11,0)=0,报价辅助计算!$E$1,VLOOKUP($B19,报价辅助计算!$B:$M,11,0)),报价辅助计算!$E$1)</f>
        <v>75</v>
      </c>
      <c r="S19" s="115" t="str">
        <f t="shared" si="11"/>
        <v>-</v>
      </c>
    </row>
    <row r="20" spans="2:19" ht="30" customHeight="1">
      <c r="B20" s="124" t="str">
        <f>IFERROR(IF(B19=SUM(报价辅助计算!A:A),"-",'Price PDF'!B19+1),"-")</f>
        <v>-</v>
      </c>
      <c r="C20" s="127" t="str">
        <f>IFERROR(VLOOKUP($B20,报价辅助计算!$B:$I,2,0),"-")</f>
        <v>-</v>
      </c>
      <c r="D20" s="127" t="str">
        <f>IFERROR(VLOOKUP($B20,报价辅助计算!$B:$I,8,0),"-")</f>
        <v>-</v>
      </c>
      <c r="E20" s="128" t="str">
        <f>IFERROR(VLOOKUP($B20,报价辅助计算!$B:$I,3,0),"-")</f>
        <v>-</v>
      </c>
      <c r="F20" s="129" t="str">
        <f>IFERROR(VLOOKUP($B20,报价辅助计算!$B:$I,4,0),"-")</f>
        <v>-</v>
      </c>
      <c r="G20" s="127" t="str">
        <f>IFERROR(VLOOKUP($B20,报价辅助计算!$B:$I,5,0),"-")</f>
        <v>-</v>
      </c>
      <c r="H20" s="130" t="str" cm="1">
        <f t="array" ref="H20">IFERROR(IF($L$3="否",ROUNDUP(Q20,1),_xlfn.XLOOKUP(C20&amp;D20&amp;E20&amp;F20,历史价格!C:C&amp;历史价格!D:D&amp;历史价格!E:E&amp;历史价格!F:F,历史价格!H:H,IF($L$5="是",ROUNDUP(Q20,1),"-"),0)),"-")</f>
        <v>-</v>
      </c>
      <c r="I20" s="815" t="str">
        <f t="shared" si="5"/>
        <v>-</v>
      </c>
      <c r="J20" s="816" t="str">
        <f t="shared" si="6"/>
        <v>-</v>
      </c>
      <c r="K20" s="126" t="str">
        <f>IFERROR(VLOOKUP($B20,报价辅助计算!$B:$J,9,0),"-")</f>
        <v>-</v>
      </c>
      <c r="L20" s="817" t="str">
        <f>IFERROR(VLOOKUP($B20,报价辅助计算!$B:$I,6,0),"-")</f>
        <v>-</v>
      </c>
      <c r="M20" s="770" t="str">
        <f>IFERROR(VLOOKUP($B20,报价辅助计算!$B:$I,7,0),"-")</f>
        <v>-</v>
      </c>
      <c r="N20" s="818" t="str">
        <f t="shared" si="7"/>
        <v>-</v>
      </c>
      <c r="O20" s="771" t="str">
        <f t="shared" si="8"/>
        <v>-</v>
      </c>
      <c r="P20" s="115" t="str">
        <f t="shared" si="9"/>
        <v>-</v>
      </c>
      <c r="Q20" s="763" t="str">
        <f t="shared" si="10"/>
        <v>-</v>
      </c>
      <c r="R20" s="751">
        <f>IFERROR(IF(VLOOKUP($B20,报价辅助计算!$B:$M,11,0)=0,报价辅助计算!$E$1,VLOOKUP($B20,报价辅助计算!$B:$M,11,0)),报价辅助计算!$E$1)</f>
        <v>75</v>
      </c>
      <c r="S20" s="115" t="str">
        <f t="shared" si="11"/>
        <v>-</v>
      </c>
    </row>
    <row r="21" spans="2:19" ht="30" customHeight="1">
      <c r="B21" s="124" t="str">
        <f>IFERROR(IF(B20=SUM(报价辅助计算!A:A),"-",'Price PDF'!B20+1),"-")</f>
        <v>-</v>
      </c>
      <c r="C21" s="127" t="str">
        <f>IFERROR(VLOOKUP($B21,报价辅助计算!$B:$I,2,0),"-")</f>
        <v>-</v>
      </c>
      <c r="D21" s="127" t="str">
        <f>IFERROR(VLOOKUP($B21,报价辅助计算!$B:$I,8,0),"-")</f>
        <v>-</v>
      </c>
      <c r="E21" s="128" t="str">
        <f>IFERROR(VLOOKUP($B21,报价辅助计算!$B:$I,3,0),"-")</f>
        <v>-</v>
      </c>
      <c r="F21" s="129" t="str">
        <f>IFERROR(VLOOKUP($B21,报价辅助计算!$B:$I,4,0),"-")</f>
        <v>-</v>
      </c>
      <c r="G21" s="127" t="str">
        <f>IFERROR(VLOOKUP($B21,报价辅助计算!$B:$I,5,0),"-")</f>
        <v>-</v>
      </c>
      <c r="H21" s="130" t="str" cm="1">
        <f t="array" ref="H21">IFERROR(IF($L$3="否",ROUNDUP(Q21,1),_xlfn.XLOOKUP(C21&amp;D21&amp;E21&amp;F21,历史价格!C:C&amp;历史价格!D:D&amp;历史价格!E:E&amp;历史价格!F:F,历史价格!H:H,IF($L$5="是",ROUNDUP(Q21,1),"-"),0)),"-")</f>
        <v>-</v>
      </c>
      <c r="I21" s="815" t="str">
        <f t="shared" si="5"/>
        <v>-</v>
      </c>
      <c r="J21" s="816" t="str">
        <f t="shared" si="6"/>
        <v>-</v>
      </c>
      <c r="K21" s="126" t="str">
        <f>IFERROR(VLOOKUP($B21,报价辅助计算!$B:$J,9,0),"-")</f>
        <v>-</v>
      </c>
      <c r="L21" s="817" t="str">
        <f>IFERROR(VLOOKUP($B21,报价辅助计算!$B:$I,6,0),"-")</f>
        <v>-</v>
      </c>
      <c r="M21" s="770" t="str">
        <f>IFERROR(VLOOKUP($B21,报价辅助计算!$B:$I,7,0),"-")</f>
        <v>-</v>
      </c>
      <c r="N21" s="818" t="str">
        <f t="shared" si="7"/>
        <v>-</v>
      </c>
      <c r="O21" s="771" t="str">
        <f t="shared" si="8"/>
        <v>-</v>
      </c>
      <c r="P21" s="115" t="str">
        <f t="shared" si="9"/>
        <v>-</v>
      </c>
      <c r="Q21" s="763" t="str">
        <f t="shared" si="10"/>
        <v>-</v>
      </c>
      <c r="R21" s="751">
        <f>IFERROR(IF(VLOOKUP($B21,报价辅助计算!$B:$M,11,0)=0,报价辅助计算!$E$1,VLOOKUP($B21,报价辅助计算!$B:$M,11,0)),报价辅助计算!$E$1)</f>
        <v>75</v>
      </c>
      <c r="S21" s="115" t="str">
        <f t="shared" si="11"/>
        <v>-</v>
      </c>
    </row>
    <row r="22" spans="2:19" ht="30" customHeight="1">
      <c r="B22" s="124" t="str">
        <f>IFERROR(IF(B21=SUM(报价辅助计算!A:A),"-",'Price PDF'!B21+1),"-")</f>
        <v>-</v>
      </c>
      <c r="C22" s="127" t="str">
        <f>IFERROR(VLOOKUP($B22,报价辅助计算!$B:$I,2,0),"-")</f>
        <v>-</v>
      </c>
      <c r="D22" s="127" t="str">
        <f>IFERROR(VLOOKUP($B22,报价辅助计算!$B:$I,8,0),"-")</f>
        <v>-</v>
      </c>
      <c r="E22" s="128" t="str">
        <f>IFERROR(VLOOKUP($B22,报价辅助计算!$B:$I,3,0),"-")</f>
        <v>-</v>
      </c>
      <c r="F22" s="129" t="str">
        <f>IFERROR(VLOOKUP($B22,报价辅助计算!$B:$I,4,0),"-")</f>
        <v>-</v>
      </c>
      <c r="G22" s="127" t="str">
        <f>IFERROR(VLOOKUP($B22,报价辅助计算!$B:$I,5,0),"-")</f>
        <v>-</v>
      </c>
      <c r="H22" s="130" t="str" cm="1">
        <f t="array" ref="H22">IFERROR(IF($L$3="否",ROUNDUP(Q22,1),_xlfn.XLOOKUP(C22&amp;D22&amp;E22&amp;F22,历史价格!C:C&amp;历史价格!D:D&amp;历史价格!E:E&amp;历史价格!F:F,历史价格!H:H,IF($L$5="是",ROUNDUP(Q22,1),"-"),0)),"-")</f>
        <v>-</v>
      </c>
      <c r="I22" s="815" t="str">
        <f t="shared" ref="I22:I23" si="12">IFERROR(H22*G22,"-")</f>
        <v>-</v>
      </c>
      <c r="J22" s="816" t="str">
        <f t="shared" ref="J22:J23" si="13">IFERROR(ROUND(L22*1.05,1),"-")</f>
        <v>-</v>
      </c>
      <c r="K22" s="126" t="str">
        <f>IFERROR(VLOOKUP($B22,报价辅助计算!$B:$J,9,0),"-")</f>
        <v>-</v>
      </c>
      <c r="L22" s="817" t="str">
        <f>IFERROR(VLOOKUP($B22,报价辅助计算!$B:$I,6,0),"-")</f>
        <v>-</v>
      </c>
      <c r="M22" s="770" t="str">
        <f>IFERROR(VLOOKUP($B22,报价辅助计算!$B:$I,7,0),"-")</f>
        <v>-</v>
      </c>
      <c r="N22" s="818" t="str">
        <f t="shared" ref="N22:N23" si="14">IFERROR(L22*G22,"-")</f>
        <v>-</v>
      </c>
      <c r="O22" s="771" t="str">
        <f t="shared" ref="O22:O23" si="15">IFERROR(M22*G22,"-")</f>
        <v>-</v>
      </c>
      <c r="P22" s="115" t="str">
        <f t="shared" si="9"/>
        <v>-</v>
      </c>
      <c r="Q22" s="763" t="str">
        <f t="shared" si="10"/>
        <v>-</v>
      </c>
      <c r="R22" s="751">
        <f>IFERROR(IF(VLOOKUP($B22,报价辅助计算!$B:$M,11,0)=0,报价辅助计算!$E$1,VLOOKUP($B22,报价辅助计算!$B:$M,11,0)),报价辅助计算!$E$1)</f>
        <v>75</v>
      </c>
      <c r="S22" s="115" t="str">
        <f t="shared" ref="S22:S23" si="16">IFERROR(H22/L22,"-")</f>
        <v>-</v>
      </c>
    </row>
    <row r="23" spans="2:19" ht="30" customHeight="1">
      <c r="B23" s="124" t="str">
        <f>IFERROR(IF(B22=SUM(报价辅助计算!A:A),"-",'Price PDF'!B22+1),"-")</f>
        <v>-</v>
      </c>
      <c r="C23" s="127" t="str">
        <f>IFERROR(VLOOKUP($B23,报价辅助计算!$B:$I,2,0),"-")</f>
        <v>-</v>
      </c>
      <c r="D23" s="127" t="str">
        <f>IFERROR(VLOOKUP($B23,报价辅助计算!$B:$I,8,0),"-")</f>
        <v>-</v>
      </c>
      <c r="E23" s="128" t="str">
        <f>IFERROR(VLOOKUP($B23,报价辅助计算!$B:$I,3,0),"-")</f>
        <v>-</v>
      </c>
      <c r="F23" s="129" t="str">
        <f>IFERROR(VLOOKUP($B23,报价辅助计算!$B:$I,4,0),"-")</f>
        <v>-</v>
      </c>
      <c r="G23" s="127" t="str">
        <f>IFERROR(VLOOKUP($B23,报价辅助计算!$B:$I,5,0),"-")</f>
        <v>-</v>
      </c>
      <c r="H23" s="130" t="str" cm="1">
        <f t="array" ref="H23">IFERROR(IF($L$3="否",ROUNDUP(Q23,1),_xlfn.XLOOKUP(C23&amp;D23&amp;E23&amp;F23,历史价格!C:C&amp;历史价格!D:D&amp;历史价格!E:E&amp;历史价格!F:F,历史价格!H:H,IF($L$5="是",ROUNDUP(Q23,1),"-"),0)),"-")</f>
        <v>-</v>
      </c>
      <c r="I23" s="815" t="str">
        <f t="shared" si="12"/>
        <v>-</v>
      </c>
      <c r="J23" s="816" t="str">
        <f t="shared" si="13"/>
        <v>-</v>
      </c>
      <c r="K23" s="126" t="str">
        <f>IFERROR(VLOOKUP($B23,报价辅助计算!$B:$J,9,0),"-")</f>
        <v>-</v>
      </c>
      <c r="L23" s="817" t="str">
        <f>IFERROR(VLOOKUP($B23,报价辅助计算!$B:$I,6,0),"-")</f>
        <v>-</v>
      </c>
      <c r="M23" s="770" t="str">
        <f>IFERROR(VLOOKUP($B23,报价辅助计算!$B:$I,7,0),"-")</f>
        <v>-</v>
      </c>
      <c r="N23" s="818" t="str">
        <f t="shared" si="14"/>
        <v>-</v>
      </c>
      <c r="O23" s="771" t="str">
        <f t="shared" si="15"/>
        <v>-</v>
      </c>
      <c r="P23" s="115" t="str">
        <f t="shared" si="9"/>
        <v>-</v>
      </c>
      <c r="Q23" s="763" t="str">
        <f t="shared" si="10"/>
        <v>-</v>
      </c>
      <c r="R23" s="751">
        <f>IFERROR(IF(VLOOKUP($B23,报价辅助计算!$B:$M,11,0)=0,报价辅助计算!$E$1,VLOOKUP($B23,报价辅助计算!$B:$M,11,0)),报价辅助计算!$E$1)</f>
        <v>75</v>
      </c>
      <c r="S23" s="115" t="str">
        <f t="shared" si="16"/>
        <v>-</v>
      </c>
    </row>
    <row r="24" spans="2:19" ht="30" customHeight="1">
      <c r="B24" s="124" t="str">
        <f>IFERROR(IF(B23=SUM(报价辅助计算!A:A),"-",'Price PDF'!B23+1),"-")</f>
        <v>-</v>
      </c>
      <c r="C24" s="127" t="str">
        <f>IFERROR(VLOOKUP($B24,报价辅助计算!$B:$I,2,0),"-")</f>
        <v>-</v>
      </c>
      <c r="D24" s="127" t="str">
        <f>IFERROR(VLOOKUP($B24,报价辅助计算!$B:$I,8,0),"-")</f>
        <v>-</v>
      </c>
      <c r="E24" s="128" t="str">
        <f>IFERROR(VLOOKUP($B24,报价辅助计算!$B:$I,3,0),"-")</f>
        <v>-</v>
      </c>
      <c r="F24" s="129" t="str">
        <f>IFERROR(VLOOKUP($B24,报价辅助计算!$B:$I,4,0),"-")</f>
        <v>-</v>
      </c>
      <c r="G24" s="127" t="str">
        <f>IFERROR(VLOOKUP($B24,报价辅助计算!$B:$I,5,0),"-")</f>
        <v>-</v>
      </c>
      <c r="H24" s="130" t="str" cm="1">
        <f t="array" ref="H24">IFERROR(IF($L$3="否",ROUNDUP(Q24,1),_xlfn.XLOOKUP(C24&amp;D24&amp;E24&amp;F24,历史价格!C:C&amp;历史价格!D:D&amp;历史价格!E:E&amp;历史价格!F:F,历史价格!H:H,IF($L$5="是",ROUNDUP(Q24,1),"-"),0)),"-")</f>
        <v>-</v>
      </c>
      <c r="I24" s="815" t="str">
        <f t="shared" ref="I24:I29" si="17">IFERROR(H24*G24,"-")</f>
        <v>-</v>
      </c>
      <c r="J24" s="816" t="str">
        <f t="shared" ref="J24:J29" si="18">IFERROR(ROUND(L24*1.05,1),"-")</f>
        <v>-</v>
      </c>
      <c r="K24" s="126" t="str">
        <f>IFERROR(VLOOKUP($B24,报价辅助计算!$B:$J,9,0),"-")</f>
        <v>-</v>
      </c>
      <c r="L24" s="817" t="str">
        <f>IFERROR(VLOOKUP($B24,报价辅助计算!$B:$I,6,0),"-")</f>
        <v>-</v>
      </c>
      <c r="M24" s="770" t="str">
        <f>IFERROR(VLOOKUP($B24,报价辅助计算!$B:$I,7,0),"-")</f>
        <v>-</v>
      </c>
      <c r="N24" s="818" t="str">
        <f t="shared" ref="N24:N29" si="19">IFERROR(L24*G24,"-")</f>
        <v>-</v>
      </c>
      <c r="O24" s="771" t="str">
        <f t="shared" ref="O24:O29" si="20">IFERROR(M24*G24,"-")</f>
        <v>-</v>
      </c>
      <c r="P24" s="115" t="str">
        <f t="shared" ref="P24:P29" si="21">IF(M24="-","-",$P$13)</f>
        <v>-</v>
      </c>
      <c r="Q24" s="763" t="str">
        <f t="shared" ref="Q24:Q29" si="22">IFERROR(M24*P24/$Q$13,"-")</f>
        <v>-</v>
      </c>
      <c r="R24" s="751">
        <f>IFERROR(IF(VLOOKUP($B24,报价辅助计算!$B:$M,11,0)=0,报价辅助计算!$E$1,VLOOKUP($B24,报价辅助计算!$B:$M,11,0)),报价辅助计算!$E$1)</f>
        <v>75</v>
      </c>
      <c r="S24" s="115" t="str">
        <f t="shared" ref="S24:S29" si="23">IFERROR(H24/L24,"-")</f>
        <v>-</v>
      </c>
    </row>
    <row r="25" spans="2:19" ht="30" customHeight="1">
      <c r="B25" s="124" t="str">
        <f>IFERROR(IF(B24=SUM(报价辅助计算!A:A),"-",'Price PDF'!B24+1),"-")</f>
        <v>-</v>
      </c>
      <c r="C25" s="127" t="str">
        <f>IFERROR(VLOOKUP($B25,报价辅助计算!$B:$I,2,0),"-")</f>
        <v>-</v>
      </c>
      <c r="D25" s="127" t="str">
        <f>IFERROR(VLOOKUP($B25,报价辅助计算!$B:$I,8,0),"-")</f>
        <v>-</v>
      </c>
      <c r="E25" s="128" t="str">
        <f>IFERROR(VLOOKUP($B25,报价辅助计算!$B:$I,3,0),"-")</f>
        <v>-</v>
      </c>
      <c r="F25" s="129" t="str">
        <f>IFERROR(VLOOKUP($B25,报价辅助计算!$B:$I,4,0),"-")</f>
        <v>-</v>
      </c>
      <c r="G25" s="127" t="str">
        <f>IFERROR(VLOOKUP($B25,报价辅助计算!$B:$I,5,0),"-")</f>
        <v>-</v>
      </c>
      <c r="H25" s="130" t="str" cm="1">
        <f t="array" ref="H25">IFERROR(IF($L$3="否",ROUNDUP(Q25,1),_xlfn.XLOOKUP(C25&amp;D25&amp;E25&amp;F25,历史价格!C:C&amp;历史价格!D:D&amp;历史价格!E:E&amp;历史价格!F:F,历史价格!H:H,IF($L$5="是",ROUNDUP(Q25,1),"-"),0)),"-")</f>
        <v>-</v>
      </c>
      <c r="I25" s="815" t="str">
        <f t="shared" si="17"/>
        <v>-</v>
      </c>
      <c r="J25" s="816" t="str">
        <f t="shared" si="18"/>
        <v>-</v>
      </c>
      <c r="K25" s="126" t="str">
        <f>IFERROR(VLOOKUP($B25,报价辅助计算!$B:$J,9,0),"-")</f>
        <v>-</v>
      </c>
      <c r="L25" s="817" t="str">
        <f>IFERROR(VLOOKUP($B25,报价辅助计算!$B:$I,6,0),"-")</f>
        <v>-</v>
      </c>
      <c r="M25" s="770" t="str">
        <f>IFERROR(VLOOKUP($B25,报价辅助计算!$B:$I,7,0),"-")</f>
        <v>-</v>
      </c>
      <c r="N25" s="818" t="str">
        <f t="shared" si="19"/>
        <v>-</v>
      </c>
      <c r="O25" s="771" t="str">
        <f t="shared" si="20"/>
        <v>-</v>
      </c>
      <c r="P25" s="115" t="str">
        <f t="shared" si="21"/>
        <v>-</v>
      </c>
      <c r="Q25" s="763" t="str">
        <f t="shared" si="22"/>
        <v>-</v>
      </c>
      <c r="R25" s="751">
        <f>IFERROR(IF(VLOOKUP($B25,报价辅助计算!$B:$M,11,0)=0,报价辅助计算!$E$1,VLOOKUP($B25,报价辅助计算!$B:$M,11,0)),报价辅助计算!$E$1)</f>
        <v>75</v>
      </c>
      <c r="S25" s="115" t="str">
        <f t="shared" si="23"/>
        <v>-</v>
      </c>
    </row>
    <row r="26" spans="2:19" ht="30" customHeight="1">
      <c r="B26" s="124" t="str">
        <f>IFERROR(IF(B25=SUM(报价辅助计算!A:A),"-",'Price PDF'!B25+1),"-")</f>
        <v>-</v>
      </c>
      <c r="C26" s="127" t="str">
        <f>IFERROR(VLOOKUP($B26,报价辅助计算!$B:$I,2,0),"-")</f>
        <v>-</v>
      </c>
      <c r="D26" s="127" t="str">
        <f>IFERROR(VLOOKUP($B26,报价辅助计算!$B:$I,8,0),"-")</f>
        <v>-</v>
      </c>
      <c r="E26" s="128" t="str">
        <f>IFERROR(VLOOKUP($B26,报价辅助计算!$B:$I,3,0),"-")</f>
        <v>-</v>
      </c>
      <c r="F26" s="129" t="str">
        <f>IFERROR(VLOOKUP($B26,报价辅助计算!$B:$I,4,0),"-")</f>
        <v>-</v>
      </c>
      <c r="G26" s="127" t="str">
        <f>IFERROR(VLOOKUP($B26,报价辅助计算!$B:$I,5,0),"-")</f>
        <v>-</v>
      </c>
      <c r="H26" s="130" t="str" cm="1">
        <f t="array" ref="H26">IFERROR(IF($L$3="否",ROUNDUP(Q26,1),_xlfn.XLOOKUP(C26&amp;D26&amp;E26&amp;F26,历史价格!C:C&amp;历史价格!D:D&amp;历史价格!E:E&amp;历史价格!F:F,历史价格!H:H,IF($L$5="是",ROUNDUP(Q26,1),"-"),0)),"-")</f>
        <v>-</v>
      </c>
      <c r="I26" s="815" t="str">
        <f t="shared" si="17"/>
        <v>-</v>
      </c>
      <c r="J26" s="816" t="str">
        <f t="shared" si="18"/>
        <v>-</v>
      </c>
      <c r="K26" s="126" t="str">
        <f>IFERROR(VLOOKUP($B26,报价辅助计算!$B:$J,9,0),"-")</f>
        <v>-</v>
      </c>
      <c r="L26" s="817" t="str">
        <f>IFERROR(VLOOKUP($B26,报价辅助计算!$B:$I,6,0),"-")</f>
        <v>-</v>
      </c>
      <c r="M26" s="770" t="str">
        <f>IFERROR(VLOOKUP($B26,报价辅助计算!$B:$I,7,0),"-")</f>
        <v>-</v>
      </c>
      <c r="N26" s="818" t="str">
        <f t="shared" si="19"/>
        <v>-</v>
      </c>
      <c r="O26" s="771" t="str">
        <f t="shared" si="20"/>
        <v>-</v>
      </c>
      <c r="P26" s="115" t="str">
        <f t="shared" si="21"/>
        <v>-</v>
      </c>
      <c r="Q26" s="763" t="str">
        <f t="shared" si="22"/>
        <v>-</v>
      </c>
      <c r="R26" s="751">
        <f>IFERROR(IF(VLOOKUP($B26,报价辅助计算!$B:$M,11,0)=0,报价辅助计算!$E$1,VLOOKUP($B26,报价辅助计算!$B:$M,11,0)),报价辅助计算!$E$1)</f>
        <v>75</v>
      </c>
      <c r="S26" s="115" t="str">
        <f t="shared" si="23"/>
        <v>-</v>
      </c>
    </row>
    <row r="27" spans="2:19" ht="30" customHeight="1">
      <c r="B27" s="124" t="str">
        <f>IFERROR(IF(B26=SUM(报价辅助计算!A:A),"-",'Price PDF'!B26+1),"-")</f>
        <v>-</v>
      </c>
      <c r="C27" s="127" t="str">
        <f>IFERROR(VLOOKUP($B27,报价辅助计算!$B:$I,2,0),"-")</f>
        <v>-</v>
      </c>
      <c r="D27" s="127" t="str">
        <f>IFERROR(VLOOKUP($B27,报价辅助计算!$B:$I,8,0),"-")</f>
        <v>-</v>
      </c>
      <c r="E27" s="128" t="str">
        <f>IFERROR(VLOOKUP($B27,报价辅助计算!$B:$I,3,0),"-")</f>
        <v>-</v>
      </c>
      <c r="F27" s="129" t="str">
        <f>IFERROR(VLOOKUP($B27,报价辅助计算!$B:$I,4,0),"-")</f>
        <v>-</v>
      </c>
      <c r="G27" s="127" t="str">
        <f>IFERROR(VLOOKUP($B27,报价辅助计算!$B:$I,5,0),"-")</f>
        <v>-</v>
      </c>
      <c r="H27" s="130" t="str" cm="1">
        <f t="array" ref="H27">IFERROR(IF($L$3="否",ROUNDUP(Q27,1),_xlfn.XLOOKUP(C27&amp;D27&amp;E27&amp;F27,历史价格!C:C&amp;历史价格!D:D&amp;历史价格!E:E&amp;历史价格!F:F,历史价格!H:H,IF($L$5="是",ROUNDUP(Q27,1),"-"),0)),"-")</f>
        <v>-</v>
      </c>
      <c r="I27" s="815" t="str">
        <f t="shared" si="17"/>
        <v>-</v>
      </c>
      <c r="J27" s="816" t="str">
        <f t="shared" si="18"/>
        <v>-</v>
      </c>
      <c r="K27" s="126" t="str">
        <f>IFERROR(VLOOKUP($B27,报价辅助计算!$B:$J,9,0),"-")</f>
        <v>-</v>
      </c>
      <c r="L27" s="817" t="str">
        <f>IFERROR(VLOOKUP($B27,报价辅助计算!$B:$I,6,0),"-")</f>
        <v>-</v>
      </c>
      <c r="M27" s="770" t="str">
        <f>IFERROR(VLOOKUP($B27,报价辅助计算!$B:$I,7,0),"-")</f>
        <v>-</v>
      </c>
      <c r="N27" s="818" t="str">
        <f t="shared" si="19"/>
        <v>-</v>
      </c>
      <c r="O27" s="771" t="str">
        <f t="shared" si="20"/>
        <v>-</v>
      </c>
      <c r="P27" s="115" t="str">
        <f t="shared" si="21"/>
        <v>-</v>
      </c>
      <c r="Q27" s="763" t="str">
        <f t="shared" si="22"/>
        <v>-</v>
      </c>
      <c r="R27" s="751">
        <f>IFERROR(IF(VLOOKUP($B27,报价辅助计算!$B:$M,11,0)=0,报价辅助计算!$E$1,VLOOKUP($B27,报价辅助计算!$B:$M,11,0)),报价辅助计算!$E$1)</f>
        <v>75</v>
      </c>
      <c r="S27" s="115" t="str">
        <f t="shared" si="23"/>
        <v>-</v>
      </c>
    </row>
    <row r="28" spans="2:19" ht="30" customHeight="1">
      <c r="B28" s="124" t="str">
        <f>IFERROR(IF(B27=SUM(报价辅助计算!A:A),"-",'Price PDF'!B27+1),"-")</f>
        <v>-</v>
      </c>
      <c r="C28" s="127" t="str">
        <f>IFERROR(VLOOKUP($B28,报价辅助计算!$B:$I,2,0),"-")</f>
        <v>-</v>
      </c>
      <c r="D28" s="127" t="str">
        <f>IFERROR(VLOOKUP($B28,报价辅助计算!$B:$I,8,0),"-")</f>
        <v>-</v>
      </c>
      <c r="E28" s="128" t="str">
        <f>IFERROR(VLOOKUP($B28,报价辅助计算!$B:$I,3,0),"-")</f>
        <v>-</v>
      </c>
      <c r="F28" s="129" t="str">
        <f>IFERROR(VLOOKUP($B28,报价辅助计算!$B:$I,4,0),"-")</f>
        <v>-</v>
      </c>
      <c r="G28" s="127" t="str">
        <f>IFERROR(VLOOKUP($B28,报价辅助计算!$B:$I,5,0),"-")</f>
        <v>-</v>
      </c>
      <c r="H28" s="130" t="str" cm="1">
        <f t="array" ref="H28">IFERROR(IF($L$3="否",ROUNDUP(Q28,1),_xlfn.XLOOKUP(C28&amp;D28&amp;E28&amp;F28,历史价格!C:C&amp;历史价格!D:D&amp;历史价格!E:E&amp;历史价格!F:F,历史价格!H:H,IF($L$5="是",ROUNDUP(Q28,1),"-"),0)),"-")</f>
        <v>-</v>
      </c>
      <c r="I28" s="815" t="str">
        <f t="shared" si="17"/>
        <v>-</v>
      </c>
      <c r="J28" s="816" t="str">
        <f t="shared" si="18"/>
        <v>-</v>
      </c>
      <c r="K28" s="126" t="str">
        <f>IFERROR(VLOOKUP($B28,报价辅助计算!$B:$J,9,0),"-")</f>
        <v>-</v>
      </c>
      <c r="L28" s="817" t="str">
        <f>IFERROR(VLOOKUP($B28,报价辅助计算!$B:$I,6,0),"-")</f>
        <v>-</v>
      </c>
      <c r="M28" s="770" t="str">
        <f>IFERROR(VLOOKUP($B28,报价辅助计算!$B:$I,7,0),"-")</f>
        <v>-</v>
      </c>
      <c r="N28" s="818" t="str">
        <f t="shared" si="19"/>
        <v>-</v>
      </c>
      <c r="O28" s="771" t="str">
        <f t="shared" si="20"/>
        <v>-</v>
      </c>
      <c r="P28" s="115" t="str">
        <f t="shared" si="21"/>
        <v>-</v>
      </c>
      <c r="Q28" s="763" t="str">
        <f t="shared" si="22"/>
        <v>-</v>
      </c>
      <c r="R28" s="751">
        <f>IFERROR(IF(VLOOKUP($B28,报价辅助计算!$B:$M,11,0)=0,报价辅助计算!$E$1,VLOOKUP($B28,报价辅助计算!$B:$M,11,0)),报价辅助计算!$E$1)</f>
        <v>75</v>
      </c>
      <c r="S28" s="115" t="str">
        <f t="shared" si="23"/>
        <v>-</v>
      </c>
    </row>
    <row r="29" spans="2:19" ht="30" customHeight="1">
      <c r="B29" s="124" t="str">
        <f>IFERROR(IF(B28=SUM(报价辅助计算!A:A),"-",'Price PDF'!B28+1),"-")</f>
        <v>-</v>
      </c>
      <c r="C29" s="127" t="str">
        <f>IFERROR(VLOOKUP($B29,报价辅助计算!$B:$I,2,0),"-")</f>
        <v>-</v>
      </c>
      <c r="D29" s="127" t="str">
        <f>IFERROR(VLOOKUP($B29,报价辅助计算!$B:$I,8,0),"-")</f>
        <v>-</v>
      </c>
      <c r="E29" s="128" t="str">
        <f>IFERROR(VLOOKUP($B29,报价辅助计算!$B:$I,3,0),"-")</f>
        <v>-</v>
      </c>
      <c r="F29" s="129" t="str">
        <f>IFERROR(VLOOKUP($B29,报价辅助计算!$B:$I,4,0),"-")</f>
        <v>-</v>
      </c>
      <c r="G29" s="127" t="str">
        <f>IFERROR(VLOOKUP($B29,报价辅助计算!$B:$I,5,0),"-")</f>
        <v>-</v>
      </c>
      <c r="H29" s="130" t="str" cm="1">
        <f t="array" ref="H29">IFERROR(IF($L$3="否",ROUNDUP(Q29,1),_xlfn.XLOOKUP(C29&amp;D29&amp;E29&amp;F29,历史价格!C:C&amp;历史价格!D:D&amp;历史价格!E:E&amp;历史价格!F:F,历史价格!H:H,IF($L$5="是",ROUNDUP(Q29,1),"-"),0)),"-")</f>
        <v>-</v>
      </c>
      <c r="I29" s="815" t="str">
        <f t="shared" si="17"/>
        <v>-</v>
      </c>
      <c r="J29" s="816" t="str">
        <f t="shared" si="18"/>
        <v>-</v>
      </c>
      <c r="K29" s="126" t="str">
        <f>IFERROR(VLOOKUP($B29,报价辅助计算!$B:$J,9,0),"-")</f>
        <v>-</v>
      </c>
      <c r="L29" s="817" t="str">
        <f>IFERROR(VLOOKUP($B29,报价辅助计算!$B:$I,6,0),"-")</f>
        <v>-</v>
      </c>
      <c r="M29" s="770" t="str">
        <f>IFERROR(VLOOKUP($B29,报价辅助计算!$B:$I,7,0),"-")</f>
        <v>-</v>
      </c>
      <c r="N29" s="818" t="str">
        <f t="shared" si="19"/>
        <v>-</v>
      </c>
      <c r="O29" s="771" t="str">
        <f t="shared" si="20"/>
        <v>-</v>
      </c>
      <c r="P29" s="115" t="str">
        <f t="shared" si="21"/>
        <v>-</v>
      </c>
      <c r="Q29" s="763" t="str">
        <f t="shared" si="22"/>
        <v>-</v>
      </c>
      <c r="R29" s="751">
        <f>IFERROR(IF(VLOOKUP($B29,报价辅助计算!$B:$M,11,0)=0,报价辅助计算!$E$1,VLOOKUP($B29,报价辅助计算!$B:$M,11,0)),报价辅助计算!$E$1)</f>
        <v>75</v>
      </c>
      <c r="S29" s="115" t="str">
        <f t="shared" si="23"/>
        <v>-</v>
      </c>
    </row>
    <row r="30" spans="2:19" ht="30" customHeight="1">
      <c r="B30" s="124" t="str">
        <f>IFERROR(IF(B29=SUM(报价辅助计算!A:A),"-",'Price PDF'!B29+1),"-")</f>
        <v>-</v>
      </c>
      <c r="C30" s="127" t="str">
        <f>IFERROR(VLOOKUP($B30,报价辅助计算!$B:$I,2,0),"-")</f>
        <v>-</v>
      </c>
      <c r="D30" s="127" t="str">
        <f>IFERROR(VLOOKUP($B30,报价辅助计算!$B:$I,8,0),"-")</f>
        <v>-</v>
      </c>
      <c r="E30" s="128" t="str">
        <f>IFERROR(VLOOKUP($B30,报价辅助计算!$B:$I,3,0),"-")</f>
        <v>-</v>
      </c>
      <c r="F30" s="129" t="str">
        <f>IFERROR(VLOOKUP($B30,报价辅助计算!$B:$I,4,0),"-")</f>
        <v>-</v>
      </c>
      <c r="G30" s="127" t="str">
        <f>IFERROR(VLOOKUP($B30,报价辅助计算!$B:$I,5,0),"-")</f>
        <v>-</v>
      </c>
      <c r="H30" s="130" t="str" cm="1">
        <f t="array" ref="H30">IFERROR(IF($L$3="否",ROUNDUP(Q30,1),_xlfn.XLOOKUP(C30&amp;D30&amp;E30&amp;F30,历史价格!C:C&amp;历史价格!D:D&amp;历史价格!E:E&amp;历史价格!F:F,历史价格!H:H,IF($L$5="是",ROUNDUP(Q30,1),"-"),0)),"-")</f>
        <v>-</v>
      </c>
      <c r="I30" s="815" t="str">
        <f>IFERROR(H30*G30,"-")</f>
        <v>-</v>
      </c>
      <c r="J30" s="816" t="str">
        <f>IFERROR(ROUND(L30*1.05,1),"-")</f>
        <v>-</v>
      </c>
      <c r="K30" s="126" t="str">
        <f>IFERROR(VLOOKUP($B30,报价辅助计算!$B:$J,9,0),"-")</f>
        <v>-</v>
      </c>
      <c r="L30" s="817" t="str">
        <f>IFERROR(VLOOKUP($B30,报价辅助计算!$B:$I,6,0),"-")</f>
        <v>-</v>
      </c>
      <c r="M30" s="770" t="str">
        <f>IFERROR(VLOOKUP($B30,报价辅助计算!$B:$I,7,0),"-")</f>
        <v>-</v>
      </c>
      <c r="N30" s="818" t="str">
        <f>IFERROR(L30*G30,"-")</f>
        <v>-</v>
      </c>
      <c r="O30" s="771" t="str">
        <f>IFERROR(M30*G30,"-")</f>
        <v>-</v>
      </c>
      <c r="P30" s="115" t="str">
        <f>IF(M30="-","-",$P$13)</f>
        <v>-</v>
      </c>
      <c r="Q30" s="763" t="str">
        <f>IFERROR(M30*P30/$Q$13,"-")</f>
        <v>-</v>
      </c>
      <c r="R30" s="751">
        <f>IFERROR(IF(VLOOKUP($B30,报价辅助计算!$B:$M,11,0)=0,报价辅助计算!$E$1,VLOOKUP($B30,报价辅助计算!$B:$M,11,0)),报价辅助计算!$E$1)</f>
        <v>75</v>
      </c>
      <c r="S30" s="115" t="str">
        <f>IFERROR(H30/L30,"-")</f>
        <v>-</v>
      </c>
    </row>
    <row r="31" spans="2:19" ht="30" customHeight="1">
      <c r="B31" s="124" t="str">
        <f>IFERROR(IF(B30=SUM(报价辅助计算!A:A),"-",'Price PDF'!B30+1),"-")</f>
        <v>-</v>
      </c>
      <c r="C31" s="127" t="str">
        <f>IFERROR(VLOOKUP($B31,报价辅助计算!$B:$I,2,0),"-")</f>
        <v>-</v>
      </c>
      <c r="D31" s="127" t="str">
        <f>IFERROR(VLOOKUP($B31,报价辅助计算!$B:$I,8,0),"-")</f>
        <v>-</v>
      </c>
      <c r="E31" s="128" t="str">
        <f>IFERROR(VLOOKUP($B31,报价辅助计算!$B:$I,3,0),"-")</f>
        <v>-</v>
      </c>
      <c r="F31" s="129" t="str">
        <f>IFERROR(VLOOKUP($B31,报价辅助计算!$B:$I,4,0),"-")</f>
        <v>-</v>
      </c>
      <c r="G31" s="127" t="str">
        <f>IFERROR(VLOOKUP($B31,报价辅助计算!$B:$I,5,0),"-")</f>
        <v>-</v>
      </c>
      <c r="H31" s="130" t="str" cm="1">
        <f t="array" ref="H31">IFERROR(IF($L$3="否",ROUNDUP(Q31,1),_xlfn.XLOOKUP(C31&amp;D31&amp;E31&amp;F31,历史价格!C:C&amp;历史价格!D:D&amp;历史价格!E:E&amp;历史价格!F:F,历史价格!H:H,IF($L$5="是",ROUNDUP(Q31,1),"-"),0)),"-")</f>
        <v>-</v>
      </c>
      <c r="I31" s="815" t="str">
        <f t="shared" ref="I31:I32" si="24">IFERROR(H31*G31,"-")</f>
        <v>-</v>
      </c>
      <c r="J31" s="816" t="str">
        <f t="shared" ref="J31:J32" si="25">IFERROR(ROUND(L31*1.05,1),"-")</f>
        <v>-</v>
      </c>
      <c r="K31" s="126" t="str">
        <f>IFERROR(VLOOKUP($B31,报价辅助计算!$B:$J,9,0),"-")</f>
        <v>-</v>
      </c>
      <c r="L31" s="817" t="str">
        <f>IFERROR(VLOOKUP($B31,报价辅助计算!$B:$I,6,0),"-")</f>
        <v>-</v>
      </c>
      <c r="M31" s="770" t="str">
        <f>IFERROR(VLOOKUP($B31,报价辅助计算!$B:$I,7,0),"-")</f>
        <v>-</v>
      </c>
      <c r="N31" s="818" t="str">
        <f t="shared" ref="N31:N32" si="26">IFERROR(L31*G31,"-")</f>
        <v>-</v>
      </c>
      <c r="O31" s="771" t="str">
        <f t="shared" ref="O31:O32" si="27">IFERROR(M31*G31,"-")</f>
        <v>-</v>
      </c>
      <c r="P31" s="115" t="str">
        <f t="shared" ref="P31:P32" si="28">IF(M31="-","-",$P$13)</f>
        <v>-</v>
      </c>
      <c r="Q31" s="763" t="str">
        <f t="shared" ref="Q31:Q32" si="29">IFERROR(M31*P31/$Q$13,"-")</f>
        <v>-</v>
      </c>
      <c r="R31" s="751">
        <f>IFERROR(IF(VLOOKUP($B31,报价辅助计算!$B:$M,11,0)=0,报价辅助计算!$E$1,VLOOKUP($B31,报价辅助计算!$B:$M,11,0)),报价辅助计算!$E$1)</f>
        <v>75</v>
      </c>
      <c r="S31" s="115" t="str">
        <f t="shared" ref="S31:S32" si="30">IFERROR(H31/L31,"-")</f>
        <v>-</v>
      </c>
    </row>
    <row r="32" spans="2:19" ht="30" customHeight="1">
      <c r="B32" s="124" t="str">
        <f>IFERROR(IF(B31=SUM(报价辅助计算!A:A),"-",'Price PDF'!B31+1),"-")</f>
        <v>-</v>
      </c>
      <c r="C32" s="127" t="str">
        <f>IFERROR(VLOOKUP($B32,报价辅助计算!$B:$I,2,0),"-")</f>
        <v>-</v>
      </c>
      <c r="D32" s="127" t="str">
        <f>IFERROR(VLOOKUP($B32,报价辅助计算!$B:$I,8,0),"-")</f>
        <v>-</v>
      </c>
      <c r="E32" s="128" t="str">
        <f>IFERROR(VLOOKUP($B32,报价辅助计算!$B:$I,3,0),"-")</f>
        <v>-</v>
      </c>
      <c r="F32" s="129" t="str">
        <f>IFERROR(VLOOKUP($B32,报价辅助计算!$B:$I,4,0),"-")</f>
        <v>-</v>
      </c>
      <c r="G32" s="127" t="str">
        <f>IFERROR(VLOOKUP($B32,报价辅助计算!$B:$I,5,0),"-")</f>
        <v>-</v>
      </c>
      <c r="H32" s="130" t="str" cm="1">
        <f t="array" ref="H32">IFERROR(IF($L$3="否",ROUNDUP(Q32,1),_xlfn.XLOOKUP(C32&amp;D32&amp;E32&amp;F32,历史价格!C:C&amp;历史价格!D:D&amp;历史价格!E:E&amp;历史价格!F:F,历史价格!H:H,IF($L$5="是",ROUNDUP(Q32,1),"-"),0)),"-")</f>
        <v>-</v>
      </c>
      <c r="I32" s="815" t="str">
        <f t="shared" si="24"/>
        <v>-</v>
      </c>
      <c r="J32" s="816" t="str">
        <f t="shared" si="25"/>
        <v>-</v>
      </c>
      <c r="K32" s="126" t="str">
        <f>IFERROR(VLOOKUP($B32,报价辅助计算!$B:$J,9,0),"-")</f>
        <v>-</v>
      </c>
      <c r="L32" s="817" t="str">
        <f>IFERROR(VLOOKUP($B32,报价辅助计算!$B:$I,6,0),"-")</f>
        <v>-</v>
      </c>
      <c r="M32" s="770" t="str">
        <f>IFERROR(VLOOKUP($B32,报价辅助计算!$B:$I,7,0),"-")</f>
        <v>-</v>
      </c>
      <c r="N32" s="818" t="str">
        <f t="shared" si="26"/>
        <v>-</v>
      </c>
      <c r="O32" s="771" t="str">
        <f t="shared" si="27"/>
        <v>-</v>
      </c>
      <c r="P32" s="115" t="str">
        <f t="shared" si="28"/>
        <v>-</v>
      </c>
      <c r="Q32" s="763" t="str">
        <f t="shared" si="29"/>
        <v>-</v>
      </c>
      <c r="R32" s="751">
        <f>IFERROR(IF(VLOOKUP($B32,报价辅助计算!$B:$M,11,0)=0,报价辅助计算!$E$1,VLOOKUP($B32,报价辅助计算!$B:$M,11,0)),报价辅助计算!$E$1)</f>
        <v>75</v>
      </c>
      <c r="S32" s="115" t="str">
        <f t="shared" si="30"/>
        <v>-</v>
      </c>
    </row>
    <row r="33" spans="1:24" ht="30" customHeight="1">
      <c r="A33" s="772">
        <v>14</v>
      </c>
      <c r="B33" s="773"/>
      <c r="C33" s="774" t="s">
        <v>50</v>
      </c>
      <c r="D33" s="775"/>
      <c r="E33" s="776"/>
      <c r="F33" s="776"/>
      <c r="G33" s="777"/>
      <c r="H33" s="777"/>
      <c r="I33" s="819">
        <f ca="1">ROUNDUP(SUM(INDEX(I:I,A33):INDIRECT(SUBSTITUTE(ADDRESS(1,COLUMN(),4),"1","")&amp;ROW()-1))*(-O33),1)</f>
        <v>0</v>
      </c>
      <c r="J33" s="820"/>
      <c r="K33" s="777"/>
      <c r="L33" s="821"/>
      <c r="M33" s="822"/>
      <c r="N33" s="114" t="s">
        <v>51</v>
      </c>
      <c r="O33" s="813"/>
      <c r="P33" s="171" t="s">
        <v>52</v>
      </c>
      <c r="Q33" s="763"/>
      <c r="V33" s="114" t="s">
        <v>53</v>
      </c>
      <c r="W33" s="813"/>
    </row>
    <row r="34" spans="1:24" ht="30" customHeight="1" outlineLevel="1">
      <c r="B34" s="773"/>
      <c r="C34" s="780" t="s">
        <v>54</v>
      </c>
      <c r="D34" s="781"/>
      <c r="E34" s="780"/>
      <c r="F34" s="780"/>
      <c r="G34" s="782"/>
      <c r="H34" s="781"/>
      <c r="I34" s="823">
        <f>ROUNDUP(IF(O34&gt;0,(R36+S36)/$Q$13,0),0)</f>
        <v>0</v>
      </c>
      <c r="J34" s="824"/>
      <c r="K34" s="781"/>
      <c r="L34" s="825"/>
      <c r="M34" s="826"/>
      <c r="N34" s="785" t="s">
        <v>55</v>
      </c>
      <c r="O34" s="772"/>
      <c r="P34" s="171"/>
      <c r="Q34" s="763"/>
    </row>
    <row r="35" spans="1:24" ht="30" customHeight="1" outlineLevel="1">
      <c r="B35" s="773"/>
      <c r="C35" s="780" t="s">
        <v>56</v>
      </c>
      <c r="D35" s="781"/>
      <c r="E35" s="780"/>
      <c r="F35" s="827"/>
      <c r="G35" s="828"/>
      <c r="H35" s="829"/>
      <c r="I35" s="823">
        <f>ROUNDUP(IF(O35&gt;0,T36/$Q$13,0),0)</f>
        <v>0</v>
      </c>
      <c r="J35" s="824"/>
      <c r="K35" s="781"/>
      <c r="L35" s="825"/>
      <c r="M35" s="826"/>
      <c r="N35" s="785" t="s">
        <v>57</v>
      </c>
      <c r="O35" s="772"/>
      <c r="P35" s="171"/>
      <c r="Q35" s="763"/>
    </row>
    <row r="36" spans="1:24" ht="30" customHeight="1">
      <c r="A36" s="785" t="s">
        <v>58</v>
      </c>
      <c r="B36" s="773"/>
      <c r="C36" s="788" t="s">
        <v>2324</v>
      </c>
      <c r="D36" s="787"/>
      <c r="E36" s="830"/>
      <c r="F36" s="831" t="s">
        <v>60</v>
      </c>
      <c r="G36" s="832">
        <f ca="1">IF(N38&gt;0,N38,ROUNDUP(M38,1))</f>
        <v>0</v>
      </c>
      <c r="H36" s="833" t="s">
        <v>61</v>
      </c>
      <c r="I36" s="834">
        <f ca="1">SUM(INDEX(I:I,A33):INDIRECT(SUBSTITUTE(ADDRESS(1,COLUMN(),4),"1","")&amp;ROW()-1))</f>
        <v>0</v>
      </c>
      <c r="J36" s="820">
        <f ca="1">IFERROR(ROUND(N36*1.05,1),"-")</f>
        <v>0</v>
      </c>
      <c r="K36" s="786"/>
      <c r="L36" s="786"/>
      <c r="M36" s="786" t="s">
        <v>21</v>
      </c>
      <c r="N36" s="791">
        <f ca="1">SUM(INDEX(N:N,A33):INDIRECT(SUBSTITUTE(ADDRESS(1,COLUMN(),4),"1","")&amp;ROW()-3))</f>
        <v>0</v>
      </c>
      <c r="O36" s="835">
        <f ca="1">SUM(INDEX(O:O,A33):INDIRECT(SUBSTITUTE(ADDRESS(1,COLUMN(),4),"1","")&amp;ROW()-3))</f>
        <v>0</v>
      </c>
      <c r="P36" s="836">
        <f ca="1">P38*IF(N38&gt;0,N38,M38)</f>
        <v>0</v>
      </c>
      <c r="Q36" s="836">
        <f ca="1">Q38*IF(N38&gt;0,N38,M38)</f>
        <v>0</v>
      </c>
      <c r="R36" s="836">
        <f ca="1">R38*ROUNDUP(IF(N38&gt;0,N38,M38),P39)*R39</f>
        <v>0</v>
      </c>
      <c r="S36" s="836">
        <f ca="1">S38*ROUNDUP(IF(N38&gt;0,N38,M38),P39)*S39</f>
        <v>0</v>
      </c>
      <c r="T36" s="836">
        <f>T38*$Q$13*T39</f>
        <v>0</v>
      </c>
      <c r="U36" s="836">
        <f ca="1">W38*U38*1.13*U39</f>
        <v>0</v>
      </c>
      <c r="V36" s="114" t="s">
        <v>62</v>
      </c>
      <c r="W36" s="837">
        <v>0.15</v>
      </c>
      <c r="X36" s="838" t="str">
        <f ca="1">IFERROR(IF(V38&lt;W36,"利润偏低","-"),"-")</f>
        <v>-</v>
      </c>
    </row>
    <row r="37" spans="1:24" s="750" customFormat="1" ht="27" customHeight="1" outlineLevel="1">
      <c r="B37" s="115"/>
      <c r="C37" s="123"/>
      <c r="D37" s="115"/>
      <c r="E37" s="123"/>
      <c r="F37" s="123"/>
      <c r="G37" s="115"/>
      <c r="H37" s="115"/>
      <c r="I37" s="115"/>
      <c r="J37" s="133"/>
      <c r="K37" s="115"/>
      <c r="L37" s="114" t="s">
        <v>63</v>
      </c>
      <c r="M37" s="793" t="s">
        <v>64</v>
      </c>
      <c r="N37" s="839" t="s">
        <v>65</v>
      </c>
      <c r="P37" s="793" t="s">
        <v>66</v>
      </c>
      <c r="Q37" s="793" t="s">
        <v>67</v>
      </c>
      <c r="R37" s="793" t="s">
        <v>68</v>
      </c>
      <c r="S37" s="750" t="s">
        <v>69</v>
      </c>
      <c r="T37" s="793" t="s">
        <v>143</v>
      </c>
      <c r="U37" s="793" t="s">
        <v>71</v>
      </c>
      <c r="V37" s="793" t="s">
        <v>35</v>
      </c>
      <c r="W37" s="793" t="s">
        <v>144</v>
      </c>
      <c r="X37" s="793" t="s">
        <v>73</v>
      </c>
    </row>
    <row r="38" spans="1:24" ht="27" customHeight="1" outlineLevel="1">
      <c r="I38" s="794"/>
      <c r="K38" s="794"/>
      <c r="L38" s="840">
        <v>26000</v>
      </c>
      <c r="M38" s="841">
        <f ca="1">ROUNDUP(N36/L38,2)</f>
        <v>0</v>
      </c>
      <c r="N38" s="772"/>
      <c r="O38" s="114" t="s">
        <v>74</v>
      </c>
      <c r="P38" s="842">
        <v>1100</v>
      </c>
      <c r="Q38" s="842">
        <v>250</v>
      </c>
      <c r="R38" s="842">
        <v>4000</v>
      </c>
      <c r="S38" s="842">
        <v>3200</v>
      </c>
      <c r="T38" s="843">
        <v>400</v>
      </c>
      <c r="U38" s="837">
        <v>0.05</v>
      </c>
      <c r="V38" s="844" t="str">
        <f ca="1">IFERROR(X38/W38,"-")</f>
        <v>-</v>
      </c>
      <c r="W38" s="836">
        <f ca="1">I36*IF(V39&gt;0,V39,$Q$13)/(1+W33)</f>
        <v>0</v>
      </c>
      <c r="X38" s="836">
        <f ca="1">W38-U36-T36-S36-R36-Q36-P36-O36</f>
        <v>0</v>
      </c>
    </row>
    <row r="39" spans="1:24" ht="27" customHeight="1" outlineLevel="1">
      <c r="E39" s="785"/>
      <c r="L39" s="845" t="s">
        <v>75</v>
      </c>
      <c r="M39" s="846" t="str">
        <f ca="1">IFERROR((W38-U36-T36-S36-R36-Q36-P36)/N36,"-")</f>
        <v>-</v>
      </c>
      <c r="N39" s="171" t="s">
        <v>76</v>
      </c>
      <c r="O39" s="114" t="s">
        <v>145</v>
      </c>
      <c r="P39" s="115">
        <v>1</v>
      </c>
      <c r="Q39" s="847" t="s">
        <v>77</v>
      </c>
      <c r="R39" s="797"/>
      <c r="S39" s="797"/>
      <c r="T39" s="797"/>
      <c r="U39" s="797"/>
      <c r="V39" s="772"/>
      <c r="W39" s="114" t="s">
        <v>78</v>
      </c>
    </row>
    <row r="40" spans="1:24" ht="27" customHeight="1">
      <c r="B40" s="115" t="s">
        <v>79</v>
      </c>
      <c r="H40" s="763"/>
    </row>
    <row r="41" spans="1:24" ht="27" customHeight="1">
      <c r="B41" s="131" t="s">
        <v>80</v>
      </c>
      <c r="C41" s="132"/>
      <c r="D41" s="131"/>
      <c r="L41" s="115" t="s">
        <v>81</v>
      </c>
      <c r="M41" s="115" t="s">
        <v>82</v>
      </c>
      <c r="N41" s="115" t="s">
        <v>83</v>
      </c>
      <c r="O41" s="115">
        <v>1100</v>
      </c>
      <c r="P41" s="115">
        <v>4000</v>
      </c>
      <c r="Q41" s="115">
        <v>3200</v>
      </c>
    </row>
    <row r="42" spans="1:24" ht="39" customHeight="1">
      <c r="B42" s="131" t="s">
        <v>84</v>
      </c>
      <c r="C42" s="132"/>
      <c r="D42" s="131"/>
      <c r="L42" s="115" t="s">
        <v>85</v>
      </c>
      <c r="M42" s="115" t="s">
        <v>86</v>
      </c>
      <c r="N42" s="115" t="s">
        <v>87</v>
      </c>
      <c r="O42" s="115">
        <v>1100</v>
      </c>
      <c r="P42" s="115">
        <v>2500</v>
      </c>
      <c r="Q42" s="115">
        <v>3200</v>
      </c>
    </row>
    <row r="43" spans="1:24" ht="39" customHeight="1">
      <c r="B43" s="131" t="s">
        <v>88</v>
      </c>
      <c r="C43" s="132"/>
      <c r="D43" s="131"/>
      <c r="L43" s="115" t="s">
        <v>89</v>
      </c>
      <c r="M43" s="115" t="s">
        <v>90</v>
      </c>
      <c r="N43" s="115" t="s">
        <v>91</v>
      </c>
    </row>
    <row r="44" spans="1:24" ht="39" customHeight="1">
      <c r="O44" s="114" t="s">
        <v>146</v>
      </c>
      <c r="P44" s="114" t="s">
        <v>147</v>
      </c>
      <c r="Q44" s="114" t="s">
        <v>148</v>
      </c>
    </row>
    <row r="45" spans="1:24" ht="39" customHeight="1"/>
    <row r="48" spans="1:24">
      <c r="B48" s="131"/>
      <c r="C48" s="132"/>
      <c r="D48" s="131"/>
    </row>
    <row r="49" spans="1:24">
      <c r="A49" s="131"/>
      <c r="B49" s="131"/>
      <c r="C49" s="132"/>
      <c r="D49" s="131"/>
    </row>
    <row r="50" spans="1:24">
      <c r="A50" s="131"/>
      <c r="B50" s="131"/>
      <c r="C50" s="132"/>
      <c r="D50" s="131"/>
    </row>
    <row r="51" spans="1:24">
      <c r="A51" s="131"/>
      <c r="B51" s="131"/>
      <c r="C51" s="132"/>
      <c r="D51" s="131"/>
    </row>
    <row r="52" spans="1:24">
      <c r="B52" s="131"/>
      <c r="C52" s="132"/>
      <c r="D52" s="131"/>
      <c r="H52" s="121"/>
    </row>
    <row r="53" spans="1:24">
      <c r="B53" s="131"/>
      <c r="C53" s="132"/>
      <c r="D53" s="131"/>
    </row>
    <row r="54" spans="1:24">
      <c r="B54" s="131"/>
      <c r="C54" s="132"/>
      <c r="D54" s="131"/>
    </row>
    <row r="55" spans="1:24">
      <c r="B55" s="131"/>
      <c r="C55" s="132"/>
      <c r="D55" s="131"/>
    </row>
    <row r="56" spans="1:24">
      <c r="B56" s="131"/>
      <c r="C56" s="132"/>
      <c r="D56" s="131"/>
    </row>
    <row r="57" spans="1:24">
      <c r="B57" s="131"/>
      <c r="C57" s="132"/>
      <c r="D57" s="131"/>
    </row>
    <row r="58" spans="1:24">
      <c r="B58" s="131"/>
      <c r="C58" s="132"/>
      <c r="D58" s="131"/>
    </row>
    <row r="59" spans="1:24">
      <c r="B59" s="131"/>
      <c r="C59" s="132"/>
      <c r="D59" s="131"/>
    </row>
    <row r="60" spans="1:24">
      <c r="B60" s="131"/>
      <c r="C60" s="132"/>
      <c r="D60" s="131"/>
    </row>
    <row r="61" spans="1:24" s="123" customFormat="1">
      <c r="A61" s="115"/>
      <c r="B61" s="131"/>
      <c r="C61" s="132"/>
      <c r="D61" s="131"/>
      <c r="G61" s="115"/>
      <c r="H61" s="115"/>
      <c r="I61" s="115"/>
      <c r="J61" s="133"/>
      <c r="K61" s="115"/>
      <c r="L61" s="115"/>
      <c r="M61" s="115"/>
      <c r="N61" s="115"/>
      <c r="O61" s="115"/>
      <c r="P61" s="115"/>
      <c r="Q61" s="115"/>
      <c r="R61" s="115"/>
      <c r="S61" s="115"/>
      <c r="T61" s="115"/>
      <c r="U61" s="115"/>
      <c r="V61" s="115"/>
      <c r="W61" s="115"/>
      <c r="X61" s="115"/>
    </row>
    <row r="62" spans="1:24" s="123" customFormat="1">
      <c r="A62" s="115"/>
      <c r="B62" s="131"/>
      <c r="C62" s="132"/>
      <c r="D62" s="131"/>
      <c r="G62" s="115"/>
      <c r="H62" s="115"/>
      <c r="I62" s="115"/>
      <c r="J62" s="133"/>
      <c r="K62" s="115"/>
      <c r="L62" s="115"/>
      <c r="M62" s="115"/>
      <c r="N62" s="115"/>
      <c r="O62" s="115"/>
      <c r="P62" s="115"/>
      <c r="Q62" s="115"/>
      <c r="R62" s="115"/>
      <c r="S62" s="115"/>
      <c r="T62" s="115"/>
      <c r="U62" s="115"/>
      <c r="V62" s="115"/>
      <c r="W62" s="115"/>
      <c r="X62" s="115"/>
    </row>
    <row r="63" spans="1:24" s="123" customFormat="1">
      <c r="A63" s="115"/>
      <c r="B63" s="131"/>
      <c r="C63" s="132"/>
      <c r="D63" s="131"/>
      <c r="G63" s="115"/>
      <c r="H63" s="115"/>
      <c r="I63" s="115"/>
      <c r="J63" s="133"/>
      <c r="K63" s="115"/>
      <c r="L63" s="115"/>
      <c r="M63" s="115"/>
      <c r="N63" s="115"/>
      <c r="O63" s="115"/>
      <c r="P63" s="115"/>
      <c r="Q63" s="115"/>
      <c r="R63" s="115"/>
      <c r="S63" s="115"/>
      <c r="T63" s="115"/>
      <c r="U63" s="115"/>
      <c r="V63" s="115"/>
      <c r="W63" s="115"/>
      <c r="X63" s="115"/>
    </row>
    <row r="64" spans="1:24" s="123" customFormat="1">
      <c r="A64" s="115"/>
      <c r="B64" s="131"/>
      <c r="C64" s="132"/>
      <c r="D64" s="131"/>
      <c r="G64" s="115"/>
      <c r="H64" s="115"/>
      <c r="I64" s="115"/>
      <c r="J64" s="133"/>
      <c r="K64" s="115"/>
      <c r="L64" s="115"/>
      <c r="M64" s="115"/>
      <c r="N64" s="115"/>
      <c r="O64" s="115"/>
      <c r="P64" s="115"/>
      <c r="Q64" s="115"/>
      <c r="R64" s="115"/>
      <c r="S64" s="115"/>
      <c r="T64" s="115"/>
      <c r="U64" s="115"/>
      <c r="V64" s="115"/>
      <c r="W64" s="115"/>
      <c r="X64" s="115"/>
    </row>
    <row r="65" spans="1:24" s="123" customFormat="1">
      <c r="A65" s="115"/>
      <c r="B65" s="131"/>
      <c r="C65" s="132"/>
      <c r="D65" s="131"/>
      <c r="G65" s="115"/>
      <c r="H65" s="115"/>
      <c r="I65" s="115"/>
      <c r="J65" s="133"/>
      <c r="K65" s="115"/>
      <c r="L65" s="115"/>
      <c r="M65" s="115"/>
      <c r="N65" s="115"/>
      <c r="O65" s="115"/>
      <c r="P65" s="115"/>
      <c r="Q65" s="115"/>
      <c r="R65" s="115"/>
      <c r="S65" s="115"/>
      <c r="T65" s="115"/>
      <c r="U65" s="115"/>
      <c r="V65" s="115"/>
      <c r="W65" s="115"/>
      <c r="X65" s="115"/>
    </row>
    <row r="66" spans="1:24" s="123" customFormat="1">
      <c r="A66" s="115"/>
      <c r="B66" s="131"/>
      <c r="C66" s="132"/>
      <c r="D66" s="131"/>
      <c r="G66" s="115"/>
      <c r="H66" s="115"/>
      <c r="I66" s="115"/>
      <c r="J66" s="133"/>
      <c r="K66" s="115"/>
      <c r="L66" s="115"/>
      <c r="M66" s="115"/>
      <c r="N66" s="115"/>
      <c r="O66" s="115"/>
      <c r="P66" s="115"/>
      <c r="Q66" s="115"/>
      <c r="R66" s="115"/>
      <c r="S66" s="115"/>
      <c r="T66" s="115"/>
      <c r="U66" s="115"/>
      <c r="V66" s="115"/>
      <c r="W66" s="115"/>
      <c r="X66" s="115"/>
    </row>
    <row r="67" spans="1:24" s="123" customFormat="1">
      <c r="A67" s="115"/>
      <c r="B67" s="131"/>
      <c r="C67" s="132"/>
      <c r="D67" s="131"/>
      <c r="G67" s="115"/>
      <c r="H67" s="115"/>
      <c r="I67" s="115"/>
      <c r="J67" s="133"/>
      <c r="K67" s="115"/>
      <c r="L67" s="115"/>
      <c r="M67" s="115"/>
      <c r="N67" s="115"/>
      <c r="O67" s="115"/>
      <c r="P67" s="115"/>
      <c r="Q67" s="115"/>
      <c r="R67" s="115"/>
      <c r="S67" s="115"/>
      <c r="T67" s="115"/>
      <c r="U67" s="115"/>
      <c r="V67" s="115"/>
      <c r="W67" s="115"/>
      <c r="X67" s="115"/>
    </row>
    <row r="68" spans="1:24" s="123" customFormat="1">
      <c r="A68" s="115"/>
      <c r="B68" s="131"/>
      <c r="C68" s="132"/>
      <c r="D68" s="131"/>
      <c r="G68" s="115"/>
      <c r="H68" s="115"/>
      <c r="I68" s="115"/>
      <c r="J68" s="133"/>
      <c r="K68" s="115"/>
      <c r="L68" s="115"/>
      <c r="M68" s="115"/>
      <c r="N68" s="115"/>
      <c r="O68" s="115"/>
      <c r="P68" s="115"/>
      <c r="Q68" s="115"/>
      <c r="R68" s="115"/>
      <c r="S68" s="115"/>
      <c r="T68" s="115"/>
      <c r="U68" s="115"/>
      <c r="V68" s="115"/>
      <c r="W68" s="115"/>
      <c r="X68" s="115"/>
    </row>
    <row r="69" spans="1:24" s="123" customFormat="1">
      <c r="A69" s="115"/>
      <c r="B69" s="131"/>
      <c r="C69" s="132"/>
      <c r="D69" s="131"/>
      <c r="G69" s="115"/>
      <c r="H69" s="115"/>
      <c r="I69" s="115"/>
      <c r="J69" s="133"/>
      <c r="K69" s="115"/>
      <c r="L69" s="115"/>
      <c r="M69" s="115"/>
      <c r="N69" s="115"/>
      <c r="O69" s="115"/>
      <c r="P69" s="115"/>
      <c r="Q69" s="115"/>
      <c r="R69" s="115"/>
      <c r="S69" s="115"/>
      <c r="T69" s="115"/>
      <c r="U69" s="115"/>
      <c r="V69" s="115"/>
      <c r="W69" s="115"/>
      <c r="X69" s="115"/>
    </row>
    <row r="70" spans="1:24" s="123" customFormat="1">
      <c r="A70" s="115"/>
      <c r="B70" s="131"/>
      <c r="C70" s="132"/>
      <c r="D70" s="131"/>
      <c r="G70" s="115"/>
      <c r="H70" s="115"/>
      <c r="I70" s="115"/>
      <c r="J70" s="133"/>
      <c r="K70" s="115"/>
      <c r="L70" s="115"/>
      <c r="M70" s="115"/>
      <c r="N70" s="115"/>
      <c r="O70" s="115"/>
      <c r="P70" s="115"/>
      <c r="Q70" s="115"/>
      <c r="R70" s="115"/>
      <c r="S70" s="115"/>
      <c r="T70" s="115"/>
      <c r="U70" s="115"/>
      <c r="V70" s="115"/>
      <c r="W70" s="115"/>
      <c r="X70" s="115"/>
    </row>
    <row r="71" spans="1:24" s="123" customFormat="1">
      <c r="A71" s="115"/>
      <c r="B71" s="131"/>
      <c r="C71" s="132"/>
      <c r="D71" s="131"/>
      <c r="G71" s="115"/>
      <c r="H71" s="115"/>
      <c r="I71" s="115"/>
      <c r="J71" s="133"/>
      <c r="K71" s="115"/>
      <c r="L71" s="115"/>
      <c r="M71" s="115"/>
      <c r="N71" s="115"/>
      <c r="O71" s="115"/>
      <c r="P71" s="115"/>
      <c r="Q71" s="115"/>
      <c r="R71" s="115"/>
      <c r="S71" s="115"/>
      <c r="T71" s="115"/>
      <c r="U71" s="115"/>
      <c r="V71" s="115"/>
      <c r="W71" s="115"/>
      <c r="X71" s="115"/>
    </row>
    <row r="72" spans="1:24" s="123" customFormat="1">
      <c r="A72" s="115"/>
      <c r="B72" s="131"/>
      <c r="C72" s="132"/>
      <c r="D72" s="131"/>
      <c r="G72" s="115"/>
      <c r="H72" s="115"/>
      <c r="I72" s="115"/>
      <c r="J72" s="133"/>
      <c r="K72" s="115"/>
      <c r="L72" s="115"/>
      <c r="M72" s="115"/>
      <c r="N72" s="115"/>
      <c r="O72" s="115"/>
      <c r="P72" s="115"/>
      <c r="Q72" s="115"/>
      <c r="R72" s="115"/>
      <c r="S72" s="115"/>
      <c r="T72" s="115"/>
      <c r="U72" s="115"/>
      <c r="V72" s="115"/>
      <c r="W72" s="115"/>
      <c r="X72" s="115"/>
    </row>
    <row r="73" spans="1:24" s="123" customFormat="1">
      <c r="A73" s="115"/>
      <c r="B73" s="131"/>
      <c r="C73" s="132"/>
      <c r="D73" s="131"/>
      <c r="G73" s="115"/>
      <c r="H73" s="115"/>
      <c r="I73" s="115"/>
      <c r="J73" s="133"/>
      <c r="K73" s="115"/>
      <c r="L73" s="115"/>
      <c r="M73" s="115"/>
      <c r="N73" s="115"/>
      <c r="O73" s="115"/>
      <c r="P73" s="115"/>
      <c r="Q73" s="115"/>
      <c r="R73" s="115"/>
      <c r="S73" s="115"/>
      <c r="T73" s="115"/>
      <c r="U73" s="115"/>
      <c r="V73" s="115"/>
      <c r="W73" s="115"/>
      <c r="X73" s="115"/>
    </row>
    <row r="74" spans="1:24" s="123" customFormat="1">
      <c r="A74" s="115"/>
      <c r="B74" s="131"/>
      <c r="C74" s="132"/>
      <c r="D74" s="131"/>
      <c r="G74" s="115"/>
      <c r="H74" s="115"/>
      <c r="I74" s="115"/>
      <c r="J74" s="133"/>
      <c r="K74" s="115"/>
      <c r="L74" s="115"/>
      <c r="M74" s="115"/>
      <c r="N74" s="115"/>
      <c r="O74" s="115"/>
      <c r="P74" s="115"/>
      <c r="Q74" s="115"/>
      <c r="R74" s="115"/>
      <c r="S74" s="115"/>
      <c r="T74" s="115"/>
      <c r="U74" s="115"/>
      <c r="V74" s="115"/>
      <c r="W74" s="115"/>
      <c r="X74" s="115"/>
    </row>
    <row r="75" spans="1:24" s="123" customFormat="1">
      <c r="A75" s="115"/>
      <c r="B75" s="131"/>
      <c r="C75" s="132"/>
      <c r="D75" s="131"/>
      <c r="G75" s="115"/>
      <c r="H75" s="115"/>
      <c r="I75" s="115"/>
      <c r="J75" s="133"/>
      <c r="K75" s="115"/>
      <c r="L75" s="115"/>
      <c r="M75" s="115"/>
      <c r="N75" s="115"/>
      <c r="O75" s="115"/>
      <c r="P75" s="115"/>
      <c r="Q75" s="115"/>
      <c r="R75" s="115"/>
      <c r="S75" s="115"/>
      <c r="T75" s="115"/>
      <c r="U75" s="115"/>
      <c r="V75" s="115"/>
      <c r="W75" s="115"/>
      <c r="X75" s="115"/>
    </row>
    <row r="76" spans="1:24" s="123" customFormat="1">
      <c r="A76" s="115"/>
      <c r="B76" s="131"/>
      <c r="C76" s="132"/>
      <c r="D76" s="131"/>
      <c r="G76" s="115"/>
      <c r="H76" s="115"/>
      <c r="I76" s="115"/>
      <c r="J76" s="133"/>
      <c r="K76" s="115"/>
      <c r="L76" s="115"/>
      <c r="M76" s="115"/>
      <c r="N76" s="115"/>
      <c r="O76" s="115"/>
      <c r="P76" s="115"/>
      <c r="Q76" s="115"/>
      <c r="R76" s="115"/>
      <c r="S76" s="115"/>
      <c r="T76" s="115"/>
      <c r="U76" s="115"/>
      <c r="V76" s="115"/>
      <c r="W76" s="115"/>
      <c r="X76" s="115"/>
    </row>
    <row r="77" spans="1:24" s="123" customFormat="1">
      <c r="A77" s="115"/>
      <c r="B77" s="131"/>
      <c r="C77" s="132"/>
      <c r="D77" s="131"/>
      <c r="G77" s="115"/>
      <c r="H77" s="115"/>
      <c r="I77" s="115"/>
      <c r="J77" s="133"/>
      <c r="K77" s="115"/>
      <c r="L77" s="115"/>
      <c r="M77" s="115"/>
      <c r="N77" s="115"/>
      <c r="O77" s="115"/>
      <c r="P77" s="115"/>
      <c r="Q77" s="115"/>
      <c r="R77" s="115"/>
      <c r="S77" s="115"/>
      <c r="T77" s="115"/>
      <c r="U77" s="115"/>
      <c r="V77" s="115"/>
      <c r="W77" s="115"/>
      <c r="X77" s="115"/>
    </row>
    <row r="78" spans="1:24" s="123" customFormat="1">
      <c r="A78" s="115"/>
      <c r="B78" s="131"/>
      <c r="C78" s="132"/>
      <c r="D78" s="131"/>
      <c r="G78" s="115"/>
      <c r="H78" s="115"/>
      <c r="I78" s="115"/>
      <c r="J78" s="133"/>
      <c r="K78" s="115"/>
      <c r="L78" s="115"/>
      <c r="M78" s="115"/>
      <c r="N78" s="115"/>
      <c r="O78" s="115"/>
      <c r="P78" s="115"/>
      <c r="Q78" s="115"/>
      <c r="R78" s="115"/>
      <c r="S78" s="115"/>
      <c r="T78" s="115"/>
      <c r="U78" s="115"/>
      <c r="V78" s="115"/>
      <c r="W78" s="115"/>
      <c r="X78" s="115"/>
    </row>
    <row r="79" spans="1:24" s="123" customFormat="1">
      <c r="A79" s="115"/>
      <c r="B79" s="131"/>
      <c r="C79" s="132"/>
      <c r="D79" s="131"/>
      <c r="G79" s="115"/>
      <c r="H79" s="115"/>
      <c r="I79" s="115"/>
      <c r="J79" s="133"/>
      <c r="K79" s="115"/>
      <c r="L79" s="115"/>
      <c r="M79" s="115"/>
      <c r="N79" s="115"/>
      <c r="O79" s="115"/>
      <c r="P79" s="115"/>
      <c r="Q79" s="115"/>
      <c r="R79" s="115"/>
      <c r="S79" s="115"/>
      <c r="T79" s="115"/>
      <c r="U79" s="115"/>
      <c r="V79" s="115"/>
      <c r="W79" s="115"/>
      <c r="X79" s="115"/>
    </row>
    <row r="80" spans="1:24" s="123" customFormat="1">
      <c r="A80" s="115"/>
      <c r="B80" s="131"/>
      <c r="C80" s="132"/>
      <c r="D80" s="131"/>
      <c r="G80" s="115"/>
      <c r="H80" s="115"/>
      <c r="I80" s="115"/>
      <c r="J80" s="133"/>
      <c r="K80" s="115"/>
      <c r="L80" s="115"/>
      <c r="M80" s="115"/>
      <c r="N80" s="115"/>
      <c r="O80" s="115"/>
      <c r="P80" s="115"/>
      <c r="Q80" s="115"/>
      <c r="R80" s="115"/>
      <c r="S80" s="115"/>
      <c r="T80" s="115"/>
      <c r="U80" s="115"/>
      <c r="V80" s="115"/>
      <c r="W80" s="115"/>
      <c r="X80" s="115"/>
    </row>
    <row r="81" spans="1:24" s="123" customFormat="1">
      <c r="A81" s="115"/>
      <c r="B81" s="131"/>
      <c r="C81" s="132"/>
      <c r="D81" s="131"/>
      <c r="G81" s="115"/>
      <c r="H81" s="115"/>
      <c r="I81" s="115"/>
      <c r="J81" s="133"/>
      <c r="K81" s="115"/>
      <c r="L81" s="115"/>
      <c r="M81" s="115"/>
      <c r="N81" s="115"/>
      <c r="O81" s="115"/>
      <c r="P81" s="115"/>
      <c r="Q81" s="115"/>
      <c r="R81" s="115"/>
      <c r="S81" s="115"/>
      <c r="T81" s="115"/>
      <c r="U81" s="115"/>
      <c r="V81" s="115"/>
      <c r="W81" s="115"/>
      <c r="X81" s="115"/>
    </row>
    <row r="82" spans="1:24" s="123" customFormat="1">
      <c r="A82" s="115"/>
      <c r="B82" s="131"/>
      <c r="C82" s="132"/>
      <c r="D82" s="131"/>
      <c r="G82" s="115"/>
      <c r="H82" s="115"/>
      <c r="I82" s="115"/>
      <c r="J82" s="133"/>
      <c r="K82" s="115"/>
      <c r="L82" s="115"/>
      <c r="M82" s="115"/>
      <c r="N82" s="115"/>
      <c r="O82" s="115"/>
      <c r="P82" s="115"/>
      <c r="Q82" s="115"/>
      <c r="R82" s="115"/>
      <c r="S82" s="115"/>
      <c r="T82" s="115"/>
      <c r="U82" s="115"/>
      <c r="V82" s="115"/>
      <c r="W82" s="115"/>
      <c r="X82" s="115"/>
    </row>
    <row r="83" spans="1:24" s="123" customFormat="1">
      <c r="A83" s="115"/>
      <c r="B83" s="131"/>
      <c r="C83" s="132"/>
      <c r="D83" s="131"/>
      <c r="G83" s="115"/>
      <c r="H83" s="115"/>
      <c r="I83" s="115"/>
      <c r="J83" s="133"/>
      <c r="K83" s="115"/>
      <c r="L83" s="115"/>
      <c r="M83" s="115"/>
      <c r="N83" s="115"/>
      <c r="O83" s="115"/>
      <c r="P83" s="115"/>
      <c r="Q83" s="115"/>
      <c r="R83" s="115"/>
      <c r="S83" s="115"/>
      <c r="T83" s="115"/>
      <c r="U83" s="115"/>
      <c r="V83" s="115"/>
      <c r="W83" s="115"/>
      <c r="X83" s="115"/>
    </row>
  </sheetData>
  <mergeCells count="3">
    <mergeCell ref="C12:H12"/>
    <mergeCell ref="M3:M11"/>
    <mergeCell ref="O2:O5"/>
  </mergeCells>
  <phoneticPr fontId="120" type="noConversion"/>
  <conditionalFormatting sqref="L3">
    <cfRule type="cellIs" dxfId="309" priority="17" operator="equal">
      <formula>"是"</formula>
    </cfRule>
  </conditionalFormatting>
  <conditionalFormatting sqref="L5">
    <cfRule type="cellIs" dxfId="308" priority="16" operator="equal">
      <formula>"是"</formula>
    </cfRule>
  </conditionalFormatting>
  <conditionalFormatting sqref="C9">
    <cfRule type="containsBlanks" dxfId="307" priority="19">
      <formula>LEN(TRIM(C9))=0</formula>
    </cfRule>
  </conditionalFormatting>
  <conditionalFormatting sqref="C10">
    <cfRule type="containsBlanks" dxfId="306" priority="18">
      <formula>LEN(TRIM(C10))=0</formula>
    </cfRule>
  </conditionalFormatting>
  <conditionalFormatting sqref="C11">
    <cfRule type="containsBlanks" dxfId="305" priority="25">
      <formula>LEN(TRIM(C11))=0</formula>
    </cfRule>
  </conditionalFormatting>
  <conditionalFormatting sqref="C14">
    <cfRule type="containsBlanks" dxfId="304" priority="44">
      <formula>LEN(TRIM(C14))=0</formula>
    </cfRule>
  </conditionalFormatting>
  <conditionalFormatting sqref="F36:H36">
    <cfRule type="expression" dxfId="303" priority="9568">
      <formula>AND($N38&gt;0,$M38&gt;$N38)</formula>
    </cfRule>
  </conditionalFormatting>
  <conditionalFormatting sqref="R39:U39">
    <cfRule type="cellIs" dxfId="302" priority="41" operator="greaterThan">
      <formula>0</formula>
    </cfRule>
  </conditionalFormatting>
  <conditionalFormatting sqref="E15:E32">
    <cfRule type="expression" dxfId="301" priority="40">
      <formula>ISNUMBER(SEARCH("guard",C15))</formula>
    </cfRule>
    <cfRule type="expression" dxfId="300" priority="42">
      <formula>ISNUMBER(SEARCH("protector",C15))</formula>
    </cfRule>
    <cfRule type="expression" dxfId="299" priority="43">
      <formula>ISNUMBER(SEARCH("beam",C15))</formula>
    </cfRule>
  </conditionalFormatting>
  <conditionalFormatting sqref="H33:H35">
    <cfRule type="expression" dxfId="298" priority="38">
      <formula>$I$12=1</formula>
    </cfRule>
  </conditionalFormatting>
  <conditionalFormatting sqref="P15:P32">
    <cfRule type="cellIs" dxfId="297" priority="46" operator="equal">
      <formula>"-"</formula>
    </cfRule>
    <cfRule type="cellIs" dxfId="296" priority="47" operator="notEqual">
      <formula>$P$13</formula>
    </cfRule>
  </conditionalFormatting>
  <conditionalFormatting sqref="I6:I7 I9">
    <cfRule type="containsBlanks" dxfId="295" priority="45">
      <formula>LEN(TRIM(I6))=0</formula>
    </cfRule>
  </conditionalFormatting>
  <conditionalFormatting sqref="B14:C14 J13:K15 E14:I14 B13:I13 B15:I15 B16:K32">
    <cfRule type="cellIs" dxfId="294" priority="35" operator="equal">
      <formula>0</formula>
    </cfRule>
  </conditionalFormatting>
  <conditionalFormatting sqref="B15:S33">
    <cfRule type="expression" dxfId="293" priority="9583">
      <formula>$B15=$L$7</formula>
    </cfRule>
  </conditionalFormatting>
  <conditionalFormatting sqref="H36:I36 I33:I36 H15:I32 Q15:Q32">
    <cfRule type="expression" dxfId="292" priority="39">
      <formula>$I$12=1</formula>
    </cfRule>
  </conditionalFormatting>
  <conditionalFormatting sqref="I36 H15:I35">
    <cfRule type="expression" dxfId="291" priority="22">
      <formula>$I$12&gt;1</formula>
    </cfRule>
  </conditionalFormatting>
  <conditionalFormatting sqref="J33:M35 C34:I35 B33:I33">
    <cfRule type="expression" dxfId="290" priority="37">
      <formula>$O33=0</formula>
    </cfRule>
  </conditionalFormatting>
  <dataValidations count="2">
    <dataValidation type="list" allowBlank="1" showInputMessage="1" showErrorMessage="1" sqref="L3 L5" xr:uid="{00000000-0002-0000-0200-000000000000}">
      <formula1>"是,否"</formula1>
    </dataValidation>
    <dataValidation type="list" allowBlank="1" showInputMessage="1" showErrorMessage="1" sqref="R39:U39" xr:uid="{00000000-0002-0000-0200-000003000000}">
      <formula1>"0,1"</formula1>
    </dataValidation>
  </dataValidations>
  <pageMargins left="0.70866141732283505" right="0.70866141732283505" top="0.74803149606299202" bottom="0.74803149606299202" header="0.31496062992126" footer="0.31496062992126"/>
  <pageSetup paperSize="9" scale="46" fitToHeight="0" orientation="portrait" errors="blank"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3666" r:id="rId4" name="Button 2">
              <controlPr defaultSize="0" print="0" autoPict="0" macro="[0]!自动调整行高">
                <anchor moveWithCells="1" sizeWithCells="1">
                  <from>
                    <xdr:col>14</xdr:col>
                    <xdr:colOff>114300</xdr:colOff>
                    <xdr:row>0</xdr:row>
                    <xdr:rowOff>95250</xdr:rowOff>
                  </from>
                  <to>
                    <xdr:col>14</xdr:col>
                    <xdr:colOff>1066800</xdr:colOff>
                    <xdr:row>3</xdr:row>
                    <xdr:rowOff>66675</xdr:rowOff>
                  </to>
                </anchor>
              </controlPr>
            </control>
          </mc:Choice>
        </mc:AlternateContent>
        <mc:AlternateContent xmlns:mc="http://schemas.openxmlformats.org/markup-compatibility/2006">
          <mc:Choice Requires="x14">
            <control shapeId="113667" r:id="rId5" name="Button 3">
              <controlPr defaultSize="0" print="0" autoPict="0" macro="[0]!Sheet22.SaveAsCustomName">
                <anchor moveWithCells="1" sizeWithCells="1">
                  <from>
                    <xdr:col>13</xdr:col>
                    <xdr:colOff>85725</xdr:colOff>
                    <xdr:row>0</xdr:row>
                    <xdr:rowOff>95250</xdr:rowOff>
                  </from>
                  <to>
                    <xdr:col>13</xdr:col>
                    <xdr:colOff>1038225</xdr:colOff>
                    <xdr:row>3</xdr:row>
                    <xdr:rowOff>66675</xdr:rowOff>
                  </to>
                </anchor>
              </controlPr>
            </control>
          </mc:Choice>
        </mc:AlternateContent>
        <mc:AlternateContent xmlns:mc="http://schemas.openxmlformats.org/markup-compatibility/2006">
          <mc:Choice Requires="x14">
            <control shapeId="113668" r:id="rId6" name="Button 4">
              <controlPr defaultSize="0" print="0" autoPict="0" macro="[0]!ProcessExcelFile">
                <anchor moveWithCells="1" sizeWithCells="1">
                  <from>
                    <xdr:col>13</xdr:col>
                    <xdr:colOff>76200</xdr:colOff>
                    <xdr:row>3</xdr:row>
                    <xdr:rowOff>171450</xdr:rowOff>
                  </from>
                  <to>
                    <xdr:col>13</xdr:col>
                    <xdr:colOff>1038225</xdr:colOff>
                    <xdr:row>6</xdr:row>
                    <xdr:rowOff>142875</xdr:rowOff>
                  </to>
                </anchor>
              </controlPr>
            </control>
          </mc:Choice>
        </mc:AlternateContent>
        <mc:AlternateContent xmlns:mc="http://schemas.openxmlformats.org/markup-compatibility/2006">
          <mc:Choice Requires="x14">
            <control shapeId="113669" r:id="rId7" name="Button 5">
              <controlPr defaultSize="0" print="0" autoPict="0" macro="[0]!PrintPricePDFToPDF">
                <anchor moveWithCells="1" sizeWithCells="1">
                  <from>
                    <xdr:col>14</xdr:col>
                    <xdr:colOff>104775</xdr:colOff>
                    <xdr:row>3</xdr:row>
                    <xdr:rowOff>161925</xdr:rowOff>
                  </from>
                  <to>
                    <xdr:col>14</xdr:col>
                    <xdr:colOff>1066800</xdr:colOff>
                    <xdr:row>6</xdr:row>
                    <xdr:rowOff>133350</xdr:rowOff>
                  </to>
                </anchor>
              </controlPr>
            </control>
          </mc:Choice>
        </mc:AlternateContent>
        <mc:AlternateContent xmlns:mc="http://schemas.openxmlformats.org/markup-compatibility/2006">
          <mc:Choice Requires="x14">
            <control shapeId="113671" r:id="rId8" name="Spinner 7">
              <controlPr defaultSize="0" autoPict="0">
                <anchor moveWithCells="1" sizeWithCells="1">
                  <from>
                    <xdr:col>11</xdr:col>
                    <xdr:colOff>962025</xdr:colOff>
                    <xdr:row>5</xdr:row>
                    <xdr:rowOff>28575</xdr:rowOff>
                  </from>
                  <to>
                    <xdr:col>11</xdr:col>
                    <xdr:colOff>1200150</xdr:colOff>
                    <xdr:row>6</xdr:row>
                    <xdr:rowOff>219075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3" id="{00000000-000E-0000-0200-000004000000}">
            <xm:f>R15&lt;&gt;报价辅助计算!$E$1</xm:f>
            <x14:dxf>
              <fill>
                <patternFill patternType="solid">
                  <bgColor rgb="FFFF0000"/>
                </patternFill>
              </fill>
            </x14:dxf>
          </x14:cfRule>
          <xm:sqref>F15:F32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1000000}">
          <x14:formula1>
            <xm:f>客户清单!$B:$B</xm:f>
          </x14:formula1>
          <xm:sqref>D9</xm:sqref>
        </x14:dataValidation>
        <x14:dataValidation type="list" allowBlank="1" showInputMessage="1" showErrorMessage="1" xr:uid="{00000000-0002-0000-0200-000002000000}">
          <x14:formula1>
            <xm:f>下拉菜单!$BP:$BP</xm:f>
          </x14:formula1>
          <xm:sqref>N11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tabColor rgb="FF92D050"/>
    <pageSetUpPr fitToPage="1"/>
  </sheetPr>
  <dimension ref="A1:P94"/>
  <sheetViews>
    <sheetView showGridLines="0" zoomScale="70" zoomScaleNormal="70" zoomScaleSheetLayoutView="70" workbookViewId="0">
      <selection activeCell="D7" sqref="D7"/>
    </sheetView>
  </sheetViews>
  <sheetFormatPr defaultColWidth="8.625" defaultRowHeight="15" outlineLevelRow="1"/>
  <cols>
    <col min="1" max="1" width="7" style="115" customWidth="1"/>
    <col min="2" max="2" width="8.125" style="115" customWidth="1"/>
    <col min="3" max="3" width="27.125" style="123" customWidth="1"/>
    <col min="4" max="4" width="20.75" style="115" customWidth="1"/>
    <col min="5" max="5" width="22.875" style="123" customWidth="1"/>
    <col min="6" max="6" width="71.5" style="123" customWidth="1"/>
    <col min="7" max="7" width="9" style="115" customWidth="1"/>
    <col min="8" max="8" width="10.625" style="115" customWidth="1"/>
    <col min="9" max="9" width="15.625" style="115" customWidth="1"/>
    <col min="10" max="10" width="27.75" style="115" customWidth="1"/>
    <col min="11" max="11" width="12.75" style="115" customWidth="1"/>
    <col min="12" max="12" width="19.75" style="115" customWidth="1"/>
    <col min="13" max="16" width="14.125" style="115" customWidth="1"/>
    <col min="17" max="16384" width="8.625" style="115"/>
  </cols>
  <sheetData>
    <row r="1" spans="2:16">
      <c r="H1" s="751" t="s">
        <v>125</v>
      </c>
      <c r="J1" s="752" t="str">
        <f ca="1">"Boracs-"&amp;IFERROR(VLOOKUP(C9,客户清单!B:D,2,0),"-")&amp;"-"&amp;C11&amp;"-price list "&amp;RIGHT(YEAR(I9),2)&amp;TEXT(MONTH(I9),"00")&amp;TEXT(DAY(I9),"00")</f>
        <v>Boracs-0--price list 260309</v>
      </c>
      <c r="K1" s="114"/>
      <c r="L1" s="114"/>
      <c r="M1" s="114"/>
      <c r="N1" s="114"/>
    </row>
    <row r="2" spans="2:16">
      <c r="I2" s="753" t="s">
        <v>126</v>
      </c>
      <c r="J2" s="754"/>
      <c r="L2" s="920"/>
      <c r="M2" s="135" t="s">
        <v>6</v>
      </c>
      <c r="N2" s="141" t="s">
        <v>7</v>
      </c>
      <c r="O2" s="141" t="s">
        <v>8</v>
      </c>
    </row>
    <row r="3" spans="2:16">
      <c r="I3" s="753" t="s">
        <v>3</v>
      </c>
      <c r="J3" s="754"/>
      <c r="L3" s="920"/>
      <c r="M3" s="135"/>
      <c r="N3" s="141"/>
      <c r="O3" s="141"/>
    </row>
    <row r="4" spans="2:16" ht="15" customHeight="1">
      <c r="I4" s="113" t="s">
        <v>9</v>
      </c>
      <c r="J4" s="754"/>
      <c r="K4" s="754"/>
      <c r="L4" s="920"/>
      <c r="M4" s="135" t="s">
        <v>10</v>
      </c>
      <c r="N4" s="755">
        <f>SUM(报价辅助计算!AR:AR)</f>
        <v>0</v>
      </c>
      <c r="O4" s="755">
        <f>SUM(报价辅助计算!AS:AS)</f>
        <v>0</v>
      </c>
    </row>
    <row r="5" spans="2:16">
      <c r="H5" s="756"/>
      <c r="I5" s="113" t="s">
        <v>11</v>
      </c>
      <c r="J5" s="754"/>
      <c r="K5" s="754"/>
      <c r="L5" s="920"/>
      <c r="M5" s="135" t="s">
        <v>12</v>
      </c>
      <c r="N5" s="755" t="s">
        <v>13</v>
      </c>
      <c r="O5" s="755">
        <f>SUM(报价辅助计算!AT:AT)</f>
        <v>0</v>
      </c>
    </row>
    <row r="6" spans="2:16">
      <c r="H6" s="756"/>
      <c r="J6" s="754"/>
      <c r="K6" s="754"/>
      <c r="L6" s="131"/>
      <c r="M6" s="135" t="s">
        <v>16</v>
      </c>
      <c r="N6" s="755">
        <f>SUM(报价辅助计算!AU:AU)</f>
        <v>0</v>
      </c>
      <c r="O6" s="755">
        <f>SUM(报价辅助计算!AV:AV)</f>
        <v>0</v>
      </c>
    </row>
    <row r="7" spans="2:16">
      <c r="E7" s="757"/>
      <c r="F7" s="757"/>
      <c r="H7" s="756"/>
      <c r="J7" s="754"/>
      <c r="K7" s="754"/>
      <c r="L7" s="920"/>
      <c r="M7" s="141" t="s">
        <v>20</v>
      </c>
      <c r="N7" s="755" t="s">
        <v>13</v>
      </c>
      <c r="O7" s="755">
        <f>SUM(报价辅助计算!AW:AW)</f>
        <v>0</v>
      </c>
    </row>
    <row r="8" spans="2:16">
      <c r="E8" s="757"/>
      <c r="F8" s="757"/>
      <c r="H8" s="756"/>
      <c r="I8" s="113"/>
      <c r="J8" s="754"/>
      <c r="K8" s="754"/>
      <c r="L8" s="920"/>
      <c r="M8" s="135" t="s">
        <v>21</v>
      </c>
      <c r="N8" s="755">
        <f>SUM(N4:N7)</f>
        <v>0</v>
      </c>
      <c r="O8" s="755">
        <f>SUM(O4:O7)</f>
        <v>0</v>
      </c>
    </row>
    <row r="9" spans="2:16">
      <c r="B9" s="758" t="s">
        <v>149</v>
      </c>
      <c r="E9" s="759"/>
      <c r="F9" s="759"/>
      <c r="H9" s="760" t="s">
        <v>150</v>
      </c>
      <c r="I9" s="761">
        <f ca="1">TODAY()</f>
        <v>46090</v>
      </c>
      <c r="J9" s="754"/>
      <c r="K9" s="754"/>
      <c r="L9" s="920"/>
    </row>
    <row r="10" spans="2:16">
      <c r="B10" s="762"/>
      <c r="C10" s="751"/>
      <c r="D10" s="751"/>
      <c r="J10" s="754"/>
      <c r="K10" s="754"/>
      <c r="L10" s="754"/>
    </row>
    <row r="11" spans="2:16">
      <c r="B11" s="171" t="s">
        <v>151</v>
      </c>
      <c r="C11" s="751"/>
      <c r="J11" s="754"/>
      <c r="K11" s="754"/>
      <c r="L11" s="754"/>
      <c r="N11" s="763"/>
    </row>
    <row r="12" spans="2:16" ht="33.75">
      <c r="B12" s="926" t="s">
        <v>152</v>
      </c>
      <c r="C12" s="919"/>
      <c r="D12" s="919"/>
      <c r="E12" s="919"/>
      <c r="F12" s="919"/>
      <c r="G12" s="919"/>
      <c r="H12" s="919"/>
      <c r="I12" s="919"/>
      <c r="J12" s="754"/>
      <c r="K12" s="754"/>
      <c r="L12" s="754"/>
      <c r="M12" s="114"/>
      <c r="N12" s="114"/>
      <c r="O12" s="114"/>
      <c r="P12" s="114"/>
    </row>
    <row r="13" spans="2:16" ht="39" customHeight="1">
      <c r="B13" s="764" t="s">
        <v>153</v>
      </c>
      <c r="C13" s="136" t="s">
        <v>154</v>
      </c>
      <c r="D13" s="136" t="s">
        <v>155</v>
      </c>
      <c r="E13" s="136" t="s">
        <v>156</v>
      </c>
      <c r="F13" s="136" t="s">
        <v>157</v>
      </c>
      <c r="G13" s="136" t="s">
        <v>102</v>
      </c>
      <c r="H13" s="135" t="s">
        <v>158</v>
      </c>
      <c r="I13" s="135" t="s">
        <v>159</v>
      </c>
      <c r="O13" s="765"/>
    </row>
    <row r="14" spans="2:16" ht="15.75" outlineLevel="1">
      <c r="B14" s="142">
        <v>0</v>
      </c>
      <c r="C14" s="766">
        <f>C11</f>
        <v>0</v>
      </c>
      <c r="D14" s="141"/>
      <c r="E14" s="145"/>
      <c r="F14" s="767"/>
      <c r="G14" s="146"/>
      <c r="H14" s="141"/>
      <c r="I14" s="141"/>
    </row>
    <row r="15" spans="2:16" ht="17.25">
      <c r="B15" s="124" t="str">
        <f>IFERROR(IF(B14=SUM(报价辅助计算!A:A),"-",设计清单!B14+1),"-")</f>
        <v>-</v>
      </c>
      <c r="C15" s="127" t="str">
        <f>IFERROR(VLOOKUP($B15,报价辅助计算!$B:$I,2,0),"-")</f>
        <v>-</v>
      </c>
      <c r="D15" s="127" t="str">
        <f>IFERROR(VLOOKUP($B15,报价辅助计算!$B:$I,8,0),"-")</f>
        <v>-</v>
      </c>
      <c r="E15" s="128" t="str">
        <f>IFERROR(VLOOKUP($B15,报价辅助计算!$B:$I,3,0),"-")</f>
        <v>-</v>
      </c>
      <c r="F15" s="129" t="str">
        <f>IFERROR(VLOOKUP($B15,报价辅助计算!$B:$I,4,0),"-")</f>
        <v>-</v>
      </c>
      <c r="G15" s="127" t="str">
        <f>IFERROR(VLOOKUP($B15,报价辅助计算!$B:$I,5,0),"-")</f>
        <v>-</v>
      </c>
      <c r="H15" s="768" t="str">
        <f>IFERROR(VLOOKUP($B15,报价辅助计算!$B:$I,6,0),"-")</f>
        <v>-</v>
      </c>
      <c r="I15" s="769" t="str">
        <f t="shared" ref="I15:I43" si="0">IFERROR(H15*G15,"-")</f>
        <v>-</v>
      </c>
      <c r="J15" s="770"/>
      <c r="L15" s="771"/>
      <c r="N15" s="763"/>
    </row>
    <row r="16" spans="2:16" ht="17.25">
      <c r="B16" s="124" t="str">
        <f>IFERROR(IF(B15=SUM(报价辅助计算!A:A),"-",设计清单!B15+1),"-")</f>
        <v>-</v>
      </c>
      <c r="C16" s="127" t="str">
        <f>IFERROR(VLOOKUP($B16,报价辅助计算!$B:$I,2,0),"-")</f>
        <v>-</v>
      </c>
      <c r="D16" s="127" t="str">
        <f>IFERROR(VLOOKUP($B16,报价辅助计算!$B:$I,8,0),"-")</f>
        <v>-</v>
      </c>
      <c r="E16" s="128" t="str">
        <f>IFERROR(VLOOKUP($B16,报价辅助计算!$B:$I,3,0),"-")</f>
        <v>-</v>
      </c>
      <c r="F16" s="129" t="str">
        <f>IFERROR(VLOOKUP($B16,报价辅助计算!$B:$I,4,0),"-")</f>
        <v>-</v>
      </c>
      <c r="G16" s="127" t="str">
        <f>IFERROR(VLOOKUP($B16,报价辅助计算!$B:$I,5,0),"-")</f>
        <v>-</v>
      </c>
      <c r="H16" s="768" t="str">
        <f>IFERROR(VLOOKUP($B16,报价辅助计算!$B:$I,6,0),"-")</f>
        <v>-</v>
      </c>
      <c r="I16" s="769" t="str">
        <f t="shared" si="0"/>
        <v>-</v>
      </c>
      <c r="J16" s="770"/>
      <c r="L16" s="771"/>
      <c r="N16" s="763"/>
    </row>
    <row r="17" spans="2:14" ht="17.25">
      <c r="B17" s="124" t="str">
        <f>IFERROR(IF(B16=SUM(报价辅助计算!A:A),"-",设计清单!B16+1),"-")</f>
        <v>-</v>
      </c>
      <c r="C17" s="127" t="str">
        <f>IFERROR(VLOOKUP($B17,报价辅助计算!$B:$I,2,0),"-")</f>
        <v>-</v>
      </c>
      <c r="D17" s="127" t="str">
        <f>IFERROR(VLOOKUP($B17,报价辅助计算!$B:$I,8,0),"-")</f>
        <v>-</v>
      </c>
      <c r="E17" s="128" t="str">
        <f>IFERROR(VLOOKUP($B17,报价辅助计算!$B:$I,3,0),"-")</f>
        <v>-</v>
      </c>
      <c r="F17" s="129" t="str">
        <f>IFERROR(VLOOKUP($B17,报价辅助计算!$B:$I,4,0),"-")</f>
        <v>-</v>
      </c>
      <c r="G17" s="127" t="str">
        <f>IFERROR(VLOOKUP($B17,报价辅助计算!$B:$I,5,0),"-")</f>
        <v>-</v>
      </c>
      <c r="H17" s="768" t="str">
        <f>IFERROR(VLOOKUP($B17,报价辅助计算!$B:$I,6,0),"-")</f>
        <v>-</v>
      </c>
      <c r="I17" s="141" t="str">
        <f t="shared" si="0"/>
        <v>-</v>
      </c>
      <c r="J17" s="770"/>
      <c r="L17" s="771"/>
      <c r="N17" s="763"/>
    </row>
    <row r="18" spans="2:14" ht="17.25">
      <c r="B18" s="124" t="str">
        <f>IFERROR(IF(B17=SUM(报价辅助计算!A:A),"-",设计清单!B17+1),"-")</f>
        <v>-</v>
      </c>
      <c r="C18" s="127" t="str">
        <f>IFERROR(VLOOKUP($B18,报价辅助计算!$B:$I,2,0),"-")</f>
        <v>-</v>
      </c>
      <c r="D18" s="127" t="str">
        <f>IFERROR(VLOOKUP($B18,报价辅助计算!$B:$I,8,0),"-")</f>
        <v>-</v>
      </c>
      <c r="E18" s="128" t="str">
        <f>IFERROR(VLOOKUP($B18,报价辅助计算!$B:$I,3,0),"-")</f>
        <v>-</v>
      </c>
      <c r="F18" s="129" t="str">
        <f>IFERROR(VLOOKUP($B18,报价辅助计算!$B:$I,4,0),"-")</f>
        <v>-</v>
      </c>
      <c r="G18" s="127" t="str">
        <f>IFERROR(VLOOKUP($B18,报价辅助计算!$B:$I,5,0),"-")</f>
        <v>-</v>
      </c>
      <c r="H18" s="768" t="str">
        <f>IFERROR(VLOOKUP($B18,报价辅助计算!$B:$I,6,0),"-")</f>
        <v>-</v>
      </c>
      <c r="I18" s="141" t="str">
        <f t="shared" si="0"/>
        <v>-</v>
      </c>
      <c r="J18" s="770"/>
      <c r="L18" s="771"/>
      <c r="N18" s="763"/>
    </row>
    <row r="19" spans="2:14" ht="17.25">
      <c r="B19" s="124" t="str">
        <f>IFERROR(IF(B18=SUM(报价辅助计算!A:A),"-",设计清单!B18+1),"-")</f>
        <v>-</v>
      </c>
      <c r="C19" s="127" t="str">
        <f>IFERROR(VLOOKUP($B19,报价辅助计算!$B:$I,2,0),"-")</f>
        <v>-</v>
      </c>
      <c r="D19" s="127" t="str">
        <f>IFERROR(VLOOKUP($B19,报价辅助计算!$B:$I,8,0),"-")</f>
        <v>-</v>
      </c>
      <c r="E19" s="128" t="str">
        <f>IFERROR(VLOOKUP($B19,报价辅助计算!$B:$I,3,0),"-")</f>
        <v>-</v>
      </c>
      <c r="F19" s="129" t="str">
        <f>IFERROR(VLOOKUP($B19,报价辅助计算!$B:$I,4,0),"-")</f>
        <v>-</v>
      </c>
      <c r="G19" s="127" t="str">
        <f>IFERROR(VLOOKUP($B19,报价辅助计算!$B:$I,5,0),"-")</f>
        <v>-</v>
      </c>
      <c r="H19" s="768" t="str">
        <f>IFERROR(VLOOKUP($B19,报价辅助计算!$B:$I,6,0),"-")</f>
        <v>-</v>
      </c>
      <c r="I19" s="141" t="str">
        <f t="shared" si="0"/>
        <v>-</v>
      </c>
      <c r="J19" s="770"/>
      <c r="L19" s="771"/>
      <c r="N19" s="763"/>
    </row>
    <row r="20" spans="2:14" ht="17.25">
      <c r="B20" s="124" t="str">
        <f>IFERROR(IF(B19=SUM(报价辅助计算!A:A),"-",设计清单!B19+1),"-")</f>
        <v>-</v>
      </c>
      <c r="C20" s="127" t="str">
        <f>IFERROR(VLOOKUP($B20,报价辅助计算!$B:$I,2,0),"-")</f>
        <v>-</v>
      </c>
      <c r="D20" s="127" t="str">
        <f>IFERROR(VLOOKUP($B20,报价辅助计算!$B:$I,8,0),"-")</f>
        <v>-</v>
      </c>
      <c r="E20" s="128" t="str">
        <f>IFERROR(VLOOKUP($B20,报价辅助计算!$B:$I,3,0),"-")</f>
        <v>-</v>
      </c>
      <c r="F20" s="129" t="str">
        <f>IFERROR(VLOOKUP($B20,报价辅助计算!$B:$I,4,0),"-")</f>
        <v>-</v>
      </c>
      <c r="G20" s="127" t="str">
        <f>IFERROR(VLOOKUP($B20,报价辅助计算!$B:$I,5,0),"-")</f>
        <v>-</v>
      </c>
      <c r="H20" s="768" t="str">
        <f>IFERROR(VLOOKUP($B20,报价辅助计算!$B:$I,6,0),"-")</f>
        <v>-</v>
      </c>
      <c r="I20" s="141" t="str">
        <f t="shared" si="0"/>
        <v>-</v>
      </c>
      <c r="J20" s="770"/>
      <c r="L20" s="771"/>
      <c r="N20" s="763"/>
    </row>
    <row r="21" spans="2:14" ht="17.25">
      <c r="B21" s="124" t="str">
        <f>IFERROR(IF(B20=SUM(报价辅助计算!A:A),"-",设计清单!B20+1),"-")</f>
        <v>-</v>
      </c>
      <c r="C21" s="127" t="str">
        <f>IFERROR(VLOOKUP($B21,报价辅助计算!$B:$I,2,0),"-")</f>
        <v>-</v>
      </c>
      <c r="D21" s="127" t="str">
        <f>IFERROR(VLOOKUP($B21,报价辅助计算!$B:$I,8,0),"-")</f>
        <v>-</v>
      </c>
      <c r="E21" s="128" t="str">
        <f>IFERROR(VLOOKUP($B21,报价辅助计算!$B:$I,3,0),"-")</f>
        <v>-</v>
      </c>
      <c r="F21" s="129" t="str">
        <f>IFERROR(VLOOKUP($B21,报价辅助计算!$B:$I,4,0),"-")</f>
        <v>-</v>
      </c>
      <c r="G21" s="127" t="str">
        <f>IFERROR(VLOOKUP($B21,报价辅助计算!$B:$I,5,0),"-")</f>
        <v>-</v>
      </c>
      <c r="H21" s="768" t="str">
        <f>IFERROR(VLOOKUP($B21,报价辅助计算!$B:$I,6,0),"-")</f>
        <v>-</v>
      </c>
      <c r="I21" s="141" t="str">
        <f t="shared" si="0"/>
        <v>-</v>
      </c>
      <c r="J21" s="770"/>
      <c r="L21" s="771"/>
      <c r="N21" s="763"/>
    </row>
    <row r="22" spans="2:14" ht="17.25">
      <c r="B22" s="124" t="str">
        <f>IFERROR(IF(B21=SUM(报价辅助计算!A:A),"-",设计清单!B21+1),"-")</f>
        <v>-</v>
      </c>
      <c r="C22" s="127" t="str">
        <f>IFERROR(VLOOKUP($B22,报价辅助计算!$B:$I,2,0),"-")</f>
        <v>-</v>
      </c>
      <c r="D22" s="127" t="str">
        <f>IFERROR(VLOOKUP($B22,报价辅助计算!$B:$I,8,0),"-")</f>
        <v>-</v>
      </c>
      <c r="E22" s="128" t="str">
        <f>IFERROR(VLOOKUP($B22,报价辅助计算!$B:$I,3,0),"-")</f>
        <v>-</v>
      </c>
      <c r="F22" s="129" t="str">
        <f>IFERROR(VLOOKUP($B22,报价辅助计算!$B:$I,4,0),"-")</f>
        <v>-</v>
      </c>
      <c r="G22" s="127" t="str">
        <f>IFERROR(VLOOKUP($B22,报价辅助计算!$B:$I,5,0),"-")</f>
        <v>-</v>
      </c>
      <c r="H22" s="768" t="str">
        <f>IFERROR(VLOOKUP($B22,报价辅助计算!$B:$I,6,0),"-")</f>
        <v>-</v>
      </c>
      <c r="I22" s="141" t="str">
        <f t="shared" si="0"/>
        <v>-</v>
      </c>
      <c r="J22" s="770"/>
      <c r="L22" s="771"/>
      <c r="N22" s="763"/>
    </row>
    <row r="23" spans="2:14" ht="17.25">
      <c r="B23" s="124" t="str">
        <f>IFERROR(IF(B22=SUM(报价辅助计算!A:A),"-",设计清单!B22+1),"-")</f>
        <v>-</v>
      </c>
      <c r="C23" s="127" t="str">
        <f>IFERROR(VLOOKUP($B23,报价辅助计算!$B:$I,2,0),"-")</f>
        <v>-</v>
      </c>
      <c r="D23" s="127" t="str">
        <f>IFERROR(VLOOKUP($B23,报价辅助计算!$B:$I,8,0),"-")</f>
        <v>-</v>
      </c>
      <c r="E23" s="128" t="str">
        <f>IFERROR(VLOOKUP($B23,报价辅助计算!$B:$I,3,0),"-")</f>
        <v>-</v>
      </c>
      <c r="F23" s="129" t="str">
        <f>IFERROR(VLOOKUP($B23,报价辅助计算!$B:$I,4,0),"-")</f>
        <v>-</v>
      </c>
      <c r="G23" s="127" t="str">
        <f>IFERROR(VLOOKUP($B23,报价辅助计算!$B:$I,5,0),"-")</f>
        <v>-</v>
      </c>
      <c r="H23" s="768" t="str">
        <f>IFERROR(VLOOKUP($B23,报价辅助计算!$B:$I,6,0),"-")</f>
        <v>-</v>
      </c>
      <c r="I23" s="141" t="str">
        <f t="shared" si="0"/>
        <v>-</v>
      </c>
      <c r="J23" s="770"/>
      <c r="L23" s="771"/>
      <c r="N23" s="763"/>
    </row>
    <row r="24" spans="2:14" ht="17.25">
      <c r="B24" s="124" t="str">
        <f>IFERROR(IF(B23=SUM(报价辅助计算!A:A),"-",设计清单!B23+1),"-")</f>
        <v>-</v>
      </c>
      <c r="C24" s="127" t="str">
        <f>IFERROR(VLOOKUP($B24,报价辅助计算!$B:$I,2,0),"-")</f>
        <v>-</v>
      </c>
      <c r="D24" s="127" t="str">
        <f>IFERROR(VLOOKUP($B24,报价辅助计算!$B:$I,8,0),"-")</f>
        <v>-</v>
      </c>
      <c r="E24" s="128" t="str">
        <f>IFERROR(VLOOKUP($B24,报价辅助计算!$B:$I,3,0),"-")</f>
        <v>-</v>
      </c>
      <c r="F24" s="129" t="str">
        <f>IFERROR(VLOOKUP($B24,报价辅助计算!$B:$I,4,0),"-")</f>
        <v>-</v>
      </c>
      <c r="G24" s="127" t="str">
        <f>IFERROR(VLOOKUP($B24,报价辅助计算!$B:$I,5,0),"-")</f>
        <v>-</v>
      </c>
      <c r="H24" s="768" t="str">
        <f>IFERROR(VLOOKUP($B24,报价辅助计算!$B:$I,6,0),"-")</f>
        <v>-</v>
      </c>
      <c r="I24" s="141" t="str">
        <f t="shared" si="0"/>
        <v>-</v>
      </c>
      <c r="J24" s="770"/>
      <c r="L24" s="771"/>
      <c r="N24" s="763"/>
    </row>
    <row r="25" spans="2:14" ht="17.25">
      <c r="B25" s="124" t="str">
        <f>IFERROR(IF(B24=SUM(报价辅助计算!A:A),"-",设计清单!B24+1),"-")</f>
        <v>-</v>
      </c>
      <c r="C25" s="127" t="str">
        <f>IFERROR(VLOOKUP($B25,报价辅助计算!$B:$I,2,0),"-")</f>
        <v>-</v>
      </c>
      <c r="D25" s="127" t="str">
        <f>IFERROR(VLOOKUP($B25,报价辅助计算!$B:$I,8,0),"-")</f>
        <v>-</v>
      </c>
      <c r="E25" s="128" t="str">
        <f>IFERROR(VLOOKUP($B25,报价辅助计算!$B:$I,3,0),"-")</f>
        <v>-</v>
      </c>
      <c r="F25" s="129" t="str">
        <f>IFERROR(VLOOKUP($B25,报价辅助计算!$B:$I,4,0),"-")</f>
        <v>-</v>
      </c>
      <c r="G25" s="127" t="str">
        <f>IFERROR(VLOOKUP($B25,报价辅助计算!$B:$I,5,0),"-")</f>
        <v>-</v>
      </c>
      <c r="H25" s="768" t="str">
        <f>IFERROR(VLOOKUP($B25,报价辅助计算!$B:$I,6,0),"-")</f>
        <v>-</v>
      </c>
      <c r="I25" s="141" t="str">
        <f t="shared" si="0"/>
        <v>-</v>
      </c>
      <c r="J25" s="770"/>
      <c r="L25" s="771"/>
      <c r="N25" s="763"/>
    </row>
    <row r="26" spans="2:14" ht="17.25">
      <c r="B26" s="124" t="str">
        <f>IFERROR(IF(B25=SUM(报价辅助计算!A:A),"-",设计清单!B25+1),"-")</f>
        <v>-</v>
      </c>
      <c r="C26" s="127" t="str">
        <f>IFERROR(VLOOKUP($B26,报价辅助计算!$B:$I,2,0),"-")</f>
        <v>-</v>
      </c>
      <c r="D26" s="127" t="str">
        <f>IFERROR(VLOOKUP($B26,报价辅助计算!$B:$I,8,0),"-")</f>
        <v>-</v>
      </c>
      <c r="E26" s="128" t="str">
        <f>IFERROR(VLOOKUP($B26,报价辅助计算!$B:$I,3,0),"-")</f>
        <v>-</v>
      </c>
      <c r="F26" s="129" t="str">
        <f>IFERROR(VLOOKUP($B26,报价辅助计算!$B:$I,4,0),"-")</f>
        <v>-</v>
      </c>
      <c r="G26" s="127" t="str">
        <f>IFERROR(VLOOKUP($B26,报价辅助计算!$B:$I,5,0),"-")</f>
        <v>-</v>
      </c>
      <c r="H26" s="768" t="str">
        <f>IFERROR(VLOOKUP($B26,报价辅助计算!$B:$I,6,0),"-")</f>
        <v>-</v>
      </c>
      <c r="I26" s="141" t="str">
        <f t="shared" si="0"/>
        <v>-</v>
      </c>
      <c r="J26" s="770"/>
      <c r="L26" s="771"/>
      <c r="N26" s="763"/>
    </row>
    <row r="27" spans="2:14" ht="17.25">
      <c r="B27" s="124" t="str">
        <f>IFERROR(IF(B26=SUM(报价辅助计算!A:A),"-",设计清单!B26+1),"-")</f>
        <v>-</v>
      </c>
      <c r="C27" s="127" t="str">
        <f>IFERROR(VLOOKUP($B27,报价辅助计算!$B:$I,2,0),"-")</f>
        <v>-</v>
      </c>
      <c r="D27" s="127" t="str">
        <f>IFERROR(VLOOKUP($B27,报价辅助计算!$B:$I,8,0),"-")</f>
        <v>-</v>
      </c>
      <c r="E27" s="128" t="str">
        <f>IFERROR(VLOOKUP($B27,报价辅助计算!$B:$I,3,0),"-")</f>
        <v>-</v>
      </c>
      <c r="F27" s="129" t="str">
        <f>IFERROR(VLOOKUP($B27,报价辅助计算!$B:$I,4,0),"-")</f>
        <v>-</v>
      </c>
      <c r="G27" s="127" t="str">
        <f>IFERROR(VLOOKUP($B27,报价辅助计算!$B:$I,5,0),"-")</f>
        <v>-</v>
      </c>
      <c r="H27" s="768" t="str">
        <f>IFERROR(VLOOKUP($B27,报价辅助计算!$B:$I,6,0),"-")</f>
        <v>-</v>
      </c>
      <c r="I27" s="141" t="str">
        <f t="shared" si="0"/>
        <v>-</v>
      </c>
      <c r="J27" s="770"/>
      <c r="L27" s="771"/>
      <c r="N27" s="763"/>
    </row>
    <row r="28" spans="2:14" ht="17.25">
      <c r="B28" s="124" t="str">
        <f>IFERROR(IF(B27=SUM(报价辅助计算!A:A),"-",设计清单!B27+1),"-")</f>
        <v>-</v>
      </c>
      <c r="C28" s="127" t="str">
        <f>IFERROR(VLOOKUP($B28,报价辅助计算!$B:$I,2,0),"-")</f>
        <v>-</v>
      </c>
      <c r="D28" s="127" t="str">
        <f>IFERROR(VLOOKUP($B28,报价辅助计算!$B:$I,8,0),"-")</f>
        <v>-</v>
      </c>
      <c r="E28" s="128" t="str">
        <f>IFERROR(VLOOKUP($B28,报价辅助计算!$B:$I,3,0),"-")</f>
        <v>-</v>
      </c>
      <c r="F28" s="129" t="str">
        <f>IFERROR(VLOOKUP($B28,报价辅助计算!$B:$I,4,0),"-")</f>
        <v>-</v>
      </c>
      <c r="G28" s="127" t="str">
        <f>IFERROR(VLOOKUP($B28,报价辅助计算!$B:$I,5,0),"-")</f>
        <v>-</v>
      </c>
      <c r="H28" s="768" t="str">
        <f>IFERROR(VLOOKUP($B28,报价辅助计算!$B:$I,6,0),"-")</f>
        <v>-</v>
      </c>
      <c r="I28" s="141" t="str">
        <f t="shared" si="0"/>
        <v>-</v>
      </c>
      <c r="J28" s="770"/>
      <c r="L28" s="771"/>
      <c r="N28" s="763"/>
    </row>
    <row r="29" spans="2:14" ht="17.25">
      <c r="B29" s="124" t="str">
        <f>IFERROR(IF(B28=SUM(报价辅助计算!A:A),"-",设计清单!B28+1),"-")</f>
        <v>-</v>
      </c>
      <c r="C29" s="127" t="str">
        <f>IFERROR(VLOOKUP($B29,报价辅助计算!$B:$I,2,0),"-")</f>
        <v>-</v>
      </c>
      <c r="D29" s="127" t="str">
        <f>IFERROR(VLOOKUP($B29,报价辅助计算!$B:$I,8,0),"-")</f>
        <v>-</v>
      </c>
      <c r="E29" s="128" t="str">
        <f>IFERROR(VLOOKUP($B29,报价辅助计算!$B:$I,3,0),"-")</f>
        <v>-</v>
      </c>
      <c r="F29" s="129" t="str">
        <f>IFERROR(VLOOKUP($B29,报价辅助计算!$B:$I,4,0),"-")</f>
        <v>-</v>
      </c>
      <c r="G29" s="127" t="str">
        <f>IFERROR(VLOOKUP($B29,报价辅助计算!$B:$I,5,0),"-")</f>
        <v>-</v>
      </c>
      <c r="H29" s="768" t="str">
        <f>IFERROR(VLOOKUP($B29,报价辅助计算!$B:$I,6,0),"-")</f>
        <v>-</v>
      </c>
      <c r="I29" s="141" t="str">
        <f t="shared" si="0"/>
        <v>-</v>
      </c>
      <c r="J29" s="770"/>
      <c r="L29" s="771"/>
      <c r="N29" s="763"/>
    </row>
    <row r="30" spans="2:14" ht="17.25">
      <c r="B30" s="124" t="str">
        <f>IFERROR(IF(B29=SUM(报价辅助计算!A:A),"-",设计清单!B29+1),"-")</f>
        <v>-</v>
      </c>
      <c r="C30" s="127" t="str">
        <f>IFERROR(VLOOKUP($B30,报价辅助计算!$B:$I,2,0),"-")</f>
        <v>-</v>
      </c>
      <c r="D30" s="127" t="str">
        <f>IFERROR(VLOOKUP($B30,报价辅助计算!$B:$I,8,0),"-")</f>
        <v>-</v>
      </c>
      <c r="E30" s="128" t="str">
        <f>IFERROR(VLOOKUP($B30,报价辅助计算!$B:$I,3,0),"-")</f>
        <v>-</v>
      </c>
      <c r="F30" s="129" t="str">
        <f>IFERROR(VLOOKUP($B30,报价辅助计算!$B:$I,4,0),"-")</f>
        <v>-</v>
      </c>
      <c r="G30" s="127" t="str">
        <f>IFERROR(VLOOKUP($B30,报价辅助计算!$B:$I,5,0),"-")</f>
        <v>-</v>
      </c>
      <c r="H30" s="768" t="str">
        <f>IFERROR(VLOOKUP($B30,报价辅助计算!$B:$I,6,0),"-")</f>
        <v>-</v>
      </c>
      <c r="I30" s="141" t="str">
        <f t="shared" si="0"/>
        <v>-</v>
      </c>
      <c r="J30" s="770"/>
      <c r="L30" s="771"/>
      <c r="N30" s="763"/>
    </row>
    <row r="31" spans="2:14" ht="17.25">
      <c r="B31" s="124" t="str">
        <f>IFERROR(IF(B30=SUM(报价辅助计算!A:A),"-",设计清单!B30+1),"-")</f>
        <v>-</v>
      </c>
      <c r="C31" s="127" t="str">
        <f>IFERROR(VLOOKUP($B31,报价辅助计算!$B:$I,2,0),"-")</f>
        <v>-</v>
      </c>
      <c r="D31" s="127" t="str">
        <f>IFERROR(VLOOKUP($B31,报价辅助计算!$B:$I,8,0),"-")</f>
        <v>-</v>
      </c>
      <c r="E31" s="128" t="str">
        <f>IFERROR(VLOOKUP($B31,报价辅助计算!$B:$I,3,0),"-")</f>
        <v>-</v>
      </c>
      <c r="F31" s="129" t="str">
        <f>IFERROR(VLOOKUP($B31,报价辅助计算!$B:$I,4,0),"-")</f>
        <v>-</v>
      </c>
      <c r="G31" s="127" t="str">
        <f>IFERROR(VLOOKUP($B31,报价辅助计算!$B:$I,5,0),"-")</f>
        <v>-</v>
      </c>
      <c r="H31" s="768" t="str">
        <f>IFERROR(VLOOKUP($B31,报价辅助计算!$B:$I,6,0),"-")</f>
        <v>-</v>
      </c>
      <c r="I31" s="141" t="str">
        <f t="shared" si="0"/>
        <v>-</v>
      </c>
      <c r="J31" s="770"/>
      <c r="L31" s="771"/>
      <c r="N31" s="763"/>
    </row>
    <row r="32" spans="2:14" ht="17.25">
      <c r="B32" s="124" t="str">
        <f>IFERROR(IF(B31=SUM(报价辅助计算!A:A),"-",设计清单!B31+1),"-")</f>
        <v>-</v>
      </c>
      <c r="C32" s="127" t="str">
        <f>IFERROR(VLOOKUP($B32,报价辅助计算!$B:$I,2,0),"-")</f>
        <v>-</v>
      </c>
      <c r="D32" s="127" t="str">
        <f>IFERROR(VLOOKUP($B32,报价辅助计算!$B:$I,8,0),"-")</f>
        <v>-</v>
      </c>
      <c r="E32" s="128" t="str">
        <f>IFERROR(VLOOKUP($B32,报价辅助计算!$B:$I,3,0),"-")</f>
        <v>-</v>
      </c>
      <c r="F32" s="129" t="str">
        <f>IFERROR(VLOOKUP($B32,报价辅助计算!$B:$I,4,0),"-")</f>
        <v>-</v>
      </c>
      <c r="G32" s="127" t="str">
        <f>IFERROR(VLOOKUP($B32,报价辅助计算!$B:$I,5,0),"-")</f>
        <v>-</v>
      </c>
      <c r="H32" s="768" t="str">
        <f>IFERROR(VLOOKUP($B32,报价辅助计算!$B:$I,6,0),"-")</f>
        <v>-</v>
      </c>
      <c r="I32" s="141" t="str">
        <f t="shared" si="0"/>
        <v>-</v>
      </c>
      <c r="J32" s="770"/>
      <c r="L32" s="771"/>
      <c r="N32" s="763"/>
    </row>
    <row r="33" spans="1:16" ht="17.25">
      <c r="B33" s="124" t="str">
        <f>IFERROR(IF(B32=SUM(报价辅助计算!A:A),"-",设计清单!B32+1),"-")</f>
        <v>-</v>
      </c>
      <c r="C33" s="127" t="str">
        <f>IFERROR(VLOOKUP($B33,报价辅助计算!$B:$I,2,0),"-")</f>
        <v>-</v>
      </c>
      <c r="D33" s="127" t="str">
        <f>IFERROR(VLOOKUP($B33,报价辅助计算!$B:$I,8,0),"-")</f>
        <v>-</v>
      </c>
      <c r="E33" s="128" t="str">
        <f>IFERROR(VLOOKUP($B33,报价辅助计算!$B:$I,3,0),"-")</f>
        <v>-</v>
      </c>
      <c r="F33" s="129" t="str">
        <f>IFERROR(VLOOKUP($B33,报价辅助计算!$B:$I,4,0),"-")</f>
        <v>-</v>
      </c>
      <c r="G33" s="127" t="str">
        <f>IFERROR(VLOOKUP($B33,报价辅助计算!$B:$I,5,0),"-")</f>
        <v>-</v>
      </c>
      <c r="H33" s="768" t="str">
        <f>IFERROR(VLOOKUP($B33,报价辅助计算!$B:$I,6,0),"-")</f>
        <v>-</v>
      </c>
      <c r="I33" s="141" t="str">
        <f t="shared" si="0"/>
        <v>-</v>
      </c>
      <c r="J33" s="770"/>
      <c r="L33" s="771"/>
      <c r="N33" s="763"/>
    </row>
    <row r="34" spans="1:16" ht="17.25">
      <c r="B34" s="124" t="str">
        <f>IFERROR(IF(B33=SUM(报价辅助计算!A:A),"-",设计清单!B33+1),"-")</f>
        <v>-</v>
      </c>
      <c r="C34" s="127" t="str">
        <f>IFERROR(VLOOKUP($B34,报价辅助计算!$B:$I,2,0),"-")</f>
        <v>-</v>
      </c>
      <c r="D34" s="127" t="str">
        <f>IFERROR(VLOOKUP($B34,报价辅助计算!$B:$I,8,0),"-")</f>
        <v>-</v>
      </c>
      <c r="E34" s="128" t="str">
        <f>IFERROR(VLOOKUP($B34,报价辅助计算!$B:$I,3,0),"-")</f>
        <v>-</v>
      </c>
      <c r="F34" s="129" t="str">
        <f>IFERROR(VLOOKUP($B34,报价辅助计算!$B:$I,4,0),"-")</f>
        <v>-</v>
      </c>
      <c r="G34" s="127" t="str">
        <f>IFERROR(VLOOKUP($B34,报价辅助计算!$B:$I,5,0),"-")</f>
        <v>-</v>
      </c>
      <c r="H34" s="768" t="str">
        <f>IFERROR(VLOOKUP($B34,报价辅助计算!$B:$I,6,0),"-")</f>
        <v>-</v>
      </c>
      <c r="I34" s="141" t="str">
        <f t="shared" si="0"/>
        <v>-</v>
      </c>
      <c r="J34" s="770"/>
      <c r="L34" s="771"/>
      <c r="N34" s="763"/>
    </row>
    <row r="35" spans="1:16" ht="17.25">
      <c r="B35" s="124" t="str">
        <f>IFERROR(IF(B34=SUM(报价辅助计算!A:A),"-",设计清单!B34+1),"-")</f>
        <v>-</v>
      </c>
      <c r="C35" s="127" t="str">
        <f>IFERROR(VLOOKUP($B35,报价辅助计算!$B:$I,2,0),"-")</f>
        <v>-</v>
      </c>
      <c r="D35" s="127" t="str">
        <f>IFERROR(VLOOKUP($B35,报价辅助计算!$B:$I,8,0),"-")</f>
        <v>-</v>
      </c>
      <c r="E35" s="128" t="str">
        <f>IFERROR(VLOOKUP($B35,报价辅助计算!$B:$I,3,0),"-")</f>
        <v>-</v>
      </c>
      <c r="F35" s="129" t="str">
        <f>IFERROR(VLOOKUP($B35,报价辅助计算!$B:$I,4,0),"-")</f>
        <v>-</v>
      </c>
      <c r="G35" s="127" t="str">
        <f>IFERROR(VLOOKUP($B35,报价辅助计算!$B:$I,5,0),"-")</f>
        <v>-</v>
      </c>
      <c r="H35" s="768" t="str">
        <f>IFERROR(VLOOKUP($B35,报价辅助计算!$B:$I,6,0),"-")</f>
        <v>-</v>
      </c>
      <c r="I35" s="141" t="str">
        <f t="shared" si="0"/>
        <v>-</v>
      </c>
      <c r="J35" s="770"/>
      <c r="L35" s="771"/>
      <c r="N35" s="763"/>
    </row>
    <row r="36" spans="1:16" ht="17.25">
      <c r="B36" s="124" t="str">
        <f>IFERROR(IF(B35=SUM(报价辅助计算!A:A),"-",设计清单!B35+1),"-")</f>
        <v>-</v>
      </c>
      <c r="C36" s="127" t="str">
        <f>IFERROR(VLOOKUP($B36,报价辅助计算!$B:$I,2,0),"-")</f>
        <v>-</v>
      </c>
      <c r="D36" s="127" t="str">
        <f>IFERROR(VLOOKUP($B36,报价辅助计算!$B:$I,8,0),"-")</f>
        <v>-</v>
      </c>
      <c r="E36" s="128" t="str">
        <f>IFERROR(VLOOKUP($B36,报价辅助计算!$B:$I,3,0),"-")</f>
        <v>-</v>
      </c>
      <c r="F36" s="129" t="str">
        <f>IFERROR(VLOOKUP($B36,报价辅助计算!$B:$I,4,0),"-")</f>
        <v>-</v>
      </c>
      <c r="G36" s="127" t="str">
        <f>IFERROR(VLOOKUP($B36,报价辅助计算!$B:$I,5,0),"-")</f>
        <v>-</v>
      </c>
      <c r="H36" s="768" t="str">
        <f>IFERROR(VLOOKUP($B36,报价辅助计算!$B:$I,6,0),"-")</f>
        <v>-</v>
      </c>
      <c r="I36" s="141" t="str">
        <f t="shared" si="0"/>
        <v>-</v>
      </c>
      <c r="J36" s="770"/>
      <c r="L36" s="771"/>
      <c r="N36" s="763"/>
    </row>
    <row r="37" spans="1:16" ht="17.25">
      <c r="B37" s="124" t="str">
        <f>IFERROR(IF(B36=SUM(报价辅助计算!A:A),"-",设计清单!B36+1),"-")</f>
        <v>-</v>
      </c>
      <c r="C37" s="127" t="str">
        <f>IFERROR(VLOOKUP($B37,报价辅助计算!$B:$I,2,0),"-")</f>
        <v>-</v>
      </c>
      <c r="D37" s="127" t="str">
        <f>IFERROR(VLOOKUP($B37,报价辅助计算!$B:$I,8,0),"-")</f>
        <v>-</v>
      </c>
      <c r="E37" s="128" t="str">
        <f>IFERROR(VLOOKUP($B37,报价辅助计算!$B:$I,3,0),"-")</f>
        <v>-</v>
      </c>
      <c r="F37" s="129" t="str">
        <f>IFERROR(VLOOKUP($B37,报价辅助计算!$B:$I,4,0),"-")</f>
        <v>-</v>
      </c>
      <c r="G37" s="127" t="str">
        <f>IFERROR(VLOOKUP($B37,报价辅助计算!$B:$I,5,0),"-")</f>
        <v>-</v>
      </c>
      <c r="H37" s="768" t="str">
        <f>IFERROR(VLOOKUP($B37,报价辅助计算!$B:$I,6,0),"-")</f>
        <v>-</v>
      </c>
      <c r="I37" s="141" t="str">
        <f t="shared" si="0"/>
        <v>-</v>
      </c>
      <c r="J37" s="770"/>
      <c r="L37" s="771"/>
      <c r="N37" s="763"/>
    </row>
    <row r="38" spans="1:16" ht="17.25">
      <c r="B38" s="124" t="str">
        <f>IFERROR(IF(B37=SUM(报价辅助计算!A:A),"-",设计清单!B37+1),"-")</f>
        <v>-</v>
      </c>
      <c r="C38" s="127" t="str">
        <f>IFERROR(VLOOKUP($B38,报价辅助计算!$B:$I,2,0),"-")</f>
        <v>-</v>
      </c>
      <c r="D38" s="127" t="str">
        <f>IFERROR(VLOOKUP($B38,报价辅助计算!$B:$I,8,0),"-")</f>
        <v>-</v>
      </c>
      <c r="E38" s="128" t="str">
        <f>IFERROR(VLOOKUP($B38,报价辅助计算!$B:$I,3,0),"-")</f>
        <v>-</v>
      </c>
      <c r="F38" s="129" t="str">
        <f>IFERROR(VLOOKUP($B38,报价辅助计算!$B:$I,4,0),"-")</f>
        <v>-</v>
      </c>
      <c r="G38" s="127" t="str">
        <f>IFERROR(VLOOKUP($B38,报价辅助计算!$B:$I,5,0),"-")</f>
        <v>-</v>
      </c>
      <c r="H38" s="768" t="str">
        <f>IFERROR(VLOOKUP($B38,报价辅助计算!$B:$I,6,0),"-")</f>
        <v>-</v>
      </c>
      <c r="I38" s="141" t="str">
        <f t="shared" si="0"/>
        <v>-</v>
      </c>
      <c r="J38" s="770"/>
      <c r="L38" s="771"/>
      <c r="N38" s="763"/>
    </row>
    <row r="39" spans="1:16" ht="17.25">
      <c r="B39" s="124" t="str">
        <f>IFERROR(IF(B38=SUM(报价辅助计算!A:A),"-",设计清单!B38+1),"-")</f>
        <v>-</v>
      </c>
      <c r="C39" s="127" t="str">
        <f>IFERROR(VLOOKUP($B39,报价辅助计算!$B:$I,2,0),"-")</f>
        <v>-</v>
      </c>
      <c r="D39" s="127" t="str">
        <f>IFERROR(VLOOKUP($B39,报价辅助计算!$B:$I,8,0),"-")</f>
        <v>-</v>
      </c>
      <c r="E39" s="128" t="str">
        <f>IFERROR(VLOOKUP($B39,报价辅助计算!$B:$I,3,0),"-")</f>
        <v>-</v>
      </c>
      <c r="F39" s="129" t="str">
        <f>IFERROR(VLOOKUP($B39,报价辅助计算!$B:$I,4,0),"-")</f>
        <v>-</v>
      </c>
      <c r="G39" s="127" t="str">
        <f>IFERROR(VLOOKUP($B39,报价辅助计算!$B:$I,5,0),"-")</f>
        <v>-</v>
      </c>
      <c r="H39" s="768" t="str">
        <f>IFERROR(VLOOKUP($B39,报价辅助计算!$B:$I,6,0),"-")</f>
        <v>-</v>
      </c>
      <c r="I39" s="141" t="str">
        <f t="shared" si="0"/>
        <v>-</v>
      </c>
      <c r="J39" s="770"/>
      <c r="L39" s="771"/>
      <c r="N39" s="763"/>
    </row>
    <row r="40" spans="1:16" ht="17.25">
      <c r="B40" s="124" t="str">
        <f>IFERROR(IF(B39=SUM(报价辅助计算!A:A),"-",设计清单!B39+1),"-")</f>
        <v>-</v>
      </c>
      <c r="C40" s="127" t="str">
        <f>IFERROR(VLOOKUP($B40,报价辅助计算!$B:$I,2,0),"-")</f>
        <v>-</v>
      </c>
      <c r="D40" s="127" t="str">
        <f>IFERROR(VLOOKUP($B40,报价辅助计算!$B:$I,8,0),"-")</f>
        <v>-</v>
      </c>
      <c r="E40" s="128" t="str">
        <f>IFERROR(VLOOKUP($B40,报价辅助计算!$B:$I,3,0),"-")</f>
        <v>-</v>
      </c>
      <c r="F40" s="129" t="str">
        <f>IFERROR(VLOOKUP($B40,报价辅助计算!$B:$I,4,0),"-")</f>
        <v>-</v>
      </c>
      <c r="G40" s="127" t="str">
        <f>IFERROR(VLOOKUP($B40,报价辅助计算!$B:$I,5,0),"-")</f>
        <v>-</v>
      </c>
      <c r="H40" s="768" t="str">
        <f>IFERROR(VLOOKUP($B40,报价辅助计算!$B:$I,6,0),"-")</f>
        <v>-</v>
      </c>
      <c r="I40" s="141" t="str">
        <f t="shared" si="0"/>
        <v>-</v>
      </c>
      <c r="J40" s="770"/>
      <c r="L40" s="771"/>
      <c r="N40" s="763"/>
    </row>
    <row r="41" spans="1:16" ht="17.25">
      <c r="B41" s="124" t="str">
        <f>IFERROR(IF(B40=SUM(报价辅助计算!A:A),"-",设计清单!B40+1),"-")</f>
        <v>-</v>
      </c>
      <c r="C41" s="127" t="str">
        <f>IFERROR(VLOOKUP($B41,报价辅助计算!$B:$I,2,0),"-")</f>
        <v>-</v>
      </c>
      <c r="D41" s="127" t="str">
        <f>IFERROR(VLOOKUP($B41,报价辅助计算!$B:$I,8,0),"-")</f>
        <v>-</v>
      </c>
      <c r="E41" s="128" t="str">
        <f>IFERROR(VLOOKUP($B41,报价辅助计算!$B:$I,3,0),"-")</f>
        <v>-</v>
      </c>
      <c r="F41" s="129" t="str">
        <f>IFERROR(VLOOKUP($B41,报价辅助计算!$B:$I,4,0),"-")</f>
        <v>-</v>
      </c>
      <c r="G41" s="127" t="str">
        <f>IFERROR(VLOOKUP($B41,报价辅助计算!$B:$I,5,0),"-")</f>
        <v>-</v>
      </c>
      <c r="H41" s="768" t="str">
        <f>IFERROR(VLOOKUP($B41,报价辅助计算!$B:$I,6,0),"-")</f>
        <v>-</v>
      </c>
      <c r="I41" s="141" t="str">
        <f t="shared" si="0"/>
        <v>-</v>
      </c>
      <c r="J41" s="770"/>
      <c r="L41" s="771"/>
      <c r="N41" s="763"/>
    </row>
    <row r="42" spans="1:16" ht="17.25">
      <c r="B42" s="124" t="str">
        <f>IFERROR(IF(B41=SUM(报价辅助计算!A:A),"-",设计清单!B41+1),"-")</f>
        <v>-</v>
      </c>
      <c r="C42" s="127" t="str">
        <f>IFERROR(VLOOKUP($B42,报价辅助计算!$B:$I,2,0),"-")</f>
        <v>-</v>
      </c>
      <c r="D42" s="127" t="str">
        <f>IFERROR(VLOOKUP($B42,报价辅助计算!$B:$I,8,0),"-")</f>
        <v>-</v>
      </c>
      <c r="E42" s="128" t="str">
        <f>IFERROR(VLOOKUP($B42,报价辅助计算!$B:$I,3,0),"-")</f>
        <v>-</v>
      </c>
      <c r="F42" s="129" t="str">
        <f>IFERROR(VLOOKUP($B42,报价辅助计算!$B:$I,4,0),"-")</f>
        <v>-</v>
      </c>
      <c r="G42" s="127" t="str">
        <f>IFERROR(VLOOKUP($B42,报价辅助计算!$B:$I,5,0),"-")</f>
        <v>-</v>
      </c>
      <c r="H42" s="768" t="str">
        <f>IFERROR(VLOOKUP($B42,报价辅助计算!$B:$I,6,0),"-")</f>
        <v>-</v>
      </c>
      <c r="I42" s="141" t="str">
        <f t="shared" si="0"/>
        <v>-</v>
      </c>
      <c r="J42" s="770"/>
      <c r="L42" s="771"/>
      <c r="N42" s="763"/>
    </row>
    <row r="43" spans="1:16" ht="17.25">
      <c r="B43" s="124" t="str">
        <f>IFERROR(IF(B42=SUM(报价辅助计算!A:A),"-",设计清单!B42+1),"-")</f>
        <v>-</v>
      </c>
      <c r="C43" s="127" t="str">
        <f>IFERROR(VLOOKUP($B43,报价辅助计算!$B:$I,2,0),"-")</f>
        <v>-</v>
      </c>
      <c r="D43" s="127" t="str">
        <f>IFERROR(VLOOKUP($B43,报价辅助计算!$B:$I,8,0),"-")</f>
        <v>-</v>
      </c>
      <c r="E43" s="128" t="str">
        <f>IFERROR(VLOOKUP($B43,报价辅助计算!$B:$I,3,0),"-")</f>
        <v>-</v>
      </c>
      <c r="F43" s="129" t="str">
        <f>IFERROR(VLOOKUP($B43,报价辅助计算!$B:$I,4,0),"-")</f>
        <v>-</v>
      </c>
      <c r="G43" s="127" t="str">
        <f>IFERROR(VLOOKUP($B43,报价辅助计算!$B:$I,5,0),"-")</f>
        <v>-</v>
      </c>
      <c r="H43" s="768" t="str">
        <f>IFERROR(VLOOKUP($B43,报价辅助计算!$B:$I,6,0),"-")</f>
        <v>-</v>
      </c>
      <c r="I43" s="141" t="str">
        <f t="shared" si="0"/>
        <v>-</v>
      </c>
      <c r="J43" s="770"/>
      <c r="L43" s="771"/>
      <c r="N43" s="763"/>
    </row>
    <row r="44" spans="1:16" ht="30" customHeight="1">
      <c r="A44" s="772">
        <v>14</v>
      </c>
      <c r="B44" s="773"/>
      <c r="C44" s="774" t="s">
        <v>50</v>
      </c>
      <c r="D44" s="775"/>
      <c r="E44" s="776"/>
      <c r="F44" s="776"/>
      <c r="G44" s="777"/>
      <c r="H44" s="778"/>
      <c r="I44" s="779"/>
      <c r="J44" s="770"/>
      <c r="L44" s="771"/>
      <c r="M44" s="171"/>
      <c r="N44" s="763"/>
    </row>
    <row r="45" spans="1:16" ht="30" hidden="1" customHeight="1" outlineLevel="1">
      <c r="B45" s="773"/>
      <c r="C45" s="780" t="s">
        <v>54</v>
      </c>
      <c r="D45" s="781"/>
      <c r="E45" s="780"/>
      <c r="F45" s="780"/>
      <c r="G45" s="782"/>
      <c r="H45" s="783"/>
      <c r="I45" s="784"/>
      <c r="J45" s="770"/>
      <c r="L45" s="771"/>
      <c r="M45" s="171"/>
      <c r="N45" s="763"/>
    </row>
    <row r="46" spans="1:16" ht="30" hidden="1" customHeight="1" outlineLevel="1">
      <c r="B46" s="773"/>
      <c r="C46" s="780" t="s">
        <v>56</v>
      </c>
      <c r="D46" s="781"/>
      <c r="E46" s="780"/>
      <c r="F46" s="780"/>
      <c r="G46" s="782"/>
      <c r="H46" s="783"/>
      <c r="I46" s="784"/>
      <c r="J46" s="770"/>
      <c r="L46" s="771"/>
      <c r="M46" s="171"/>
      <c r="N46" s="763"/>
    </row>
    <row r="47" spans="1:16" ht="39" customHeight="1" collapsed="1">
      <c r="A47" s="785" t="s">
        <v>58</v>
      </c>
      <c r="B47" s="773"/>
      <c r="C47" s="786" t="s">
        <v>21</v>
      </c>
      <c r="D47" s="787"/>
      <c r="E47" s="788"/>
      <c r="F47" s="786"/>
      <c r="G47" s="789"/>
      <c r="H47" s="790"/>
      <c r="I47" s="791">
        <f ca="1">SUM(INDEX(I:I,A44):INDIRECT(SUBSTITUTE(ADDRESS(1,COLUMN(),4),"1","")&amp;ROW()-3))</f>
        <v>0</v>
      </c>
      <c r="J47" s="770"/>
      <c r="L47" s="771"/>
      <c r="M47" s="792"/>
      <c r="N47" s="792"/>
      <c r="O47" s="792"/>
      <c r="P47" s="792"/>
    </row>
    <row r="48" spans="1:16" s="750" customFormat="1" ht="27" customHeight="1" outlineLevel="1">
      <c r="B48" s="115"/>
      <c r="C48" s="123"/>
      <c r="D48" s="115"/>
      <c r="E48" s="123"/>
      <c r="F48" s="123"/>
      <c r="G48" s="115"/>
      <c r="H48" s="115"/>
      <c r="I48" s="115"/>
      <c r="J48" s="770"/>
      <c r="K48" s="115"/>
      <c r="L48" s="771"/>
      <c r="M48" s="793"/>
      <c r="N48" s="793"/>
      <c r="O48" s="793"/>
    </row>
    <row r="49" spans="1:16" ht="27" customHeight="1" outlineLevel="1">
      <c r="I49" s="794"/>
      <c r="J49" s="770"/>
      <c r="L49" s="771"/>
      <c r="M49" s="771"/>
      <c r="N49" s="771"/>
      <c r="O49" s="771"/>
      <c r="P49" s="771"/>
    </row>
    <row r="50" spans="1:16" ht="27" customHeight="1" outlineLevel="1">
      <c r="E50" s="785"/>
      <c r="J50" s="795"/>
      <c r="K50" s="114"/>
      <c r="N50" s="796"/>
      <c r="O50" s="797"/>
      <c r="P50" s="797"/>
    </row>
    <row r="51" spans="1:16" ht="27" customHeight="1">
      <c r="B51" s="115" t="s">
        <v>79</v>
      </c>
      <c r="H51" s="763"/>
    </row>
    <row r="52" spans="1:16" ht="27" customHeight="1">
      <c r="B52" s="131" t="s">
        <v>80</v>
      </c>
      <c r="C52" s="132"/>
      <c r="D52" s="131"/>
    </row>
    <row r="53" spans="1:16" ht="39" customHeight="1">
      <c r="B53" s="131" t="s">
        <v>84</v>
      </c>
      <c r="C53" s="132"/>
      <c r="D53" s="131"/>
    </row>
    <row r="54" spans="1:16" ht="39" customHeight="1">
      <c r="B54" s="131" t="s">
        <v>88</v>
      </c>
      <c r="C54" s="132"/>
      <c r="D54" s="131"/>
    </row>
    <row r="55" spans="1:16" ht="39" customHeight="1">
      <c r="L55" s="114"/>
      <c r="M55" s="114"/>
      <c r="N55" s="114"/>
    </row>
    <row r="56" spans="1:16" ht="39" customHeight="1"/>
    <row r="59" spans="1:16">
      <c r="B59" s="131"/>
      <c r="C59" s="132"/>
      <c r="D59" s="131"/>
    </row>
    <row r="60" spans="1:16">
      <c r="A60" s="131"/>
      <c r="B60" s="131"/>
      <c r="C60" s="132"/>
      <c r="D60" s="131"/>
    </row>
    <row r="61" spans="1:16">
      <c r="A61" s="131"/>
      <c r="B61" s="131"/>
      <c r="C61" s="132"/>
      <c r="D61" s="131"/>
    </row>
    <row r="62" spans="1:16">
      <c r="A62" s="131"/>
      <c r="B62" s="131"/>
      <c r="C62" s="132"/>
      <c r="D62" s="131"/>
    </row>
    <row r="63" spans="1:16">
      <c r="B63" s="131"/>
      <c r="C63" s="132"/>
      <c r="D63" s="131"/>
      <c r="H63" s="121"/>
    </row>
    <row r="64" spans="1:16">
      <c r="B64" s="131"/>
      <c r="C64" s="132"/>
      <c r="D64" s="131"/>
    </row>
    <row r="65" spans="1:16">
      <c r="B65" s="131"/>
      <c r="C65" s="132"/>
      <c r="D65" s="131"/>
    </row>
    <row r="66" spans="1:16">
      <c r="B66" s="131"/>
      <c r="C66" s="132"/>
      <c r="D66" s="131"/>
    </row>
    <row r="67" spans="1:16">
      <c r="B67" s="131"/>
      <c r="C67" s="132"/>
      <c r="D67" s="131"/>
    </row>
    <row r="68" spans="1:16">
      <c r="B68" s="131"/>
      <c r="C68" s="132"/>
      <c r="D68" s="131"/>
    </row>
    <row r="69" spans="1:16">
      <c r="B69" s="131"/>
      <c r="C69" s="132"/>
      <c r="D69" s="131"/>
    </row>
    <row r="70" spans="1:16">
      <c r="B70" s="131"/>
      <c r="C70" s="132"/>
      <c r="D70" s="131"/>
    </row>
    <row r="71" spans="1:16">
      <c r="B71" s="131"/>
      <c r="C71" s="132"/>
      <c r="D71" s="131"/>
    </row>
    <row r="72" spans="1:16" s="123" customFormat="1">
      <c r="A72" s="115"/>
      <c r="B72" s="131"/>
      <c r="C72" s="132"/>
      <c r="D72" s="131"/>
      <c r="G72" s="115"/>
      <c r="H72" s="115"/>
      <c r="I72" s="115"/>
      <c r="J72" s="115"/>
      <c r="K72" s="115"/>
      <c r="L72" s="115"/>
      <c r="M72" s="115"/>
      <c r="N72" s="115"/>
      <c r="O72" s="115"/>
      <c r="P72" s="115"/>
    </row>
    <row r="73" spans="1:16" s="123" customFormat="1">
      <c r="A73" s="115"/>
      <c r="B73" s="131"/>
      <c r="C73" s="132"/>
      <c r="D73" s="131"/>
      <c r="G73" s="115"/>
      <c r="H73" s="115"/>
      <c r="I73" s="115"/>
      <c r="J73" s="115"/>
      <c r="K73" s="115"/>
      <c r="L73" s="115"/>
      <c r="M73" s="115"/>
      <c r="N73" s="115"/>
      <c r="O73" s="115"/>
      <c r="P73" s="115"/>
    </row>
    <row r="74" spans="1:16" s="123" customFormat="1">
      <c r="A74" s="115"/>
      <c r="B74" s="131"/>
      <c r="C74" s="132"/>
      <c r="D74" s="131"/>
      <c r="G74" s="115"/>
      <c r="H74" s="115"/>
      <c r="I74" s="115"/>
      <c r="J74" s="115"/>
      <c r="K74" s="115"/>
      <c r="L74" s="115"/>
      <c r="M74" s="115"/>
      <c r="N74" s="115"/>
      <c r="O74" s="115"/>
      <c r="P74" s="115"/>
    </row>
    <row r="75" spans="1:16" s="123" customFormat="1">
      <c r="A75" s="115"/>
      <c r="B75" s="131"/>
      <c r="C75" s="132"/>
      <c r="D75" s="131"/>
      <c r="G75" s="115"/>
      <c r="H75" s="115"/>
      <c r="I75" s="115"/>
      <c r="J75" s="115"/>
      <c r="K75" s="115"/>
      <c r="L75" s="115"/>
      <c r="M75" s="115"/>
      <c r="N75" s="115"/>
      <c r="O75" s="115"/>
      <c r="P75" s="115"/>
    </row>
    <row r="76" spans="1:16" s="123" customFormat="1">
      <c r="A76" s="115"/>
      <c r="B76" s="131"/>
      <c r="C76" s="132"/>
      <c r="D76" s="131"/>
      <c r="G76" s="115"/>
      <c r="H76" s="115"/>
      <c r="I76" s="115"/>
      <c r="J76" s="115"/>
      <c r="K76" s="115"/>
      <c r="L76" s="115"/>
      <c r="M76" s="115"/>
      <c r="N76" s="115"/>
      <c r="O76" s="115"/>
      <c r="P76" s="115"/>
    </row>
    <row r="77" spans="1:16" s="123" customFormat="1">
      <c r="A77" s="115"/>
      <c r="B77" s="131"/>
      <c r="C77" s="132"/>
      <c r="D77" s="131"/>
      <c r="G77" s="115"/>
      <c r="H77" s="115"/>
      <c r="I77" s="115"/>
      <c r="J77" s="115"/>
      <c r="K77" s="115"/>
      <c r="L77" s="115"/>
      <c r="M77" s="115"/>
      <c r="N77" s="115"/>
      <c r="O77" s="115"/>
      <c r="P77" s="115"/>
    </row>
    <row r="78" spans="1:16" s="123" customFormat="1">
      <c r="A78" s="115"/>
      <c r="B78" s="131"/>
      <c r="C78" s="132"/>
      <c r="D78" s="131"/>
      <c r="G78" s="115"/>
      <c r="H78" s="115"/>
      <c r="I78" s="115"/>
      <c r="J78" s="115"/>
      <c r="K78" s="115"/>
      <c r="L78" s="115"/>
      <c r="M78" s="115"/>
      <c r="N78" s="115"/>
      <c r="O78" s="115"/>
      <c r="P78" s="115"/>
    </row>
    <row r="79" spans="1:16" s="123" customFormat="1">
      <c r="A79" s="115"/>
      <c r="B79" s="131"/>
      <c r="C79" s="132"/>
      <c r="D79" s="131"/>
      <c r="G79" s="115"/>
      <c r="H79" s="115"/>
      <c r="I79" s="115"/>
      <c r="J79" s="115"/>
      <c r="K79" s="115"/>
      <c r="L79" s="115"/>
      <c r="M79" s="115"/>
      <c r="N79" s="115"/>
      <c r="O79" s="115"/>
      <c r="P79" s="115"/>
    </row>
    <row r="80" spans="1:16" s="123" customFormat="1">
      <c r="A80" s="115"/>
      <c r="B80" s="131"/>
      <c r="C80" s="132"/>
      <c r="D80" s="131"/>
      <c r="G80" s="115"/>
      <c r="H80" s="115"/>
      <c r="I80" s="115"/>
      <c r="J80" s="115"/>
      <c r="K80" s="115"/>
      <c r="L80" s="115"/>
      <c r="M80" s="115"/>
      <c r="N80" s="115"/>
      <c r="O80" s="115"/>
      <c r="P80" s="115"/>
    </row>
    <row r="81" spans="1:16" s="123" customFormat="1">
      <c r="A81" s="115"/>
      <c r="B81" s="131"/>
      <c r="C81" s="132"/>
      <c r="D81" s="131"/>
      <c r="G81" s="115"/>
      <c r="H81" s="115"/>
      <c r="I81" s="115"/>
      <c r="J81" s="115"/>
      <c r="K81" s="115"/>
      <c r="L81" s="115"/>
      <c r="M81" s="115"/>
      <c r="N81" s="115"/>
      <c r="O81" s="115"/>
      <c r="P81" s="115"/>
    </row>
    <row r="82" spans="1:16" s="123" customFormat="1">
      <c r="A82" s="115"/>
      <c r="B82" s="131"/>
      <c r="C82" s="132"/>
      <c r="D82" s="131"/>
      <c r="G82" s="115"/>
      <c r="H82" s="115"/>
      <c r="I82" s="115"/>
      <c r="J82" s="115"/>
      <c r="K82" s="115"/>
      <c r="L82" s="115"/>
      <c r="M82" s="115"/>
      <c r="N82" s="115"/>
      <c r="O82" s="115"/>
      <c r="P82" s="115"/>
    </row>
    <row r="83" spans="1:16" s="123" customFormat="1">
      <c r="A83" s="115"/>
      <c r="B83" s="131"/>
      <c r="C83" s="132"/>
      <c r="D83" s="131"/>
      <c r="G83" s="115"/>
      <c r="H83" s="115"/>
      <c r="I83" s="115"/>
      <c r="J83" s="115"/>
      <c r="K83" s="115"/>
      <c r="L83" s="115"/>
      <c r="M83" s="115"/>
      <c r="N83" s="115"/>
      <c r="O83" s="115"/>
      <c r="P83" s="115"/>
    </row>
    <row r="84" spans="1:16" s="123" customFormat="1">
      <c r="A84" s="115"/>
      <c r="B84" s="131"/>
      <c r="C84" s="132"/>
      <c r="D84" s="131"/>
      <c r="G84" s="115"/>
      <c r="H84" s="115"/>
      <c r="I84" s="115"/>
      <c r="J84" s="115"/>
      <c r="K84" s="115"/>
      <c r="L84" s="115"/>
      <c r="M84" s="115"/>
      <c r="N84" s="115"/>
      <c r="O84" s="115"/>
      <c r="P84" s="115"/>
    </row>
    <row r="85" spans="1:16" s="123" customFormat="1">
      <c r="A85" s="115"/>
      <c r="B85" s="131"/>
      <c r="C85" s="132"/>
      <c r="D85" s="131"/>
      <c r="G85" s="115"/>
      <c r="H85" s="115"/>
      <c r="I85" s="115"/>
      <c r="J85" s="115"/>
      <c r="K85" s="115"/>
      <c r="L85" s="115"/>
      <c r="M85" s="115"/>
      <c r="N85" s="115"/>
      <c r="O85" s="115"/>
      <c r="P85" s="115"/>
    </row>
    <row r="86" spans="1:16" s="123" customFormat="1">
      <c r="A86" s="115"/>
      <c r="B86" s="131"/>
      <c r="C86" s="132"/>
      <c r="D86" s="131"/>
      <c r="G86" s="115"/>
      <c r="H86" s="115"/>
      <c r="I86" s="115"/>
      <c r="J86" s="115"/>
      <c r="K86" s="115"/>
      <c r="L86" s="115"/>
      <c r="M86" s="115"/>
      <c r="N86" s="115"/>
      <c r="O86" s="115"/>
      <c r="P86" s="115"/>
    </row>
    <row r="87" spans="1:16" s="123" customFormat="1">
      <c r="A87" s="115"/>
      <c r="B87" s="131"/>
      <c r="C87" s="132"/>
      <c r="D87" s="131"/>
      <c r="G87" s="115"/>
      <c r="H87" s="115"/>
      <c r="I87" s="115"/>
      <c r="J87" s="115"/>
      <c r="K87" s="115"/>
      <c r="L87" s="115"/>
      <c r="M87" s="115"/>
      <c r="N87" s="115"/>
      <c r="O87" s="115"/>
      <c r="P87" s="115"/>
    </row>
    <row r="88" spans="1:16" s="123" customFormat="1">
      <c r="A88" s="115"/>
      <c r="B88" s="131"/>
      <c r="C88" s="132"/>
      <c r="D88" s="131"/>
      <c r="G88" s="115"/>
      <c r="H88" s="115"/>
      <c r="I88" s="115"/>
      <c r="J88" s="115"/>
      <c r="K88" s="115"/>
      <c r="L88" s="115"/>
      <c r="M88" s="115"/>
      <c r="N88" s="115"/>
      <c r="O88" s="115"/>
      <c r="P88" s="115"/>
    </row>
    <row r="89" spans="1:16" s="123" customFormat="1">
      <c r="A89" s="115"/>
      <c r="B89" s="131"/>
      <c r="C89" s="132"/>
      <c r="D89" s="131"/>
      <c r="G89" s="115"/>
      <c r="H89" s="115"/>
      <c r="I89" s="115"/>
      <c r="J89" s="115"/>
      <c r="K89" s="115"/>
      <c r="L89" s="115"/>
      <c r="M89" s="115"/>
      <c r="N89" s="115"/>
      <c r="O89" s="115"/>
      <c r="P89" s="115"/>
    </row>
    <row r="90" spans="1:16" s="123" customFormat="1">
      <c r="A90" s="115"/>
      <c r="B90" s="131"/>
      <c r="C90" s="132"/>
      <c r="D90" s="131"/>
      <c r="G90" s="115"/>
      <c r="H90" s="115"/>
      <c r="I90" s="115"/>
      <c r="J90" s="115"/>
      <c r="K90" s="115"/>
      <c r="L90" s="115"/>
      <c r="M90" s="115"/>
      <c r="N90" s="115"/>
      <c r="O90" s="115"/>
      <c r="P90" s="115"/>
    </row>
    <row r="91" spans="1:16" s="123" customFormat="1">
      <c r="A91" s="115"/>
      <c r="B91" s="131"/>
      <c r="C91" s="132"/>
      <c r="D91" s="131"/>
      <c r="G91" s="115"/>
      <c r="H91" s="115"/>
      <c r="I91" s="115"/>
      <c r="J91" s="115"/>
      <c r="K91" s="115"/>
      <c r="L91" s="115"/>
      <c r="M91" s="115"/>
      <c r="N91" s="115"/>
      <c r="O91" s="115"/>
      <c r="P91" s="115"/>
    </row>
    <row r="92" spans="1:16" s="123" customFormat="1">
      <c r="A92" s="115"/>
      <c r="B92" s="131"/>
      <c r="C92" s="132"/>
      <c r="D92" s="131"/>
      <c r="G92" s="115"/>
      <c r="H92" s="115"/>
      <c r="I92" s="115"/>
      <c r="J92" s="115"/>
      <c r="K92" s="115"/>
      <c r="L92" s="115"/>
      <c r="M92" s="115"/>
      <c r="N92" s="115"/>
      <c r="O92" s="115"/>
      <c r="P92" s="115"/>
    </row>
    <row r="93" spans="1:16" s="123" customFormat="1">
      <c r="A93" s="115"/>
      <c r="B93" s="131"/>
      <c r="C93" s="132"/>
      <c r="D93" s="131"/>
      <c r="G93" s="115"/>
      <c r="H93" s="115"/>
      <c r="I93" s="115"/>
      <c r="J93" s="115"/>
      <c r="K93" s="115"/>
      <c r="L93" s="115"/>
      <c r="M93" s="115"/>
      <c r="N93" s="115"/>
      <c r="O93" s="115"/>
      <c r="P93" s="115"/>
    </row>
    <row r="94" spans="1:16" s="123" customFormat="1">
      <c r="A94" s="115"/>
      <c r="B94" s="131"/>
      <c r="C94" s="132"/>
      <c r="D94" s="131"/>
      <c r="G94" s="115"/>
      <c r="H94" s="115"/>
      <c r="I94" s="115"/>
      <c r="J94" s="115"/>
      <c r="K94" s="115"/>
      <c r="L94" s="115"/>
      <c r="M94" s="115"/>
      <c r="N94" s="115"/>
      <c r="O94" s="115"/>
      <c r="P94" s="115"/>
    </row>
  </sheetData>
  <mergeCells count="3">
    <mergeCell ref="B12:I12"/>
    <mergeCell ref="L2:L5"/>
    <mergeCell ref="L7:L9"/>
  </mergeCells>
  <phoneticPr fontId="120" type="noConversion"/>
  <conditionalFormatting sqref="C14">
    <cfRule type="containsBlanks" dxfId="288" priority="13">
      <formula>LEN(TRIM(C14))=0</formula>
    </cfRule>
  </conditionalFormatting>
  <conditionalFormatting sqref="H47:I47">
    <cfRule type="expression" dxfId="287" priority="8">
      <formula>$N$13=1</formula>
    </cfRule>
  </conditionalFormatting>
  <conditionalFormatting sqref="O50:P50">
    <cfRule type="cellIs" dxfId="286" priority="10" operator="greaterThan">
      <formula>0</formula>
    </cfRule>
  </conditionalFormatting>
  <conditionalFormatting sqref="E15:E43">
    <cfRule type="expression" dxfId="285" priority="9">
      <formula>ISNUMBER(SEARCH("guard",C15))</formula>
    </cfRule>
    <cfRule type="expression" dxfId="284" priority="11">
      <formula>ISNUMBER(SEARCH("protector",C15))</formula>
    </cfRule>
    <cfRule type="expression" dxfId="283" priority="12">
      <formula>ISNUMBER(SEARCH("beam",C15))</formula>
    </cfRule>
  </conditionalFormatting>
  <conditionalFormatting sqref="I45:I46">
    <cfRule type="expression" dxfId="282" priority="6">
      <formula>$L45=0</formula>
    </cfRule>
  </conditionalFormatting>
  <conditionalFormatting sqref="M15:M43">
    <cfRule type="cellIs" dxfId="281" priority="15" operator="equal">
      <formula>"-"</formula>
    </cfRule>
    <cfRule type="cellIs" dxfId="280" priority="16" operator="notEqual">
      <formula>$M$13</formula>
    </cfRule>
  </conditionalFormatting>
  <conditionalFormatting sqref="B14:C14 E14:I14 B13:I13 B15:I43">
    <cfRule type="cellIs" dxfId="279" priority="4" operator="equal">
      <formula>0</formula>
    </cfRule>
  </conditionalFormatting>
  <conditionalFormatting sqref="H44:H46 N15:N43 H15:I43">
    <cfRule type="expression" dxfId="278" priority="7">
      <formula>$N$13=1</formula>
    </cfRule>
  </conditionalFormatting>
  <conditionalFormatting sqref="B44:I44 C45:H46">
    <cfRule type="expression" dxfId="277" priority="5">
      <formula>$L44=0</formula>
    </cfRule>
  </conditionalFormatting>
  <dataValidations count="1">
    <dataValidation type="list" allowBlank="1" showInputMessage="1" showErrorMessage="1" sqref="O50:P50" xr:uid="{00000000-0002-0000-0300-000000000000}">
      <formula1>"0,1"</formula1>
    </dataValidation>
  </dataValidations>
  <pageMargins left="0.70866141732283505" right="0.70866141732283505" top="0.74803149606299202" bottom="0.74803149606299202" header="0.31496062992126" footer="0.31496062992126"/>
  <pageSetup paperSize="9" scale="44" fitToHeight="0" orientation="portrait" errors="blank" verticalDpi="30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rgb="FF92D050"/>
  </sheetPr>
  <dimension ref="A1:AW49"/>
  <sheetViews>
    <sheetView showWhiteSpace="0" zoomScale="70" zoomScaleNormal="70" workbookViewId="0">
      <pane ySplit="1" topLeftCell="A10" activePane="bottomLeft" state="frozen"/>
      <selection pane="bottomLeft" activeCell="D20" sqref="D20"/>
    </sheetView>
  </sheetViews>
  <sheetFormatPr defaultColWidth="9" defaultRowHeight="14.25" outlineLevelRow="1"/>
  <cols>
    <col min="1" max="1" width="11" style="112" customWidth="1"/>
    <col min="2" max="2" width="20" style="112" customWidth="1"/>
    <col min="3" max="3" width="20.75" style="112" customWidth="1"/>
    <col min="4" max="4" width="28" style="112" customWidth="1"/>
    <col min="5" max="5" width="46.75" style="245" customWidth="1"/>
    <col min="6" max="6" width="27.75" style="112" customWidth="1"/>
    <col min="7" max="7" width="50" style="112" customWidth="1"/>
    <col min="8" max="9" width="20" style="112" customWidth="1"/>
    <col min="10" max="10" width="22" customWidth="1"/>
    <col min="12" max="12" width="13" customWidth="1"/>
    <col min="15" max="15" width="13.125" customWidth="1"/>
    <col min="18" max="18" width="12.25" customWidth="1"/>
    <col min="19" max="19" width="14" customWidth="1"/>
    <col min="20" max="20" width="12.25" customWidth="1"/>
    <col min="21" max="21" width="11.75" customWidth="1"/>
    <col min="22" max="23" width="13.25" customWidth="1"/>
    <col min="24" max="25" width="11.125" customWidth="1"/>
    <col min="26" max="26" width="12.625" customWidth="1"/>
    <col min="27" max="27" width="31.375" customWidth="1"/>
    <col min="28" max="28" width="11.5" customWidth="1"/>
    <col min="29" max="29" width="10.125" customWidth="1"/>
    <col min="30" max="34" width="13.25" customWidth="1"/>
    <col min="35" max="35" width="14.875" customWidth="1"/>
    <col min="36" max="38" width="13.25" customWidth="1"/>
    <col min="39" max="39" width="36.625" customWidth="1"/>
    <col min="40" max="40" width="10.5" customWidth="1"/>
    <col min="41" max="43" width="13.625" customWidth="1"/>
    <col min="44" max="44" width="11.125" customWidth="1"/>
    <col min="45" max="45" width="15.5" customWidth="1"/>
    <col min="46" max="46" width="13.25" customWidth="1"/>
    <col min="47" max="47" width="14.375" customWidth="1"/>
    <col min="51" max="51" width="13" customWidth="1"/>
    <col min="53" max="53" width="19.75" customWidth="1"/>
    <col min="54" max="54" width="19.625" customWidth="1"/>
    <col min="55" max="55" width="14.125" customWidth="1"/>
    <col min="56" max="56" width="13.25" customWidth="1"/>
    <col min="57" max="57" width="13.375" customWidth="1"/>
    <col min="60" max="60" width="11.875" customWidth="1"/>
  </cols>
  <sheetData>
    <row r="1" spans="1:49" ht="62.25" customHeight="1">
      <c r="D1" s="734" t="s">
        <v>160</v>
      </c>
      <c r="E1" s="735">
        <v>75</v>
      </c>
      <c r="F1" s="54" t="s">
        <v>161</v>
      </c>
      <c r="G1" s="736" t="s">
        <v>162</v>
      </c>
      <c r="H1" s="737">
        <v>50</v>
      </c>
      <c r="I1" s="54" t="s">
        <v>163</v>
      </c>
      <c r="J1" s="112" t="s">
        <v>164</v>
      </c>
      <c r="K1" s="54" t="s">
        <v>163</v>
      </c>
    </row>
    <row r="2" spans="1:49" outlineLevel="1">
      <c r="E2"/>
      <c r="F2"/>
      <c r="G2" s="122" t="s">
        <v>165</v>
      </c>
      <c r="H2" s="245"/>
      <c r="I2"/>
    </row>
    <row r="3" spans="1:49" outlineLevel="1">
      <c r="B3" s="723"/>
      <c r="C3" s="738" t="str">
        <f>'Price PDF'!C9</f>
        <v>Capital Racking Ltd</v>
      </c>
      <c r="E3"/>
      <c r="F3"/>
      <c r="G3" s="927"/>
      <c r="H3" s="927"/>
      <c r="I3" s="927"/>
    </row>
    <row r="4" spans="1:49" outlineLevel="1">
      <c r="B4" s="723"/>
      <c r="C4" s="739" t="s">
        <v>4</v>
      </c>
      <c r="E4"/>
      <c r="F4"/>
      <c r="G4"/>
      <c r="H4"/>
      <c r="I4"/>
    </row>
    <row r="5" spans="1:49" ht="16.5" customHeight="1" outlineLevel="1">
      <c r="B5" s="723"/>
      <c r="C5" s="929" t="str">
        <f>IFERROR(VLOOKUP(C3,客户清单!$B:$F,4,0),"-")</f>
        <v>1.横斜撑40*24*1.5mm；
2.脚底板特制，并镀锌
3.脚底板不配膨胀螺栓。
4.立柱使用Q355 材料
5. 特殊柱卡
6.76.2节距
7.重型悬臂货架用焊接式底座
8.立柱和横梁都需要字码
9.横梁配弹簧销</v>
      </c>
      <c r="D5" s="930"/>
      <c r="E5" s="930"/>
      <c r="F5" s="931"/>
      <c r="G5" s="122"/>
      <c r="H5" s="122"/>
      <c r="I5" s="122"/>
    </row>
    <row r="6" spans="1:49" outlineLevel="1">
      <c r="B6" s="723"/>
      <c r="C6" s="932"/>
      <c r="D6" s="933"/>
      <c r="E6" s="933"/>
      <c r="F6" s="934"/>
      <c r="G6"/>
      <c r="H6" s="122"/>
      <c r="I6" s="122"/>
    </row>
    <row r="7" spans="1:49" outlineLevel="1">
      <c r="B7" s="723"/>
      <c r="C7" s="932"/>
      <c r="D7" s="933"/>
      <c r="E7" s="933"/>
      <c r="F7" s="934"/>
      <c r="G7"/>
      <c r="H7" s="122"/>
      <c r="I7" s="122"/>
    </row>
    <row r="8" spans="1:49" ht="15" customHeight="1" outlineLevel="1">
      <c r="B8" s="723"/>
      <c r="C8" s="932"/>
      <c r="D8" s="933"/>
      <c r="E8" s="933"/>
      <c r="F8" s="934"/>
      <c r="G8" s="391"/>
      <c r="H8" s="122"/>
      <c r="I8" s="122"/>
    </row>
    <row r="9" spans="1:49" ht="14.25" customHeight="1" outlineLevel="1">
      <c r="B9" s="723"/>
      <c r="C9" s="932"/>
      <c r="D9" s="933"/>
      <c r="E9" s="933"/>
      <c r="F9" s="934"/>
      <c r="G9" s="122"/>
      <c r="H9" s="122"/>
      <c r="I9" s="122"/>
    </row>
    <row r="10" spans="1:49" ht="21" customHeight="1" outlineLevel="1">
      <c r="B10" s="723"/>
      <c r="C10" s="932"/>
      <c r="D10" s="933"/>
      <c r="E10" s="933"/>
      <c r="F10" s="934"/>
      <c r="G10"/>
      <c r="H10"/>
      <c r="AR10" t="s">
        <v>10</v>
      </c>
      <c r="AS10" t="s">
        <v>10</v>
      </c>
      <c r="AT10" t="s">
        <v>12</v>
      </c>
      <c r="AU10" t="s">
        <v>166</v>
      </c>
      <c r="AV10" t="s">
        <v>166</v>
      </c>
      <c r="AW10" t="s">
        <v>167</v>
      </c>
    </row>
    <row r="11" spans="1:49" ht="34.5" customHeight="1" outlineLevel="1">
      <c r="B11" s="723"/>
      <c r="C11" s="935"/>
      <c r="D11" s="936"/>
      <c r="E11" s="936"/>
      <c r="F11" s="937"/>
      <c r="G11" s="404"/>
      <c r="H11" t="s">
        <v>168</v>
      </c>
      <c r="AR11" t="s">
        <v>7</v>
      </c>
      <c r="AS11" t="s">
        <v>8</v>
      </c>
      <c r="AT11" t="s">
        <v>8</v>
      </c>
      <c r="AU11" t="s">
        <v>7</v>
      </c>
      <c r="AV11" t="s">
        <v>8</v>
      </c>
      <c r="AW11" t="s">
        <v>8</v>
      </c>
    </row>
    <row r="12" spans="1:49">
      <c r="C12" s="112" t="s">
        <v>169</v>
      </c>
      <c r="D12" s="112">
        <v>3</v>
      </c>
      <c r="E12" s="112" t="s">
        <v>170</v>
      </c>
      <c r="F12" s="112">
        <v>5</v>
      </c>
      <c r="G12" s="112">
        <v>6</v>
      </c>
      <c r="H12" s="112">
        <v>7</v>
      </c>
      <c r="I12" s="112">
        <v>8</v>
      </c>
      <c r="J12" s="112">
        <v>9</v>
      </c>
      <c r="K12" s="112">
        <v>10</v>
      </c>
      <c r="L12" s="112">
        <v>11</v>
      </c>
    </row>
    <row r="13" spans="1:49">
      <c r="C13" s="651">
        <v>1</v>
      </c>
      <c r="D13" s="651" t="s">
        <v>171</v>
      </c>
      <c r="E13" s="651">
        <v>0</v>
      </c>
      <c r="J13" s="112"/>
      <c r="K13" s="112"/>
      <c r="L13" s="112"/>
    </row>
    <row r="14" spans="1:49">
      <c r="A14" s="740"/>
      <c r="B14" s="928" t="s">
        <v>172</v>
      </c>
      <c r="C14" s="740" t="s">
        <v>153</v>
      </c>
      <c r="D14" s="740" t="s">
        <v>173</v>
      </c>
      <c r="E14" s="741" t="s">
        <v>174</v>
      </c>
      <c r="F14" s="740" t="s">
        <v>149</v>
      </c>
      <c r="G14" s="741" t="s">
        <v>175</v>
      </c>
      <c r="H14" s="741" t="s">
        <v>176</v>
      </c>
      <c r="I14" s="741" t="s">
        <v>177</v>
      </c>
      <c r="J14" s="112"/>
      <c r="K14" s="112"/>
      <c r="L14" s="112"/>
    </row>
    <row r="15" spans="1:49" outlineLevel="1">
      <c r="A15" s="740"/>
      <c r="B15" s="928"/>
      <c r="C15" s="742">
        <v>0</v>
      </c>
      <c r="D15" s="112" t="s">
        <v>178</v>
      </c>
      <c r="E15" s="245" t="str" cm="1">
        <f t="array" ref="E15:E45">_xlfn._xlws.FILTER(下拉菜单!BA1:BA988,下拉菜单!AZ1:AZ988=D15,"无匹配")</f>
        <v>两立柱柱片</v>
      </c>
      <c r="F15" s="112" t="str">
        <f>IFERROR(VLOOKUP('Price PDF'!C9,客户清单!B:D,2,0),"-")</f>
        <v>CPJ</v>
      </c>
      <c r="G15" s="743" t="str" cm="1">
        <f t="array" ref="G15:I39">_xlfn._xlws.FILTER(下拉菜单!BA1:BC1000,下拉菜单!AZ1:AZ1000=F15,"无匹配")</f>
        <v>新西兰divider</v>
      </c>
      <c r="H15" s="112">
        <v>0</v>
      </c>
      <c r="I15" s="112">
        <v>0</v>
      </c>
      <c r="J15" s="112"/>
      <c r="K15" s="112"/>
      <c r="L15" s="112"/>
    </row>
    <row r="16" spans="1:49" outlineLevel="1">
      <c r="A16" s="112" t="str">
        <f>E15</f>
        <v>两立柱柱片</v>
      </c>
      <c r="C16" s="112">
        <f>IF(A16&gt;0,C15+1,0)</f>
        <v>1</v>
      </c>
      <c r="E16" s="245" t="str">
        <v>柱片无脚底板</v>
      </c>
      <c r="F16" s="245"/>
      <c r="G16" s="122" t="str">
        <v>CPJ Bollards</v>
      </c>
      <c r="H16" s="112">
        <v>0</v>
      </c>
      <c r="I16" s="112">
        <v>0</v>
      </c>
      <c r="J16" s="112"/>
      <c r="K16" s="112"/>
      <c r="L16" s="112"/>
    </row>
    <row r="17" spans="1:12" outlineLevel="1">
      <c r="A17" s="112" t="str">
        <f t="shared" ref="A17:A25" si="0">E17</f>
        <v>单立柱+脚底板</v>
      </c>
      <c r="C17" s="112">
        <f t="shared" ref="C17:C20" si="1">IF(A17&gt;0,C16+1,0)</f>
        <v>2</v>
      </c>
      <c r="E17" s="245" t="str">
        <v>单立柱+脚底板</v>
      </c>
      <c r="F17" s="245"/>
      <c r="G17" s="122" t="str">
        <v>CPJ Back mesh L2743</v>
      </c>
      <c r="H17" s="112">
        <v>0</v>
      </c>
      <c r="I17" s="112">
        <v>0</v>
      </c>
      <c r="J17" s="112"/>
      <c r="K17" s="112"/>
      <c r="L17" s="112"/>
    </row>
    <row r="18" spans="1:12" outlineLevel="1">
      <c r="A18" s="112" t="str">
        <f t="shared" si="0"/>
        <v>单立柱</v>
      </c>
      <c r="C18" s="112">
        <f t="shared" si="1"/>
        <v>3</v>
      </c>
      <c r="E18" s="245" t="str">
        <v>单立柱</v>
      </c>
      <c r="F18" s="245"/>
      <c r="G18" s="122" t="str">
        <v>CPJ Back mesh L1372</v>
      </c>
      <c r="H18" s="112">
        <v>0</v>
      </c>
      <c r="I18" s="112">
        <v>0</v>
      </c>
      <c r="J18" s="112"/>
      <c r="K18" s="112"/>
      <c r="L18" s="112"/>
    </row>
    <row r="19" spans="1:12" outlineLevel="1">
      <c r="A19" s="112" t="str">
        <f t="shared" si="0"/>
        <v>一字隔撑</v>
      </c>
      <c r="C19" s="112">
        <f t="shared" si="1"/>
        <v>4</v>
      </c>
      <c r="E19" s="245" t="str">
        <v>一字隔撑</v>
      </c>
      <c r="F19" s="245"/>
      <c r="G19" s="122" t="str">
        <v>CPJ Cable Drum Holder D900</v>
      </c>
      <c r="H19" s="112">
        <v>0</v>
      </c>
      <c r="I19" s="112">
        <v>0</v>
      </c>
      <c r="J19" s="112"/>
      <c r="K19" s="112"/>
      <c r="L19" s="112"/>
    </row>
    <row r="20" spans="1:12" outlineLevel="1">
      <c r="A20" s="112" t="str">
        <f t="shared" si="0"/>
        <v>一字搁挡</v>
      </c>
      <c r="C20" s="112">
        <f t="shared" si="1"/>
        <v>5</v>
      </c>
      <c r="E20" s="245" t="str">
        <v>一字搁挡</v>
      </c>
      <c r="F20" s="245"/>
      <c r="G20" s="122" t="str">
        <v>CPJ Cable Drum Holder D900*W600</v>
      </c>
      <c r="H20" s="112">
        <v>0</v>
      </c>
      <c r="I20" s="112">
        <v>0</v>
      </c>
      <c r="J20" s="112"/>
      <c r="K20" s="112"/>
      <c r="L20" s="112"/>
    </row>
    <row r="21" spans="1:12" outlineLevel="1">
      <c r="A21" s="112" t="str">
        <f t="shared" si="0"/>
        <v>井字搁挡</v>
      </c>
      <c r="C21" s="112">
        <f t="shared" ref="C21:C48" si="2">IF(A21&gt;0,C20+1,0)</f>
        <v>6</v>
      </c>
      <c r="E21" s="245" t="str">
        <v>井字搁挡</v>
      </c>
      <c r="F21" s="245"/>
      <c r="G21" s="122" t="str">
        <v>CPJ Upright protector H400</v>
      </c>
      <c r="H21" s="112">
        <v>0</v>
      </c>
      <c r="I21" s="112">
        <v>0</v>
      </c>
      <c r="J21" s="112"/>
      <c r="K21" s="112"/>
      <c r="L21" s="112"/>
    </row>
    <row r="22" spans="1:12" outlineLevel="1">
      <c r="A22" s="112" t="str">
        <f t="shared" si="0"/>
        <v>BOX梁</v>
      </c>
      <c r="C22" s="112">
        <f t="shared" si="2"/>
        <v>7</v>
      </c>
      <c r="E22" s="245" t="str">
        <v>BOX梁</v>
      </c>
      <c r="F22" s="245"/>
      <c r="G22" s="122" t="str">
        <v>CPJ WMD D910</v>
      </c>
      <c r="H22" s="112">
        <v>0</v>
      </c>
      <c r="I22" s="112">
        <v>0</v>
      </c>
      <c r="J22" s="112"/>
      <c r="K22" s="112"/>
      <c r="L22" s="112"/>
    </row>
    <row r="23" spans="1:12" outlineLevel="1">
      <c r="A23" s="112" t="str">
        <f t="shared" si="0"/>
        <v>HS梁</v>
      </c>
      <c r="C23" s="112">
        <f t="shared" si="2"/>
        <v>8</v>
      </c>
      <c r="E23" s="245" t="str">
        <v>HS梁</v>
      </c>
      <c r="F23" s="245"/>
      <c r="G23" s="122" t="str">
        <v>CPJ WMD D1210</v>
      </c>
      <c r="H23" s="112">
        <v>0</v>
      </c>
      <c r="I23" s="112">
        <v>0</v>
      </c>
      <c r="J23" s="112"/>
      <c r="K23" s="112"/>
      <c r="L23" s="112"/>
    </row>
    <row r="24" spans="1:12" outlineLevel="1">
      <c r="A24" s="112" t="str">
        <f t="shared" si="0"/>
        <v>P型梁</v>
      </c>
      <c r="C24" s="112">
        <f t="shared" si="2"/>
        <v>9</v>
      </c>
      <c r="E24" s="245" t="str">
        <v>P型梁</v>
      </c>
      <c r="F24" s="245"/>
      <c r="G24" s="122" t="str">
        <v>CPJ  Arm L1200</v>
      </c>
      <c r="H24" s="112">
        <v>0</v>
      </c>
      <c r="I24" s="112">
        <v>0</v>
      </c>
      <c r="J24" s="112"/>
      <c r="K24" s="112"/>
      <c r="L24" s="112"/>
    </row>
    <row r="25" spans="1:12" outlineLevel="1">
      <c r="A25" s="112" t="str">
        <f t="shared" si="0"/>
        <v>C型梁</v>
      </c>
      <c r="C25" s="112">
        <f t="shared" si="2"/>
        <v>10</v>
      </c>
      <c r="E25" s="245" t="str">
        <v>C型梁</v>
      </c>
      <c r="F25" s="245"/>
      <c r="G25" s="122" t="str">
        <v>CPJ  Arm L900</v>
      </c>
      <c r="H25" s="112">
        <v>0</v>
      </c>
      <c r="I25" s="112">
        <v>0</v>
      </c>
      <c r="J25" s="112"/>
      <c r="K25" s="112"/>
      <c r="L25" s="112"/>
    </row>
    <row r="26" spans="1:12" outlineLevel="1">
      <c r="A26" s="112" t="str">
        <f>E28</f>
        <v>防撞栏</v>
      </c>
      <c r="C26" s="112">
        <f t="shared" si="2"/>
        <v>11</v>
      </c>
      <c r="E26" s="245" t="str">
        <v>L型梁</v>
      </c>
      <c r="F26" s="245"/>
      <c r="G26" s="122" t="str">
        <v>CPJ Shelf support L1200</v>
      </c>
      <c r="H26" s="112">
        <v>0</v>
      </c>
      <c r="I26" s="112">
        <v>0</v>
      </c>
      <c r="J26" s="112"/>
      <c r="K26" s="112"/>
      <c r="L26" s="112"/>
    </row>
    <row r="27" spans="1:12" outlineLevel="1">
      <c r="A27" s="112" t="str">
        <f>E27</f>
        <v>L角钢护脚</v>
      </c>
      <c r="C27" s="112">
        <f t="shared" si="2"/>
        <v>12</v>
      </c>
      <c r="E27" s="245" t="str">
        <v>L角钢护脚</v>
      </c>
      <c r="F27" s="245"/>
      <c r="G27" s="122" t="str">
        <v>CPJ Shelf support L900</v>
      </c>
      <c r="H27" s="112">
        <v>0</v>
      </c>
      <c r="I27" s="112">
        <v>0</v>
      </c>
      <c r="J27" s="112"/>
      <c r="K27" s="112"/>
      <c r="L27" s="112"/>
    </row>
    <row r="28" spans="1:12" outlineLevel="1">
      <c r="C28" s="112">
        <f t="shared" si="2"/>
        <v>0</v>
      </c>
      <c r="E28" s="245" t="str">
        <v>防撞栏</v>
      </c>
      <c r="F28" s="245"/>
      <c r="G28" s="122" t="str">
        <v>CPJ P80 W2743</v>
      </c>
      <c r="H28" s="112">
        <v>0</v>
      </c>
      <c r="I28" s="112">
        <v>0</v>
      </c>
      <c r="J28" s="112"/>
      <c r="K28" s="112"/>
      <c r="L28" s="112"/>
    </row>
    <row r="29" spans="1:12" outlineLevel="1">
      <c r="C29" s="112">
        <f t="shared" si="2"/>
        <v>0</v>
      </c>
      <c r="E29" s="245" t="str">
        <v>网层板</v>
      </c>
      <c r="F29" s="245"/>
      <c r="G29" s="122" t="str">
        <v>CPJ BOX80 W1372</v>
      </c>
      <c r="H29" s="112">
        <v>0</v>
      </c>
      <c r="I29" s="112">
        <v>0</v>
      </c>
      <c r="J29" s="112"/>
      <c r="K29" s="112"/>
      <c r="L29" s="112"/>
    </row>
    <row r="30" spans="1:12" outlineLevel="1">
      <c r="C30" s="112">
        <f t="shared" si="2"/>
        <v>0</v>
      </c>
      <c r="E30" s="245" t="str">
        <v>钢层板</v>
      </c>
      <c r="F30" s="245"/>
      <c r="G30" s="122" t="str">
        <v>CPJ BOX130 W3353</v>
      </c>
      <c r="H30" s="112">
        <v>0</v>
      </c>
      <c r="I30" s="112">
        <v>0</v>
      </c>
      <c r="J30" s="112"/>
      <c r="K30" s="112"/>
      <c r="L30" s="112"/>
    </row>
    <row r="31" spans="1:12" outlineLevel="1">
      <c r="C31" s="112">
        <f t="shared" si="2"/>
        <v>0</v>
      </c>
      <c r="E31" s="245" t="str">
        <v>立柱对接件1</v>
      </c>
      <c r="F31" s="245"/>
      <c r="G31" s="122" t="str">
        <v>CPJ BOX120 W3048</v>
      </c>
      <c r="H31" s="112">
        <v>0</v>
      </c>
      <c r="I31" s="112">
        <v>0</v>
      </c>
      <c r="J31" s="112"/>
      <c r="K31" s="112"/>
      <c r="L31" s="112"/>
    </row>
    <row r="32" spans="1:12" outlineLevel="1">
      <c r="C32" s="112">
        <f t="shared" si="2"/>
        <v>0</v>
      </c>
      <c r="E32" s="245" t="str">
        <v>立柱对接件-90内</v>
      </c>
      <c r="G32" s="122" t="str">
        <v>CPJ BOX110 W2743</v>
      </c>
      <c r="H32" s="112">
        <v>0</v>
      </c>
      <c r="I32" s="112">
        <v>0</v>
      </c>
      <c r="J32" s="112"/>
      <c r="K32" s="112"/>
      <c r="L32" s="112"/>
    </row>
    <row r="33" spans="3:12" outlineLevel="1">
      <c r="C33" s="112">
        <f t="shared" si="2"/>
        <v>0</v>
      </c>
      <c r="E33" s="245" t="str">
        <v>立柱对接件-90外</v>
      </c>
      <c r="G33" s="122" t="str">
        <v>CPJ FP90/100</v>
      </c>
      <c r="H33" s="112">
        <v>0</v>
      </c>
      <c r="I33" s="112">
        <v>0</v>
      </c>
      <c r="J33" s="112"/>
      <c r="K33" s="112"/>
      <c r="L33" s="112"/>
    </row>
    <row r="34" spans="3:12" outlineLevel="1">
      <c r="C34" s="112">
        <f t="shared" si="2"/>
        <v>0</v>
      </c>
      <c r="E34" s="245" t="str">
        <v>三立柱柱片</v>
      </c>
      <c r="G34" s="122" t="str">
        <v>CPJ M8*25  dome head with hex inset head</v>
      </c>
      <c r="H34" s="112">
        <v>0</v>
      </c>
      <c r="I34" s="112">
        <v>0</v>
      </c>
      <c r="J34" s="112"/>
      <c r="K34" s="112"/>
      <c r="L34" s="112"/>
    </row>
    <row r="35" spans="3:12" outlineLevel="1">
      <c r="E35" s="245" t="str">
        <v>单立柱隔撑</v>
      </c>
      <c r="G35" s="122" t="str">
        <v>CPJ M10*20  8.12G</v>
      </c>
      <c r="H35" s="112">
        <v>0</v>
      </c>
      <c r="I35" s="112">
        <v>0</v>
      </c>
      <c r="J35" s="112"/>
      <c r="K35" s="112"/>
      <c r="L35" s="112"/>
    </row>
    <row r="36" spans="3:12" outlineLevel="1">
      <c r="E36" s="245" t="str">
        <v>横斜撑</v>
      </c>
      <c r="G36" s="122" t="str">
        <v>CPJ M10.L65.Socket.Wz</v>
      </c>
      <c r="H36" s="112">
        <v>0</v>
      </c>
      <c r="I36" s="112">
        <v>0</v>
      </c>
      <c r="J36" s="112"/>
      <c r="K36" s="112"/>
      <c r="L36" s="112"/>
    </row>
    <row r="37" spans="3:12" outlineLevel="1">
      <c r="E37" s="245" t="str">
        <v>脚底板套装</v>
      </c>
      <c r="G37" s="122" t="str">
        <v>CPJ FP85</v>
      </c>
      <c r="H37" s="112">
        <v>0</v>
      </c>
      <c r="I37" s="112">
        <v>0</v>
      </c>
      <c r="J37" s="112"/>
      <c r="K37" s="112"/>
      <c r="L37" s="112"/>
    </row>
    <row r="38" spans="3:12" outlineLevel="1">
      <c r="E38" s="245" t="str">
        <v>地轨</v>
      </c>
      <c r="G38" s="122" t="str">
        <v>CPJ 单边悬臂</v>
      </c>
      <c r="H38" s="112">
        <v>0</v>
      </c>
      <c r="I38" s="112">
        <v>0</v>
      </c>
      <c r="J38" s="112"/>
      <c r="K38" s="112"/>
      <c r="L38" s="112"/>
    </row>
    <row r="39" spans="3:12" outlineLevel="1">
      <c r="E39" s="245" t="str">
        <v>地轨转角</v>
      </c>
      <c r="G39" s="122" t="str">
        <v>CPJ 双边悬臂</v>
      </c>
      <c r="H39" s="112">
        <v>0</v>
      </c>
      <c r="I39" s="112">
        <v>0</v>
      </c>
      <c r="J39" s="112"/>
      <c r="K39" s="112"/>
      <c r="L39" s="112"/>
    </row>
    <row r="40" spans="3:12" outlineLevel="1">
      <c r="E40" s="245" t="str">
        <v>托盘后挡</v>
      </c>
      <c r="G40" s="122"/>
      <c r="J40" s="112"/>
      <c r="K40" s="112"/>
      <c r="L40" s="112"/>
    </row>
    <row r="41" spans="3:12" outlineLevel="1">
      <c r="C41" s="112">
        <f>IF(A41&gt;0,C34+1,0)</f>
        <v>0</v>
      </c>
      <c r="E41" s="245" t="str">
        <v>水平拉</v>
      </c>
      <c r="G41" s="122"/>
      <c r="J41" s="112"/>
      <c r="K41" s="112"/>
      <c r="L41" s="112"/>
    </row>
    <row r="42" spans="3:12" outlineLevel="1">
      <c r="C42" s="112">
        <f t="shared" si="2"/>
        <v>0</v>
      </c>
      <c r="E42" s="245" t="str">
        <v>驶入式护脚</v>
      </c>
      <c r="G42" s="122"/>
      <c r="J42" s="112"/>
      <c r="K42" s="112"/>
      <c r="L42" s="112"/>
    </row>
    <row r="43" spans="3:12" outlineLevel="1">
      <c r="C43" s="112">
        <f t="shared" si="2"/>
        <v>0</v>
      </c>
      <c r="E43" s="245" t="str">
        <v>L折弯护脚</v>
      </c>
      <c r="G43" s="122"/>
      <c r="J43" s="112"/>
      <c r="K43" s="112"/>
      <c r="L43" s="112"/>
    </row>
    <row r="44" spans="3:12" outlineLevel="1">
      <c r="C44" s="112">
        <f t="shared" si="2"/>
        <v>0</v>
      </c>
      <c r="E44" s="245" t="str">
        <v>P&amp;D梁</v>
      </c>
      <c r="G44" s="122"/>
      <c r="J44" s="112"/>
      <c r="K44" s="112"/>
      <c r="L44" s="112"/>
    </row>
    <row r="45" spans="3:12" outlineLevel="1">
      <c r="C45" s="112">
        <f t="shared" si="2"/>
        <v>0</v>
      </c>
      <c r="E45" s="245">
        <v>0</v>
      </c>
      <c r="G45" s="122"/>
      <c r="J45" s="112"/>
      <c r="K45" s="112"/>
      <c r="L45" s="112"/>
    </row>
    <row r="46" spans="3:12">
      <c r="C46" s="112">
        <f>IF(A46&gt;0,#REF!+1,0)</f>
        <v>0</v>
      </c>
      <c r="J46" s="112"/>
      <c r="K46" s="112"/>
      <c r="L46" s="112"/>
    </row>
    <row r="47" spans="3:12">
      <c r="C47" s="112">
        <f t="shared" si="2"/>
        <v>0</v>
      </c>
      <c r="J47" s="112"/>
      <c r="K47" s="112"/>
      <c r="L47" s="112"/>
    </row>
    <row r="48" spans="3:12">
      <c r="C48" s="112">
        <f t="shared" si="2"/>
        <v>0</v>
      </c>
      <c r="J48" s="112"/>
      <c r="K48" s="112"/>
      <c r="L48" s="112"/>
    </row>
    <row r="49" spans="1:12" ht="49.5" customHeight="1">
      <c r="A49" s="744"/>
      <c r="B49" s="745" t="s">
        <v>37</v>
      </c>
      <c r="C49" s="746" t="s">
        <v>179</v>
      </c>
      <c r="D49" s="746" t="s">
        <v>180</v>
      </c>
      <c r="E49" s="746" t="s">
        <v>181</v>
      </c>
      <c r="F49" s="746" t="s">
        <v>182</v>
      </c>
      <c r="G49" s="747" t="s">
        <v>183</v>
      </c>
      <c r="H49" s="748" t="s">
        <v>49</v>
      </c>
      <c r="I49" s="749" t="s">
        <v>39</v>
      </c>
      <c r="J49" s="418" t="s">
        <v>142</v>
      </c>
      <c r="K49" s="54"/>
      <c r="L49" s="54"/>
    </row>
  </sheetData>
  <protectedRanges>
    <protectedRange sqref="G1850" name="区域1_1_1"/>
    <protectedRange sqref="AE1851 G1851 S1851" name="区域1_1_1_1"/>
    <protectedRange sqref="S1852" name="区域1_1_1_2"/>
    <protectedRange sqref="AE1853:AE1854 U1853:U1854 S1853:S1854" name="区域1_1_1_3"/>
    <protectedRange sqref="G1856" name="区域1_1_1_4"/>
    <protectedRange sqref="AE1857 G1857 S1857" name="区域1_1_1_5"/>
    <protectedRange sqref="S1858" name="区域1_1_1_12"/>
    <protectedRange sqref="AE1859:AE1860 U1859:U1860 S1859:S1860" name="区域1_1_1_13"/>
    <protectedRange sqref="G1862" name="区域1_1_1_14"/>
    <protectedRange sqref="AE1863 G1863 S1863" name="区域1_1_1_15"/>
    <protectedRange sqref="S1864" name="区域1_1_1_16"/>
    <protectedRange sqref="AE1865:AE1866 U1865:U1866 S1865:S1866" name="区域1_1_1_17"/>
    <protectedRange sqref="G1868" name="区域1_1_1_18"/>
    <protectedRange sqref="AE1869 G1869 S1869" name="区域1_1_1_19"/>
    <protectedRange sqref="S1870" name="区域1_1_1_20"/>
    <protectedRange sqref="AE1871:AE1872 U1871:U1872 S1871:S1872" name="区域1_1_1_21"/>
    <protectedRange sqref="Q1828 D1828:F1828" name="区域1_1_4"/>
    <protectedRange sqref="D1829:F1829" name="区域2_1_3"/>
    <protectedRange sqref="B1829:C1829" name="区域1_1_5"/>
    <protectedRange sqref="B1830:C1830" name="区域2_1_4"/>
    <protectedRange sqref="B1831:C1831" name="区域2_1_5"/>
    <protectedRange sqref="G1770" name="区域1_1_1_32"/>
    <protectedRange sqref="AE1771 G1771 S1771" name="区域1_1_1_33"/>
    <protectedRange sqref="S1772" name="区域1_1_1_34"/>
    <protectedRange sqref="AE1773:AE1774 U1773:U1774 S1773:S1774" name="区域1_1_1_35"/>
    <protectedRange sqref="G1776" name="区域1_1_1_36"/>
    <protectedRange sqref="AE1777 G1777 S1777" name="区域1_1_1_37"/>
    <protectedRange sqref="S1778" name="区域1_1_1_38"/>
    <protectedRange sqref="AE1779:AE1780 U1779:U1780 S1779:S1780" name="区域1_1_1_39"/>
    <protectedRange sqref="G1782" name="区域1_1_1_40"/>
    <protectedRange sqref="AE1783 G1783 S1783" name="区域1_1_1_41"/>
    <protectedRange sqref="S1784" name="区域1_1_1_42"/>
    <protectedRange sqref="AE1785:AE1786 U1785:U1786 S1785:S1786" name="区域1_1_1_43"/>
    <protectedRange sqref="G1745" name="区域1_1_2"/>
    <protectedRange sqref="G1746" name="区域1_1_2_1"/>
    <protectedRange sqref="G1593 G1661" name="区域1_1_1_6"/>
    <protectedRange sqref="AE1594 G1594 S1594 AE1662 G1662 S1662" name="区域1_1_1_7"/>
    <protectedRange sqref="S1595 S1663" name="区域1_1_1_8"/>
    <protectedRange sqref="S1664:S1665 U1596:U1597 S1596:S1597 AE1596:AE1597 AE1664:AE1665 U1664:U1665" name="区域1_1_1_9"/>
    <protectedRange sqref="G1604 G1672" name="区域1_1_1_24"/>
    <protectedRange sqref="AE1605 G1605 S1605 AE1673 G1673 S1673" name="区域1_1_1_25"/>
    <protectedRange sqref="S1606 S1674" name="区域1_1_1_26"/>
    <protectedRange sqref="AE1607:AE1608 U1607:U1608 S1607:S1608 AE1675:AE1676 U1675:U1676 S1675:S1676" name="区域1_1_1_27"/>
    <protectedRange sqref="G1558 G1625 G1693" name="区域1_1_2_2"/>
    <protectedRange sqref="G1559 G1626 G1694" name="区域1_1_2_3"/>
    <protectedRange sqref="G1564 G1631 G1699" name="区域1_1_2_6"/>
    <protectedRange sqref="G1565 G1632 G1700" name="区域1_1_2_7"/>
    <protectedRange sqref="G1486" name="区域1_1_1_28"/>
    <protectedRange sqref="AE1487 G1487 S1487" name="区域1_1_1_29"/>
    <protectedRange sqref="S1488" name="区域1_1_1_30"/>
    <protectedRange sqref="AE1489:AE1490 U1489:U1490 S1489:S1490" name="区域1_1_1_31"/>
    <protectedRange sqref="G1492" name="区域1_1_2_4"/>
    <protectedRange sqref="G1493" name="区域1_1_2_5"/>
    <protectedRange sqref="G1498" name="区域1_1_2_8"/>
    <protectedRange sqref="G1499" name="区域1_1_2_9"/>
    <protectedRange sqref="G953 G978 G1003 G1022 G1047 G1072 G1091 G1110 G1249 G1293 G1318 G1343" name="区域1_1_1_10"/>
    <protectedRange sqref="AE954 G954 S954 AE979 G979 S979 AE1004 G1004 S1004 AE1023 G1023 S1023 AE1048 G1048 S1048 AE1073 G1073 S1073 AE1092 G1092 S1092 AE1111 G1111 S1111 AE1250 G1250 S1250 AE1294 G1294 S1294 AE1319 G1319 S1319 AE1344 G1344 S1344" name="区域1_1_1_11"/>
    <protectedRange sqref="S955 S980 S1005 S1024 S1049 S1074 S1093 S1112 S1251 S1295 S1320 S1345" name="区域1_1_1_22"/>
    <protectedRange sqref="AE956:AE957 U956:U957 S956:S957 AE981:AE982 U981:U982 S981:S982 AE1006:AE1007 U1006:U1007 S1006:S1007 AE1025:AE1026 U1025:U1026 S1025:S1026 AE1050:AE1051 U1050:U1051 S1050:S1051 AE1075:AE1076 U1075:U1076 S1075:S1076 AE1094:AE1095 U1094:U1095 S1094:S1095 AE1113:AE1114 U1113:U1114 S1113:S1114 AE1252:AE1253 U1252:U1253 S1252:S1253 AE1296:AE1297 U1296:U1297 S1296:S1297 AE1321:AE1322 U1321:U1322 S1321:S1322 AE1346:AE1347 U1346:U1347 S1346:S1347" name="区域1_1_1_23"/>
    <protectedRange sqref="G959 G984 G1028 G1066 G1116 G1135 G1154 G1173 G1192 G1211 G1230 G1255 G1274 G1299 G1324 G1349" name="区域1_1_1_44"/>
    <protectedRange sqref="AE960 G960 S960 AE985 G985 S985 AE1029 G1029 S1029 AE1067 G1067 S1067 AE1117 G1117 S1117 AE1136 G1136 S1136 AE1155 G1155 S1155 AE1174 G1174 S1174 AE1193 G1193 S1193 AE1212 G1212 S1212 AE1231 G1231 S1231 AE1256 G1256 S1256 AE1275 G1275 S1275 AE1300 G1300 S1300 AE1325 G1325 S1325 AE1350 G1350 S1350" name="区域1_1_1_45"/>
    <protectedRange sqref="S961 S986 S1030 S1068 S1118 S1137 S1156 S1175 S1194 S1213 S1232 S1257 S1276 S1301 S1326 S1351" name="区域1_1_1_46"/>
    <protectedRange sqref="AE962:AE963 U962:U963 S962:S963 AE987:AE988 U987:U988 S987:S988 AE1031:AE1032 U1031:U1032 S1031:S1032 AE1069:AE1070 U1069:U1070 S1069:S1070 AE1119:AE1120 U1119:U1120 S1119:S1120 AE1138:AE1139 U1138:U1139 S1138:S1139 AE1157:AE1158 U1157:U1158 S1157:S1158 AE1176:AE1177 U1176:U1177 S1176:S1177 AE1195:AE1196 U1195:U1196 S1195:S1196 AE1214:AE1215 U1214:U1215 S1214:S1215 AE1233:AE1234 U1233:U1234 S1233:S1234 AE1258:AE1259 U1258:U1259 S1258:S1259 AE1277:AE1278 U1277:U1278 S1277:S1278 AE1302:AE1303 U1302:U1303 S1302:S1303 AE1327:AE1328 U1327:U1328 S1327:S1328 AE1352:AE1353 U1352:U1353 S1352:S1353" name="区域1_1_1_47"/>
    <protectedRange sqref="G890" name="区域1_1_2_10"/>
    <protectedRange sqref="G891" name="区域1_1_2_11"/>
    <protectedRange sqref="G897" name="区域1_1_2_12"/>
    <protectedRange sqref="G898" name="区域1_1_2_13"/>
    <protectedRange sqref="G781" name="区域1_1_2_15"/>
    <protectedRange sqref="G786" name="区域1_1_2_16"/>
    <protectedRange sqref="G787" name="区域1_1_2_17"/>
    <protectedRange sqref="G792" name="区域1_1_2_18"/>
    <protectedRange sqref="G793" name="区域1_1_2_19"/>
    <protectedRange sqref="G798" name="区域1_1_2_30"/>
    <protectedRange sqref="G799" name="区域1_1_2_31"/>
    <protectedRange sqref="AE692 U692 S692" name="区域1_1_1_55"/>
    <protectedRange sqref="G694" name="区域1_1_2_14"/>
    <protectedRange sqref="G695" name="区域1_1_2_20"/>
    <protectedRange sqref="G700" name="区域1_1_2_21"/>
    <protectedRange sqref="G701" name="区域1_1_2_22"/>
    <protectedRange sqref="G679" name="区域1_1_2_23"/>
    <protectedRange sqref="G680" name="区域1_1_2_24"/>
    <protectedRange sqref="G611" name="区域1_1_1_10_1"/>
    <protectedRange sqref="AE612 G612 S612" name="区域1_1_1_11_1"/>
    <protectedRange sqref="S613" name="区域1_1_1_22_1"/>
    <protectedRange sqref="AE614:AE615 U614:U615 S614:S615" name="区域1_1_1_23_1"/>
    <protectedRange sqref="G439" name="区域1_1_1_44_1"/>
    <protectedRange sqref="AE440 G440 S440" name="区域1_1_1_45_1"/>
    <protectedRange sqref="S441" name="区域1_1_1_46_1"/>
    <protectedRange sqref="AE442:AE443 U442:U443 S442:S443" name="区域1_1_1_47_1"/>
    <protectedRange sqref="G457 G463 G469" name="区域1_1_2_10_1"/>
    <protectedRange sqref="G458 G464 G470" name="区域1_1_2_11_1"/>
    <protectedRange sqref="G475 G529 G481 G487 G493 G545 G499 G505 G511 G517 G551 G523" name="区域1_1_1_48"/>
    <protectedRange sqref="AE476 G476 S476 AE530 G530 S530 AE482 G482 S482 AE488 G488 S488 AE494 G494 S494 AE546 G546 S546 AE500 G500 S500 AE506 G506 S506 AE512 G512 S512 AE518 G518 S518 AE552 G552 S552 AE524 G524 S524" name="区域1_1_1_49"/>
    <protectedRange sqref="S477 S531 S483 S489 S495 S547 S501 S507 S513 S519 S553 S525" name="区域1_1_1_50"/>
    <protectedRange sqref="AE478:AE479 U478:U479 S478:S479 AE532:AE533 U532:U533 S532:S533 AE484:AE485 U484:U485 S484:S485 AE490:AE491 U490:U491 S490:S491 AE496:AE497 U496:U497 S496:S497 AE548:AE549 U548:U549 S548:S549 AE502:AE503 U502:U503 S502:S503 AE508:AE509 U508:U509 S508:S509 AE514:AE515 U514:U515 S514:S515 AE520:AE521 U520:U521 S520:S521 AE554:AE555 U554:U555 S554:S555 AE526:AE527 U526:U527 S526:S527" name="区域1_1_1_51"/>
    <protectedRange sqref="Q591 D591:F591" name="区域1_1"/>
    <protectedRange sqref="D592:F592" name="区域2_1"/>
    <protectedRange sqref="B592:C592" name="区域1_1_3"/>
    <protectedRange sqref="B593:C593" name="区域2_1_1"/>
    <protectedRange sqref="B594:C594" name="区域2_1_2"/>
    <protectedRange sqref="AE638 AE640 U640 G637:G638 S638:S640 AE644 AE646 U646 G643:G644 S644:S646 AE660 AE662 U662 G659:G660 S660:S662" name="区域1_1_1_52"/>
    <protectedRange sqref="AE281 U281 S281" name="区域1_1_1_55_1"/>
    <protectedRange sqref="G213" name="区域1_1_2_35"/>
    <protectedRange sqref="G214" name="区域1_1_2_36"/>
    <protectedRange sqref="G220" name="区域1_1_2_37"/>
    <protectedRange sqref="G221" name="区域1_1_2_38"/>
    <protectedRange sqref="G64" name="区域1_1_2_25"/>
    <protectedRange sqref="G65" name="区域1_1_2_26"/>
    <protectedRange sqref="G71" name="区域1_1_2_27"/>
    <protectedRange sqref="G72" name="区域1_1_2_28"/>
  </protectedRanges>
  <mergeCells count="3">
    <mergeCell ref="G3:I3"/>
    <mergeCell ref="B14:B15"/>
    <mergeCell ref="C5:F11"/>
  </mergeCells>
  <phoneticPr fontId="120" type="noConversion"/>
  <conditionalFormatting sqref="F1">
    <cfRule type="containsErrors" dxfId="276" priority="5928">
      <formula>ISERROR(F1)</formula>
    </cfRule>
    <cfRule type="containsText" dxfId="275" priority="5929" operator="containsText" text="#REF!">
      <formula>NOT(ISERROR(SEARCH("#REF!",F1)))</formula>
    </cfRule>
  </conditionalFormatting>
  <conditionalFormatting sqref="I1">
    <cfRule type="containsErrors" dxfId="274" priority="5926">
      <formula>ISERROR(I1)</formula>
    </cfRule>
    <cfRule type="containsText" dxfId="273" priority="5927" operator="containsText" text="#REF!">
      <formula>NOT(ISERROR(SEARCH("#REF!",I1)))</formula>
    </cfRule>
  </conditionalFormatting>
  <conditionalFormatting sqref="K1">
    <cfRule type="containsErrors" dxfId="272" priority="5924">
      <formula>ISERROR(K1)</formula>
    </cfRule>
    <cfRule type="containsText" dxfId="271" priority="5925" operator="containsText" text="#REF!">
      <formula>NOT(ISERROR(SEARCH("#REF!",K1)))</formula>
    </cfRule>
  </conditionalFormatting>
  <conditionalFormatting sqref="C2:D2 A2:B11 C3:C5 G2:I8 I9:I11 N2:XFD2 N3:N11 F15:N31 G14:N14 C12:N13 P3:XFD48 C32:N48 C16:D31 A12:A49 E3:F4 F2 G1">
    <cfRule type="cellIs" dxfId="270" priority="12085" operator="equal">
      <formula>0</formula>
    </cfRule>
  </conditionalFormatting>
  <conditionalFormatting sqref="P49:XFD49 B49:N49">
    <cfRule type="cellIs" dxfId="269" priority="11476" operator="equal">
      <formula>0</formula>
    </cfRule>
  </conditionalFormatting>
  <dataValidations count="1">
    <dataValidation type="list" allowBlank="1" showInputMessage="1" showErrorMessage="1" sqref="E1 H1" xr:uid="{00000000-0002-0000-0400-000000000000}">
      <formula1>"50,75,76.2,"</formula1>
    </dataValidation>
  </dataValidations>
  <hyperlinks>
    <hyperlink ref="D1" location="报价辅助计算!A14" display="回到顶部" xr:uid="{00000000-0004-0000-0400-000000000000}"/>
    <hyperlink ref="G1" r:id="rId1" xr:uid="{00000000-0004-0000-0400-000001000000}"/>
  </hyperlinks>
  <pageMargins left="0.7" right="0.7" top="0.75" bottom="0.75" header="0.3" footer="0.3"/>
  <pageSetup paperSize="9" orientation="portrait"/>
  <drawing r:id="rId2"/>
  <legacyDrawing r:id="rId3"/>
  <mc:AlternateContent xmlns:mc="http://schemas.openxmlformats.org/markup-compatibility/2006">
    <mc:Choice Requires="x14">
      <controls>
        <mc:AlternateContent xmlns:mc="http://schemas.openxmlformats.org/markup-compatibility/2006">
          <mc:Choice Requires="x14">
            <control shapeId="123006" r:id="rId4" name="Button 126">
              <controlPr defaultSize="0" print="0" autoPict="0" macro="[0]!ThisWorkbook.CopyTemplates">
                <anchor moveWithCells="1" sizeWithCells="1">
                  <from>
                    <xdr:col>1</xdr:col>
                    <xdr:colOff>38100</xdr:colOff>
                    <xdr:row>0</xdr:row>
                    <xdr:rowOff>104775</xdr:rowOff>
                  </from>
                  <to>
                    <xdr:col>1</xdr:col>
                    <xdr:colOff>1476375</xdr:colOff>
                    <xdr:row>0</xdr:row>
                    <xdr:rowOff>628650</xdr:rowOff>
                  </to>
                </anchor>
              </controlPr>
            </control>
          </mc:Choice>
        </mc:AlternateContent>
        <mc:AlternateContent xmlns:mc="http://schemas.openxmlformats.org/markup-compatibility/2006">
          <mc:Choice Requires="x14">
            <control shapeId="123014" r:id="rId5" name="Button 134">
              <controlPr defaultSize="0" print="0" autoPict="0" macro="[0]!DeleteAllRowsAfterNO">
                <anchor moveWithCells="1" sizeWithCells="1">
                  <from>
                    <xdr:col>2</xdr:col>
                    <xdr:colOff>57150</xdr:colOff>
                    <xdr:row>0</xdr:row>
                    <xdr:rowOff>104775</xdr:rowOff>
                  </from>
                  <to>
                    <xdr:col>2</xdr:col>
                    <xdr:colOff>1495425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1000000}">
          <x14:formula1>
            <xm:f>下拉菜单!$J:$J</xm:f>
          </x14:formula1>
          <xm:sqref>F1</xm:sqref>
        </x14:dataValidation>
        <x14:dataValidation type="list" allowBlank="1" showInputMessage="1" showErrorMessage="1" xr:uid="{00000000-0002-0000-0400-000002000000}">
          <x14:formula1>
            <xm:f>下拉菜单!$K:$K</xm:f>
          </x14:formula1>
          <xm:sqref>I1</xm:sqref>
        </x14:dataValidation>
        <x14:dataValidation type="list" allowBlank="1" showInputMessage="1" showErrorMessage="1" xr:uid="{00000000-0002-0000-0400-000003000000}">
          <x14:formula1>
            <xm:f>下拉菜单!$M:$M</xm:f>
          </x14:formula1>
          <xm:sqref>K1</xm:sqref>
        </x14:dataValidation>
        <x14:dataValidation type="list" allowBlank="1" showInputMessage="1" showErrorMessage="1" xr:uid="{00000000-0002-0000-0400-000004000000}">
          <x14:formula1>
            <xm:f>下拉菜单!$AT:$AT</xm:f>
          </x14:formula1>
          <xm:sqref>D15</xm:sqref>
        </x14:dataValidation>
        <x14:dataValidation type="list" allowBlank="1" showInputMessage="1" showErrorMessage="1" xr:uid="{00000000-0002-0000-0400-000005000000}">
          <x14:formula1>
            <xm:f>下拉菜单!$AV:$AV</xm:f>
          </x14:formula1>
          <xm:sqref>A14:A15 A48:A49</xm:sqref>
        </x14:dataValidation>
        <x14:dataValidation type="list" allowBlank="1" showInputMessage="1" xr:uid="{00000000-0002-0000-0400-000006000000}">
          <x14:formula1>
            <xm:f>下拉菜单!$AV:$AV</xm:f>
          </x14:formula1>
          <xm:sqref>A16:A47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tabColor rgb="FF92D050"/>
  </sheetPr>
  <dimension ref="A1:CX812"/>
  <sheetViews>
    <sheetView zoomScale="70" zoomScaleNormal="70" workbookViewId="0">
      <pane xSplit="1" ySplit="13" topLeftCell="E422" activePane="bottomRight" state="frozen"/>
      <selection pane="topRight"/>
      <selection pane="bottomLeft"/>
      <selection pane="bottomRight" activeCell="Q437" sqref="Q437"/>
    </sheetView>
  </sheetViews>
  <sheetFormatPr defaultColWidth="9" defaultRowHeight="14.25" outlineLevelRow="1"/>
  <cols>
    <col min="1" max="1" width="4.875" style="380" customWidth="1"/>
    <col min="2" max="2" width="20" style="380" customWidth="1"/>
    <col min="3" max="3" width="38.625" style="380" customWidth="1"/>
    <col min="4" max="4" width="31.25" style="380" customWidth="1"/>
    <col min="5" max="5" width="69" style="381" customWidth="1"/>
    <col min="6" max="6" width="34.625" style="380" customWidth="1"/>
    <col min="7" max="7" width="20" style="380" customWidth="1"/>
    <col min="8" max="9" width="20" style="382" customWidth="1"/>
    <col min="10" max="10" width="19.875" style="383" customWidth="1"/>
    <col min="11" max="11" width="9" style="255" customWidth="1"/>
    <col min="12" max="12" width="14" style="255" customWidth="1"/>
    <col min="13" max="14" width="9" style="255" customWidth="1"/>
    <col min="15" max="15" width="13.125" style="255" customWidth="1"/>
    <col min="16" max="17" width="9" style="255" customWidth="1"/>
    <col min="18" max="18" width="12.25" style="383" customWidth="1"/>
    <col min="19" max="19" width="14" style="383" customWidth="1"/>
    <col min="20" max="20" width="12.25" style="383" customWidth="1"/>
    <col min="21" max="21" width="11.75" style="383" customWidth="1"/>
    <col min="22" max="23" width="13.25" style="383" customWidth="1"/>
    <col min="24" max="24" width="11.125" style="383" customWidth="1"/>
    <col min="25" max="25" width="11.125" style="255" customWidth="1"/>
    <col min="26" max="26" width="12.625" style="255" customWidth="1"/>
    <col min="27" max="27" width="31.375" style="255" customWidth="1"/>
    <col min="28" max="28" width="11.5" style="255" customWidth="1"/>
    <col min="29" max="29" width="10.125" style="255" customWidth="1"/>
    <col min="30" max="34" width="13.25" style="255" customWidth="1"/>
    <col min="35" max="35" width="14.875" style="255" customWidth="1"/>
    <col min="36" max="38" width="13.25" style="255" customWidth="1"/>
    <col min="39" max="39" width="36.625" style="255" customWidth="1"/>
    <col min="40" max="40" width="10.5" style="255" customWidth="1"/>
    <col min="41" max="42" width="13.625" style="255" customWidth="1"/>
    <col min="43" max="43" width="13.625" style="384" customWidth="1"/>
    <col min="44" max="44" width="11.125" style="255" customWidth="1"/>
    <col min="45" max="47" width="15.5" style="255" customWidth="1"/>
    <col min="48" max="48" width="13.25" style="255" customWidth="1"/>
    <col min="49" max="49" width="14.375" style="255" customWidth="1"/>
    <col min="50" max="50" width="29" style="255" customWidth="1"/>
    <col min="51" max="51" width="11.375" style="255" customWidth="1"/>
    <col min="52" max="52" width="13.375" style="255" customWidth="1"/>
    <col min="53" max="53" width="13" style="255" customWidth="1"/>
    <col min="54" max="54" width="9" style="255" customWidth="1"/>
    <col min="55" max="55" width="19.75" style="255" customWidth="1"/>
    <col min="56" max="56" width="19.625" style="255" customWidth="1"/>
    <col min="57" max="59" width="14.125" style="255" customWidth="1"/>
    <col min="60" max="60" width="13.25" style="255" customWidth="1"/>
    <col min="61" max="61" width="13.375" style="255" customWidth="1"/>
    <col min="62" max="63" width="9" style="255" customWidth="1"/>
    <col min="64" max="64" width="11.875" style="255" customWidth="1"/>
    <col min="65" max="77" width="9" style="255" customWidth="1"/>
    <col min="78" max="79" width="18.75" style="255" customWidth="1"/>
    <col min="80" max="80" width="21.75" style="255" customWidth="1"/>
    <col min="81" max="81" width="18.75" style="255" customWidth="1"/>
    <col min="82" max="82" width="21.75" style="255" customWidth="1"/>
    <col min="83" max="84" width="18.75" style="255" customWidth="1"/>
    <col min="85" max="85" width="9" style="257"/>
    <col min="86" max="99" width="9" style="255"/>
    <col min="100" max="100" width="9" style="385"/>
    <col min="101" max="16384" width="9" style="255"/>
  </cols>
  <sheetData>
    <row r="1" spans="1:100" customFormat="1" ht="30" customHeight="1">
      <c r="A1" s="112"/>
      <c r="B1" s="112"/>
      <c r="C1" s="112"/>
      <c r="D1" s="122" t="s">
        <v>165</v>
      </c>
      <c r="E1" s="245"/>
      <c r="F1" s="112"/>
      <c r="G1" s="112" t="s">
        <v>184</v>
      </c>
      <c r="H1" s="386"/>
      <c r="I1" s="386"/>
      <c r="J1" s="387"/>
      <c r="R1" s="387"/>
      <c r="S1" s="387"/>
      <c r="T1" s="387"/>
      <c r="U1" s="387"/>
      <c r="V1" s="387"/>
      <c r="W1" s="387"/>
      <c r="X1" s="387"/>
      <c r="AQ1" s="110"/>
      <c r="CG1" s="122"/>
      <c r="CV1" s="388"/>
    </row>
    <row r="2" spans="1:100" customFormat="1" ht="30" hidden="1" customHeight="1" outlineLevel="1">
      <c r="A2" s="112"/>
      <c r="B2" s="112"/>
      <c r="C2" s="112"/>
      <c r="D2" s="927" t="s">
        <v>185</v>
      </c>
      <c r="E2" s="927"/>
      <c r="F2" s="927"/>
      <c r="G2" s="389">
        <v>45468</v>
      </c>
      <c r="H2" s="390" t="s">
        <v>186</v>
      </c>
      <c r="I2" s="386"/>
      <c r="J2" s="387"/>
      <c r="R2" s="387"/>
      <c r="S2" s="387"/>
      <c r="T2" s="387"/>
      <c r="U2" s="387"/>
      <c r="V2" s="387"/>
      <c r="W2" s="387"/>
      <c r="X2" s="387"/>
      <c r="AQ2" s="110"/>
      <c r="CG2" s="122"/>
      <c r="CV2" s="388"/>
    </row>
    <row r="3" spans="1:100" customFormat="1" ht="30" hidden="1" customHeight="1" outlineLevel="1">
      <c r="A3" s="112"/>
      <c r="B3" s="112"/>
      <c r="C3" s="112"/>
      <c r="D3" t="s">
        <v>187</v>
      </c>
      <c r="G3" s="389">
        <v>45473</v>
      </c>
      <c r="H3" s="390" t="s">
        <v>188</v>
      </c>
      <c r="I3" s="386"/>
      <c r="J3" s="387"/>
      <c r="R3" s="387"/>
      <c r="S3" s="387"/>
      <c r="T3" s="387"/>
      <c r="U3" s="387"/>
      <c r="V3" s="387"/>
      <c r="W3" s="387"/>
      <c r="X3" s="387"/>
      <c r="AQ3" s="110"/>
      <c r="CG3" s="122"/>
      <c r="CV3" s="388"/>
    </row>
    <row r="4" spans="1:100" customFormat="1" ht="30" hidden="1" customHeight="1" outlineLevel="1">
      <c r="A4" s="112"/>
      <c r="B4" s="112"/>
      <c r="C4" s="112"/>
      <c r="D4" s="122" t="s">
        <v>189</v>
      </c>
      <c r="E4" s="122"/>
      <c r="F4" s="122"/>
      <c r="G4" s="389">
        <v>45474</v>
      </c>
      <c r="H4" s="386" t="s">
        <v>190</v>
      </c>
      <c r="I4" s="386"/>
      <c r="J4" s="387"/>
      <c r="R4" s="387"/>
      <c r="S4" s="387"/>
      <c r="T4" s="387"/>
      <c r="U4" s="387"/>
      <c r="V4" s="387"/>
      <c r="W4" s="387"/>
      <c r="X4" s="387"/>
      <c r="AQ4" s="110"/>
      <c r="CG4" s="122"/>
      <c r="CV4" s="388"/>
    </row>
    <row r="5" spans="1:100" customFormat="1" ht="30" hidden="1" customHeight="1" outlineLevel="1">
      <c r="A5" s="112"/>
      <c r="B5" s="112"/>
      <c r="C5" s="112"/>
      <c r="D5" t="s">
        <v>191</v>
      </c>
      <c r="E5" s="122"/>
      <c r="F5" s="122"/>
      <c r="G5" s="389">
        <v>45474</v>
      </c>
      <c r="H5" s="390" t="s">
        <v>192</v>
      </c>
      <c r="I5" s="386"/>
      <c r="J5" s="387"/>
      <c r="R5" s="387"/>
      <c r="S5" s="387"/>
      <c r="T5" s="387"/>
      <c r="U5" s="387"/>
      <c r="V5" s="387"/>
      <c r="W5" s="387"/>
      <c r="X5" s="387"/>
      <c r="AQ5" s="110"/>
      <c r="CG5" s="122"/>
      <c r="CV5" s="388"/>
    </row>
    <row r="6" spans="1:100" customFormat="1" ht="30" hidden="1" customHeight="1" outlineLevel="1">
      <c r="A6" s="112"/>
      <c r="B6" s="112"/>
      <c r="C6" s="112"/>
      <c r="D6" t="s">
        <v>193</v>
      </c>
      <c r="E6" s="122"/>
      <c r="F6" s="122"/>
      <c r="G6" s="389">
        <v>45476</v>
      </c>
      <c r="H6" s="390" t="s">
        <v>194</v>
      </c>
      <c r="I6" s="386"/>
      <c r="J6" s="387"/>
      <c r="R6" s="387"/>
      <c r="S6" s="387"/>
      <c r="T6" s="387"/>
      <c r="U6" s="387"/>
      <c r="V6" s="387"/>
      <c r="W6" s="387"/>
      <c r="X6" s="387"/>
      <c r="AQ6" s="110"/>
      <c r="CG6" s="122"/>
      <c r="CV6" s="388"/>
    </row>
    <row r="7" spans="1:100" customFormat="1" ht="30" hidden="1" customHeight="1" outlineLevel="1">
      <c r="A7" s="112"/>
      <c r="B7" s="112"/>
      <c r="C7" s="112"/>
      <c r="D7" s="391"/>
      <c r="E7" s="122"/>
      <c r="F7" s="122"/>
      <c r="G7" s="389">
        <v>45483</v>
      </c>
      <c r="H7" s="390" t="s">
        <v>195</v>
      </c>
      <c r="I7" s="386"/>
      <c r="J7" s="387"/>
      <c r="R7" s="387"/>
      <c r="S7" s="387"/>
      <c r="T7" s="387"/>
      <c r="U7" s="387"/>
      <c r="V7" s="387"/>
      <c r="W7" s="387"/>
      <c r="X7" s="387"/>
      <c r="AQ7" s="110"/>
      <c r="CG7" s="122"/>
      <c r="CV7" s="388"/>
    </row>
    <row r="8" spans="1:100" customFormat="1" ht="30" hidden="1" customHeight="1" outlineLevel="1">
      <c r="A8" s="112"/>
      <c r="B8" s="112"/>
      <c r="C8" s="112"/>
      <c r="D8" s="112"/>
      <c r="E8" s="122"/>
      <c r="F8" s="122"/>
      <c r="G8" s="389">
        <v>45500</v>
      </c>
      <c r="H8" s="390" t="s">
        <v>196</v>
      </c>
      <c r="I8" s="386"/>
      <c r="J8" s="387"/>
      <c r="R8" s="387"/>
      <c r="S8" s="387"/>
      <c r="T8" s="387"/>
      <c r="U8" s="387"/>
      <c r="V8" s="387"/>
      <c r="W8" s="387"/>
      <c r="X8" s="387"/>
      <c r="AQ8" s="110"/>
      <c r="CG8" s="122"/>
      <c r="CV8" s="388"/>
    </row>
    <row r="9" spans="1:100" customFormat="1" ht="30" hidden="1" customHeight="1" outlineLevel="1">
      <c r="A9" s="112"/>
      <c r="B9" s="112"/>
      <c r="C9" s="112"/>
      <c r="D9" s="112"/>
      <c r="G9" s="389">
        <v>45563</v>
      </c>
      <c r="H9" s="390" t="s">
        <v>197</v>
      </c>
      <c r="I9" s="386"/>
      <c r="J9" s="387"/>
      <c r="R9" s="387"/>
      <c r="S9" s="387"/>
      <c r="T9" s="387"/>
      <c r="U9" s="387"/>
      <c r="V9" s="387"/>
      <c r="W9" s="387"/>
      <c r="X9" s="387"/>
      <c r="AQ9" s="110"/>
      <c r="CG9" s="122"/>
      <c r="CV9" s="388"/>
    </row>
    <row r="10" spans="1:100" customFormat="1" ht="30" hidden="1" customHeight="1" outlineLevel="1">
      <c r="A10" s="112"/>
      <c r="B10" s="392"/>
      <c r="C10" s="112"/>
      <c r="D10" s="392"/>
      <c r="E10" s="393"/>
      <c r="F10" s="394"/>
      <c r="G10" s="112"/>
      <c r="H10" s="386"/>
      <c r="I10" s="386"/>
      <c r="J10" s="387"/>
      <c r="R10" s="387"/>
      <c r="S10" s="387"/>
      <c r="T10" s="387"/>
      <c r="U10" s="387"/>
      <c r="V10" s="387"/>
      <c r="W10" s="387"/>
      <c r="X10" s="387"/>
      <c r="AQ10" s="110"/>
      <c r="CG10" s="122"/>
      <c r="CV10" s="388"/>
    </row>
    <row r="11" spans="1:100" customFormat="1" ht="30" hidden="1" customHeight="1" outlineLevel="1">
      <c r="A11" s="112"/>
      <c r="B11" s="112"/>
      <c r="C11" s="112"/>
      <c r="D11" s="112"/>
      <c r="E11" s="245"/>
      <c r="F11" s="112"/>
      <c r="G11" s="112"/>
      <c r="H11" s="386"/>
      <c r="I11" s="386"/>
      <c r="J11" s="386"/>
      <c r="K11" s="395"/>
      <c r="L11" s="122" t="s">
        <v>198</v>
      </c>
      <c r="R11" s="387"/>
      <c r="S11" s="387"/>
      <c r="T11" s="387"/>
      <c r="U11" s="387"/>
      <c r="V11" s="387"/>
      <c r="W11" s="387"/>
      <c r="X11" s="387"/>
      <c r="AQ11" s="110"/>
      <c r="CG11" s="122"/>
      <c r="CV11" s="388"/>
    </row>
    <row r="12" spans="1:100" customFormat="1" ht="30" customHeight="1" collapsed="1">
      <c r="A12" s="112"/>
      <c r="B12" s="396" t="s">
        <v>199</v>
      </c>
      <c r="C12" s="397" t="s">
        <v>200</v>
      </c>
      <c r="D12" s="397" t="s">
        <v>201</v>
      </c>
      <c r="E12" s="397" t="s">
        <v>202</v>
      </c>
      <c r="F12" s="397" t="s">
        <v>203</v>
      </c>
      <c r="G12" s="398" t="s">
        <v>204</v>
      </c>
      <c r="H12" s="386"/>
      <c r="I12" s="386"/>
      <c r="J12" s="387"/>
      <c r="K12" s="399"/>
      <c r="L12" t="s">
        <v>205</v>
      </c>
      <c r="R12" s="387"/>
      <c r="S12" s="387"/>
      <c r="T12" s="387"/>
      <c r="U12" s="387"/>
      <c r="V12" s="387"/>
      <c r="W12" s="387"/>
      <c r="X12" s="387"/>
      <c r="AQ12" s="110"/>
      <c r="CG12" s="122"/>
      <c r="CV12" s="388"/>
    </row>
    <row r="13" spans="1:100" customFormat="1" ht="30" customHeight="1">
      <c r="A13" s="112"/>
      <c r="B13" s="400"/>
      <c r="C13" s="400"/>
      <c r="D13" s="400"/>
      <c r="E13" s="401" t="s">
        <v>206</v>
      </c>
      <c r="F13" s="401" t="s">
        <v>207</v>
      </c>
      <c r="G13" s="402" t="s">
        <v>208</v>
      </c>
      <c r="H13" s="403"/>
      <c r="I13" s="403"/>
      <c r="J13" s="386"/>
      <c r="K13" s="404"/>
      <c r="L13" t="s">
        <v>168</v>
      </c>
      <c r="R13" s="387"/>
      <c r="S13" s="387"/>
      <c r="T13" s="387"/>
      <c r="U13" s="387"/>
      <c r="V13" s="387"/>
      <c r="W13" s="387"/>
      <c r="X13" s="387"/>
      <c r="AQ13" s="110"/>
      <c r="CG13" s="122"/>
      <c r="CV13" s="388"/>
    </row>
    <row r="14" spans="1:100" customFormat="1" ht="30" customHeight="1">
      <c r="A14" s="112"/>
      <c r="B14" s="112"/>
      <c r="C14" s="112"/>
      <c r="D14" s="112"/>
      <c r="E14" s="245"/>
      <c r="F14" s="112"/>
      <c r="G14" s="112"/>
      <c r="H14" s="386"/>
      <c r="I14" s="386"/>
      <c r="J14" s="386"/>
      <c r="K14" s="112"/>
      <c r="L14" s="112"/>
      <c r="R14" s="387"/>
      <c r="S14" s="387"/>
      <c r="T14" s="387"/>
      <c r="U14" s="387"/>
      <c r="V14" s="387"/>
      <c r="W14" s="387"/>
      <c r="X14" s="387"/>
      <c r="AQ14" s="110"/>
      <c r="CG14" s="122"/>
      <c r="CV14" s="388"/>
    </row>
    <row r="15" spans="1:100" customFormat="1" ht="30" customHeight="1">
      <c r="A15" s="112"/>
      <c r="B15" s="112"/>
      <c r="C15" s="112"/>
      <c r="D15" s="112"/>
      <c r="E15" s="245"/>
      <c r="F15" s="112"/>
      <c r="G15" s="112"/>
      <c r="H15" s="386"/>
      <c r="I15" s="386"/>
      <c r="J15" s="386"/>
      <c r="K15" s="112"/>
      <c r="L15" s="112"/>
      <c r="R15" s="387"/>
      <c r="S15" s="387"/>
      <c r="T15" s="387"/>
      <c r="U15" s="387"/>
      <c r="V15" s="387"/>
      <c r="W15" s="387"/>
      <c r="X15" s="387"/>
      <c r="AQ15" s="110"/>
      <c r="CG15" s="122"/>
      <c r="CV15" s="388"/>
    </row>
    <row r="16" spans="1:100" customFormat="1" ht="30" customHeight="1">
      <c r="A16" s="112"/>
      <c r="B16" s="405" t="s">
        <v>209</v>
      </c>
      <c r="C16" s="112"/>
      <c r="D16" s="112"/>
      <c r="E16" s="245"/>
      <c r="F16" s="112"/>
      <c r="G16" s="112"/>
      <c r="H16" s="386"/>
      <c r="I16" s="386"/>
      <c r="J16" s="386"/>
      <c r="K16" s="112"/>
      <c r="L16" s="112"/>
      <c r="R16" s="387"/>
      <c r="S16" s="387"/>
      <c r="T16" s="387"/>
      <c r="U16" s="387"/>
      <c r="V16" s="387"/>
      <c r="W16" s="387"/>
      <c r="X16" s="387"/>
      <c r="AQ16" s="110"/>
      <c r="CG16" s="122"/>
      <c r="CV16" s="388"/>
    </row>
    <row r="17" spans="1:102" customFormat="1" ht="30" customHeight="1">
      <c r="A17" s="112"/>
      <c r="B17" s="406" t="s">
        <v>210</v>
      </c>
      <c r="C17" s="406" t="s">
        <v>211</v>
      </c>
      <c r="D17" s="406" t="s">
        <v>212</v>
      </c>
      <c r="E17" s="406" t="s">
        <v>213</v>
      </c>
      <c r="F17" s="406" t="s">
        <v>214</v>
      </c>
      <c r="G17" s="407" t="s">
        <v>215</v>
      </c>
      <c r="H17" s="408" t="s">
        <v>49</v>
      </c>
      <c r="I17" s="409" t="s">
        <v>39</v>
      </c>
      <c r="J17" s="409" t="s">
        <v>142</v>
      </c>
      <c r="K17" s="112"/>
      <c r="L17" s="112"/>
      <c r="R17" s="387"/>
      <c r="S17" s="387"/>
      <c r="T17" s="387"/>
      <c r="U17" s="387"/>
      <c r="V17" s="387"/>
      <c r="W17" s="387"/>
      <c r="X17" s="387"/>
      <c r="AQ17" s="110"/>
      <c r="CG17" s="122"/>
      <c r="CV17" s="388"/>
    </row>
    <row r="18" spans="1:102" s="375" customFormat="1" ht="30" customHeight="1">
      <c r="A18" s="410">
        <v>1</v>
      </c>
      <c r="B18" s="410">
        <v>2</v>
      </c>
      <c r="C18" s="410">
        <v>3</v>
      </c>
      <c r="D18" s="410">
        <v>4</v>
      </c>
      <c r="E18" s="410">
        <v>5</v>
      </c>
      <c r="F18" s="410">
        <v>6</v>
      </c>
      <c r="G18" s="410">
        <v>7</v>
      </c>
      <c r="H18" s="411">
        <v>8</v>
      </c>
      <c r="I18" s="411">
        <v>9</v>
      </c>
      <c r="J18" s="411">
        <v>10</v>
      </c>
      <c r="K18" s="410">
        <v>11</v>
      </c>
      <c r="L18" s="410">
        <v>12</v>
      </c>
      <c r="M18" s="410">
        <v>13</v>
      </c>
      <c r="N18" s="410">
        <v>14</v>
      </c>
      <c r="O18" s="410">
        <v>15</v>
      </c>
      <c r="P18" s="410">
        <v>16</v>
      </c>
      <c r="Q18" s="410">
        <v>17</v>
      </c>
      <c r="R18" s="411">
        <v>18</v>
      </c>
      <c r="S18" s="411">
        <v>19</v>
      </c>
      <c r="T18" s="411">
        <v>20</v>
      </c>
      <c r="U18" s="411">
        <v>21</v>
      </c>
      <c r="V18" s="411">
        <v>22</v>
      </c>
      <c r="W18" s="411">
        <v>23</v>
      </c>
      <c r="X18" s="411">
        <v>24</v>
      </c>
      <c r="Y18" s="410">
        <v>25</v>
      </c>
      <c r="Z18" s="410">
        <v>26</v>
      </c>
      <c r="AA18" s="410">
        <v>27</v>
      </c>
      <c r="AB18" s="410">
        <v>28</v>
      </c>
      <c r="AC18" s="410">
        <v>29</v>
      </c>
      <c r="AD18" s="410">
        <v>30</v>
      </c>
      <c r="AE18" s="410">
        <v>31</v>
      </c>
      <c r="AF18" s="410">
        <v>32</v>
      </c>
      <c r="AG18" s="410">
        <v>33</v>
      </c>
      <c r="AH18" s="410">
        <v>34</v>
      </c>
      <c r="AI18" s="410">
        <v>35</v>
      </c>
      <c r="AJ18" s="410">
        <v>36</v>
      </c>
      <c r="AK18" s="410">
        <v>37</v>
      </c>
      <c r="AL18" s="410">
        <v>38</v>
      </c>
      <c r="AM18" s="410">
        <v>39</v>
      </c>
      <c r="AN18" s="410">
        <v>40</v>
      </c>
      <c r="AO18" s="410">
        <v>41</v>
      </c>
      <c r="AP18" s="410">
        <v>42</v>
      </c>
      <c r="AQ18" s="410">
        <v>43</v>
      </c>
      <c r="AR18" s="410">
        <v>44</v>
      </c>
      <c r="AS18" s="410">
        <v>45</v>
      </c>
      <c r="AT18" s="410">
        <v>46</v>
      </c>
      <c r="AU18" s="410">
        <v>47</v>
      </c>
      <c r="AV18" s="410">
        <v>48</v>
      </c>
      <c r="AW18" s="410">
        <v>49</v>
      </c>
      <c r="AX18" s="410">
        <v>50</v>
      </c>
      <c r="AY18" s="410">
        <v>51</v>
      </c>
      <c r="AZ18" s="410">
        <v>52</v>
      </c>
      <c r="BA18" s="410">
        <v>53</v>
      </c>
      <c r="BB18" s="410">
        <v>54</v>
      </c>
      <c r="BC18" s="410">
        <v>55</v>
      </c>
      <c r="BD18" s="410">
        <v>56</v>
      </c>
      <c r="BE18" s="410">
        <v>57</v>
      </c>
      <c r="BF18" s="410">
        <v>58</v>
      </c>
      <c r="BG18" s="410">
        <v>59</v>
      </c>
      <c r="BH18" s="410">
        <v>60</v>
      </c>
      <c r="BI18" s="410">
        <v>61</v>
      </c>
      <c r="BJ18" s="410">
        <v>62</v>
      </c>
      <c r="BK18" s="410">
        <v>63</v>
      </c>
      <c r="BL18" s="410">
        <v>64</v>
      </c>
      <c r="BM18" s="410">
        <v>65</v>
      </c>
      <c r="BN18" s="410">
        <v>66</v>
      </c>
      <c r="BO18" s="410">
        <v>67</v>
      </c>
      <c r="BP18" s="410">
        <v>68</v>
      </c>
      <c r="BQ18" s="410">
        <v>69</v>
      </c>
      <c r="BR18" s="410">
        <v>70</v>
      </c>
      <c r="BS18" s="410">
        <v>71</v>
      </c>
      <c r="BT18" s="410">
        <v>72</v>
      </c>
      <c r="BU18" s="410">
        <v>73</v>
      </c>
      <c r="BV18" s="410">
        <v>74</v>
      </c>
      <c r="BW18" s="410">
        <v>75</v>
      </c>
      <c r="BX18" s="410">
        <v>76</v>
      </c>
      <c r="BY18" s="410">
        <v>77</v>
      </c>
      <c r="BZ18" s="410" t="s">
        <v>199</v>
      </c>
      <c r="CA18" s="410" t="s">
        <v>200</v>
      </c>
      <c r="CB18" s="410" t="s">
        <v>201</v>
      </c>
      <c r="CC18" s="410" t="s">
        <v>202</v>
      </c>
      <c r="CD18" s="410" t="s">
        <v>203</v>
      </c>
      <c r="CE18" s="410" t="s">
        <v>204</v>
      </c>
      <c r="CF18" s="410" t="s">
        <v>206</v>
      </c>
      <c r="CG18" s="412" t="s">
        <v>207</v>
      </c>
      <c r="CH18" s="410">
        <v>86</v>
      </c>
      <c r="CI18" s="410">
        <v>87</v>
      </c>
      <c r="CJ18" s="410">
        <v>88</v>
      </c>
      <c r="CK18" s="410">
        <v>89</v>
      </c>
      <c r="CL18" s="410">
        <v>90</v>
      </c>
      <c r="CM18" s="410">
        <v>91</v>
      </c>
      <c r="CN18" s="410">
        <v>92</v>
      </c>
      <c r="CO18" s="410">
        <v>93</v>
      </c>
      <c r="CP18" s="410">
        <v>94</v>
      </c>
      <c r="CQ18" s="410">
        <v>95</v>
      </c>
      <c r="CR18" s="410">
        <v>96</v>
      </c>
      <c r="CS18" s="410">
        <v>97</v>
      </c>
      <c r="CT18" s="410">
        <v>98</v>
      </c>
      <c r="CU18" s="410">
        <v>99</v>
      </c>
      <c r="CV18" s="413">
        <v>100</v>
      </c>
      <c r="CW18" s="410"/>
      <c r="CX18" s="410"/>
    </row>
    <row r="19" spans="1:102" customFormat="1" ht="30" customHeight="1">
      <c r="A19" s="112" t="str">
        <f>IF($C$13=1,IF(K19="报价行",IF(F19&gt;0,1," ")," ")," ")</f>
        <v xml:space="preserve"> </v>
      </c>
      <c r="B19" s="414" t="str">
        <f>IF(A19=1,SUM($A$11:A19),"两立柱柱片")</f>
        <v>两立柱柱片</v>
      </c>
      <c r="C19" s="415" t="str">
        <f>B20&amp;IF(C25=1,CHAR(10)&amp;B21," ")</f>
        <v xml:space="preserve">Frame </v>
      </c>
      <c r="D19" s="416" t="str">
        <f>"D"&amp;E20&amp;"*H"&amp;F20</f>
        <v>D1000*H6000</v>
      </c>
      <c r="E19" s="417" t="str">
        <f>"Pitch "&amp;C23&amp;", "&amp;D23&amp;", Post "&amp;VLOOKUP(D20,常规材料表!$1:$1048576,28,0)&amp;VLOOKUP(D21,常规材料表!$1:$1048576,28,0)&amp;E21&amp;" brace,"&amp;IF(D22&gt;0,VLOOKUP(D22,常规材料表!$1:$1048576,28,0)," ")&amp;G23&amp;IF(G23&gt;0,"kg/bay, "," ")&amp;IF(G23&gt;0,F23," ")&amp;IF(G23&gt;0,IF(F23&gt;0,"mm first level"," ")," ")</f>
        <v xml:space="preserve">Pitch 75, Q235, Post 90*70*2 mm,24*40*1.2 mm,Z brace,with 90H4 foot plate, shim plate and bolts,   </v>
      </c>
      <c r="F19" s="418">
        <v>1</v>
      </c>
      <c r="G19" s="419">
        <f>IFERROR(Y21+Y22+Y25*2+D24*F24/F19+IFERROR(AQ25*AN25,0)*2,"-")</f>
        <v>63.545801499726529</v>
      </c>
      <c r="H19" s="420">
        <f>IFERROR(SUM(H20:H22)+H24/F19,"-")</f>
        <v>324.52744768522172</v>
      </c>
      <c r="I19" s="421" t="s">
        <v>216</v>
      </c>
      <c r="J19" s="422"/>
      <c r="K19" s="423" t="s">
        <v>217</v>
      </c>
      <c r="L19" s="424">
        <f>C23</f>
        <v>75</v>
      </c>
      <c r="O19" s="425" t="s">
        <v>218</v>
      </c>
      <c r="P19" s="425"/>
      <c r="R19" s="387" t="s">
        <v>219</v>
      </c>
      <c r="S19" s="426" t="s">
        <v>220</v>
      </c>
      <c r="T19" s="426">
        <f>(T21*Y21+T22*Y22)/Y19</f>
        <v>3.270630343314366</v>
      </c>
      <c r="U19" s="426">
        <f>(U21*Y21+U22*Y22)/Y19</f>
        <v>0.34982958660591784</v>
      </c>
      <c r="V19" s="426">
        <f>(V21*Y21+V22*Y22)/Y19</f>
        <v>1.1674131349079699</v>
      </c>
      <c r="W19" s="426">
        <f>(W22*Y22+W21*Y21)/Y19</f>
        <v>0.13317426019834286</v>
      </c>
      <c r="X19" s="426">
        <f>SUM(T19:W19)*Y19</f>
        <v>298.23158973840754</v>
      </c>
      <c r="Y19" s="427">
        <f>SUM(Y21:Y22)</f>
        <v>60.603276099726529</v>
      </c>
      <c r="Z19" s="427"/>
      <c r="AA19" s="428" t="s">
        <v>221</v>
      </c>
      <c r="AB19" s="428" t="s">
        <v>222</v>
      </c>
      <c r="AC19" s="428" t="s">
        <v>223</v>
      </c>
      <c r="AD19" s="428" t="s">
        <v>224</v>
      </c>
      <c r="AE19" s="428" t="s">
        <v>225</v>
      </c>
      <c r="AF19" s="429" t="s">
        <v>226</v>
      </c>
      <c r="AG19" s="429"/>
      <c r="AH19" s="429" t="s">
        <v>227</v>
      </c>
      <c r="AI19" s="429" t="s">
        <v>228</v>
      </c>
      <c r="AJ19" s="429" t="s">
        <v>229</v>
      </c>
      <c r="AK19" s="429" t="s">
        <v>230</v>
      </c>
      <c r="AL19" s="429" t="s">
        <v>231</v>
      </c>
      <c r="AM19" s="429" t="s">
        <v>232</v>
      </c>
      <c r="AN19" s="429" t="s">
        <v>102</v>
      </c>
      <c r="AO19" s="429" t="s">
        <v>74</v>
      </c>
      <c r="AP19" s="429" t="s">
        <v>21</v>
      </c>
      <c r="AQ19" s="111" t="s">
        <v>233</v>
      </c>
      <c r="AX19" t="str">
        <f>VLOOKUP(D20,常规材料表!$1:$1048576,28,0)</f>
        <v>90*70*2 mm,</v>
      </c>
      <c r="AY19" s="256">
        <f>F20</f>
        <v>6000</v>
      </c>
      <c r="AZ19">
        <f>F19*2</f>
        <v>2</v>
      </c>
      <c r="BA19">
        <f>Y21/2</f>
        <v>23.4558</v>
      </c>
      <c r="BB19">
        <f>BA19*AZ19</f>
        <v>46.9116</v>
      </c>
      <c r="BC19" t="str">
        <f>VLOOKUP(D21,常规材料表!$1:$1048576,28,0)</f>
        <v>24*40*1.2 mm,</v>
      </c>
      <c r="BD19" t="str">
        <f>VLOOKUP(D22,常规材料表!$1:$1048576,28,0)</f>
        <v>with 90H4 foot plate, shim plate and bolts,</v>
      </c>
      <c r="BF19">
        <f>AG22*F19</f>
        <v>6</v>
      </c>
      <c r="BG19" s="430">
        <f>AI22</f>
        <v>932</v>
      </c>
      <c r="BH19">
        <f>AK22*AK20*(AI22)*Z23/1000000</f>
        <v>0.81648791999999992</v>
      </c>
      <c r="BI19">
        <f>BH19*BF19</f>
        <v>4.8989275199999991</v>
      </c>
      <c r="BJ19">
        <f>AH22*F19</f>
        <v>9</v>
      </c>
      <c r="BK19" s="430">
        <f>AJ22</f>
        <v>1115.1885309385871</v>
      </c>
      <c r="BL19">
        <f>AK22*AK20*(AJ22)*Z23/1000000</f>
        <v>0.97697206441405848</v>
      </c>
      <c r="BM19">
        <f>BL19*BJ19</f>
        <v>8.7927485797265259</v>
      </c>
      <c r="BN19">
        <f>AZ19</f>
        <v>2</v>
      </c>
      <c r="BO19" s="256">
        <f>Y25</f>
        <v>1.0732676999999999</v>
      </c>
      <c r="BP19">
        <f>BO19*BN19</f>
        <v>2.1465353999999999</v>
      </c>
      <c r="BQ19" t="str">
        <f>D23</f>
        <v>Q235</v>
      </c>
      <c r="BR19" t="str">
        <f>I19</f>
        <v>Blue Ral 5015</v>
      </c>
      <c r="BS19">
        <f>T19*Y19</f>
        <v>198.2109137160239</v>
      </c>
      <c r="BT19">
        <f>U19*Y19</f>
        <v>21.200819024931633</v>
      </c>
      <c r="BU19">
        <f>(V19+W19)*Y19</f>
        <v>78.819856997451978</v>
      </c>
      <c r="BZ19" t="s">
        <v>218</v>
      </c>
      <c r="CA19" s="112" t="s">
        <v>200</v>
      </c>
      <c r="CB19" t="s">
        <v>201</v>
      </c>
      <c r="CC19" t="s">
        <v>202</v>
      </c>
      <c r="CG19" s="122"/>
      <c r="CV19" s="388"/>
    </row>
    <row r="20" spans="1:102" customFormat="1" ht="30" customHeight="1" outlineLevel="1">
      <c r="A20" s="112"/>
      <c r="B20" s="415" t="s">
        <v>234</v>
      </c>
      <c r="C20" s="431" t="s">
        <v>10</v>
      </c>
      <c r="D20" s="432" t="s">
        <v>235</v>
      </c>
      <c r="E20" s="433">
        <v>1000</v>
      </c>
      <c r="F20" s="434">
        <v>6000</v>
      </c>
      <c r="G20" s="435" t="s">
        <v>236</v>
      </c>
      <c r="H20" s="420">
        <f>IFERROR(X21,"-")</f>
        <v>216.16630283185845</v>
      </c>
      <c r="I20" s="421"/>
      <c r="J20" s="436">
        <f>IFERROR(IF(D23="Q355",IFERROR(IF(G20="预镀锌",VLOOKUP(D20,常规材料表!$1:$1048576,30,0),VLOOKUP(D20,常规材料表!$1:$1048576,29,0)),0),0),0)</f>
        <v>0</v>
      </c>
      <c r="K20" s="54" t="s">
        <v>237</v>
      </c>
      <c r="L20" s="54"/>
      <c r="O20" s="425" t="s">
        <v>218</v>
      </c>
      <c r="P20" s="425"/>
      <c r="Q20" s="256"/>
      <c r="R20" s="420" t="s">
        <v>238</v>
      </c>
      <c r="S20" s="420" t="s">
        <v>239</v>
      </c>
      <c r="T20" s="420" t="s">
        <v>240</v>
      </c>
      <c r="U20" s="420" t="s">
        <v>241</v>
      </c>
      <c r="V20" s="420" t="s">
        <v>242</v>
      </c>
      <c r="W20" s="420" t="s">
        <v>207</v>
      </c>
      <c r="X20" s="420" t="s">
        <v>243</v>
      </c>
      <c r="Y20" s="429" t="s">
        <v>244</v>
      </c>
      <c r="Z20" s="429" t="s">
        <v>159</v>
      </c>
      <c r="AA20" s="437" t="str">
        <f>D20</f>
        <v>9070-20</v>
      </c>
      <c r="AB20" s="438">
        <v>1</v>
      </c>
      <c r="AC20" s="438">
        <f>F20</f>
        <v>6000</v>
      </c>
      <c r="AD20" s="438">
        <f>E20</f>
        <v>1000</v>
      </c>
      <c r="AE20" s="439" t="str">
        <f>G20</f>
        <v>喷塑</v>
      </c>
      <c r="AF20" s="440">
        <f>IF(AE20="预镀锌",0,IF(AE20="喷塑",VLOOKUP(AA20,常规材料表!$1:$1048576,12,0),IF(AE20="热镀锌",VLOOKUP(AA20,常规材料表!$1:$1048576,13,0),IF(AE20="冷镀锌",VLOOKUP(AA20,常规材料表!$1:$1048576,15,0),0))))</f>
        <v>9</v>
      </c>
      <c r="AG20" s="440"/>
      <c r="AH20" s="440">
        <f>IF(AE20="预镀锌",VLOOKUP(AA20,常规材料表!$1:$1048576,11,0)+VLOOKUP(AA20,常规材料表!$1:$1048576,14,0),VLOOKUP(AA20,常规材料表!$1:$1048576,11,0))+IF(AC20&lt;8000,0,VLOOKUP(AA20,常规材料表!$1:$1048576,16,0))</f>
        <v>2.2000000000000002</v>
      </c>
      <c r="AI20" s="440">
        <f>VLOOKUP(AA20,常规材料表!$1:$1048576,7,0)</f>
        <v>249</v>
      </c>
      <c r="AJ20" s="440">
        <f>VLOOKUP(AA20,常规材料表!$1:$1048576,6,0)</f>
        <v>2</v>
      </c>
      <c r="AK20" s="429">
        <f>VLOOKUP(AA22,常规材料表!$1:$1048576,6,0)</f>
        <v>1.2</v>
      </c>
      <c r="AL20" s="441" t="s">
        <v>245</v>
      </c>
      <c r="AM20" s="441" t="str">
        <f>VLOOKUP(AA22,常规材料表!$1:$1048576,17,0)</f>
        <v>M10.L65.Socket.Wz</v>
      </c>
      <c r="AN20" s="442">
        <f>AG22+AH22+2</f>
        <v>17</v>
      </c>
      <c r="AO20" s="441">
        <f>VLOOKUP(AM20,标准件价格!$C:$D,2,0)</f>
        <v>0.4</v>
      </c>
      <c r="AP20" s="441">
        <f>AN20*AO20+IF(AA20="L6650-15",0,0)</f>
        <v>6.8000000000000007</v>
      </c>
      <c r="AQ20" s="111">
        <f>IFERROR(VLOOKUP(AM20,标准件价格!$C:$E,3,0),0)</f>
        <v>0</v>
      </c>
      <c r="AR20">
        <f>IFERROR(IF(J20&gt;0,Y21*F19,0),"-")</f>
        <v>0</v>
      </c>
      <c r="AS20">
        <f>IFERROR(IF(J20=0,Y21*F19,0),"-")</f>
        <v>46.9116</v>
      </c>
      <c r="AT20">
        <f>IFERROR(Y22*F19,"-")</f>
        <v>13.691676099726527</v>
      </c>
      <c r="AX20" t="s">
        <v>156</v>
      </c>
      <c r="AY20" t="s">
        <v>246</v>
      </c>
      <c r="AZ20" t="s">
        <v>102</v>
      </c>
      <c r="BA20" t="s">
        <v>158</v>
      </c>
      <c r="BB20" t="s">
        <v>247</v>
      </c>
      <c r="BC20" t="s">
        <v>248</v>
      </c>
      <c r="BD20" t="s">
        <v>249</v>
      </c>
      <c r="BE20" t="s">
        <v>250</v>
      </c>
      <c r="BF20" t="s">
        <v>251</v>
      </c>
      <c r="BG20" t="s">
        <v>252</v>
      </c>
      <c r="BH20" t="s">
        <v>253</v>
      </c>
      <c r="BI20" t="s">
        <v>254</v>
      </c>
      <c r="BJ20" t="s">
        <v>255</v>
      </c>
      <c r="BK20" t="s">
        <v>256</v>
      </c>
      <c r="BL20" t="s">
        <v>257</v>
      </c>
      <c r="BM20" t="s">
        <v>258</v>
      </c>
      <c r="BN20" t="s">
        <v>259</v>
      </c>
      <c r="BO20" t="s">
        <v>260</v>
      </c>
      <c r="BP20" t="s">
        <v>261</v>
      </c>
      <c r="BQ20" t="s">
        <v>262</v>
      </c>
      <c r="BR20" t="s">
        <v>155</v>
      </c>
      <c r="BS20" s="898" t="s">
        <v>2337</v>
      </c>
      <c r="BT20" s="898" t="s">
        <v>2338</v>
      </c>
      <c r="BU20" s="898" t="s">
        <v>2339</v>
      </c>
      <c r="BZ20" t="s">
        <v>218</v>
      </c>
      <c r="CA20" s="112" t="s">
        <v>200</v>
      </c>
      <c r="CB20" t="s">
        <v>201</v>
      </c>
      <c r="CC20" t="s">
        <v>202</v>
      </c>
      <c r="CG20" s="122"/>
      <c r="CV20" s="388"/>
    </row>
    <row r="21" spans="1:102" customFormat="1" ht="30" customHeight="1" outlineLevel="1">
      <c r="A21" s="112"/>
      <c r="B21" s="418" t="s">
        <v>263</v>
      </c>
      <c r="C21" s="431" t="s">
        <v>264</v>
      </c>
      <c r="D21" s="432" t="s">
        <v>265</v>
      </c>
      <c r="E21" s="443" t="s">
        <v>266</v>
      </c>
      <c r="F21" s="444">
        <v>0</v>
      </c>
      <c r="G21" s="435" t="s">
        <v>236</v>
      </c>
      <c r="H21" s="420">
        <f>IFERROR(X22,"-")</f>
        <v>82.065286906549105</v>
      </c>
      <c r="I21" s="421"/>
      <c r="J21" s="387"/>
      <c r="K21" s="54" t="s">
        <v>237</v>
      </c>
      <c r="L21" s="54"/>
      <c r="O21" s="425" t="s">
        <v>218</v>
      </c>
      <c r="P21" s="425"/>
      <c r="Q21" s="445" t="s">
        <v>10</v>
      </c>
      <c r="R21" s="420">
        <f>IF(AD25&gt;0,AD25,IFERROR(IF(AE20="预镀锌",VLOOKUP(AA20,常规材料表!$1:$1048576,5,0),VLOOKUP(AA20,常规材料表!$1:$1048576,10,0)),0))</f>
        <v>3.6</v>
      </c>
      <c r="S21" s="420">
        <v>1.02</v>
      </c>
      <c r="T21" s="420">
        <f>R21*S21/1.13</f>
        <v>3.2495575221238941</v>
      </c>
      <c r="U21" s="420">
        <f>(AH20*2/Y21)+IF(ISNUMBER(SEARCH("L60",AA20)),1.2,0.25)+IF(AD22&gt;0,AD22,0)</f>
        <v>0.34379343275437207</v>
      </c>
      <c r="V21" s="420">
        <f>AI20*AC20*2*AF20*2/1000000/Y21/1.13</f>
        <v>1.0145989515810834</v>
      </c>
      <c r="W21" s="420"/>
      <c r="X21" s="420">
        <f>(T21+U21+V21)*Y21</f>
        <v>216.16630283185845</v>
      </c>
      <c r="Y21" s="429">
        <f>AI20*AJ20*(AC20+F21)*Z23*IF(F21&gt;0,1,2)/1000000</f>
        <v>46.9116</v>
      </c>
      <c r="Z21" s="429">
        <f>Y21*AB20</f>
        <v>46.9116</v>
      </c>
      <c r="AA21" s="428" t="s">
        <v>267</v>
      </c>
      <c r="AB21" s="428" t="s">
        <v>268</v>
      </c>
      <c r="AC21" s="428" t="s">
        <v>269</v>
      </c>
      <c r="AD21" s="446" t="s">
        <v>270</v>
      </c>
      <c r="AE21" s="428" t="s">
        <v>271</v>
      </c>
      <c r="AF21" s="429" t="s">
        <v>226</v>
      </c>
      <c r="AG21" s="429" t="s">
        <v>251</v>
      </c>
      <c r="AH21" s="429" t="s">
        <v>255</v>
      </c>
      <c r="AI21" s="429" t="s">
        <v>252</v>
      </c>
      <c r="AJ21" s="429" t="s">
        <v>256</v>
      </c>
      <c r="AK21" s="429" t="s">
        <v>272</v>
      </c>
      <c r="AL21" s="441" t="s">
        <v>273</v>
      </c>
      <c r="AM21" s="441" t="str">
        <f>VLOOKUP(AA22,常规材料表!$1:$1048576,19,0)</f>
        <v>Spacer.90.φ14.L47</v>
      </c>
      <c r="AN21" s="442">
        <f>IF(AG22=2,2,4)</f>
        <v>4</v>
      </c>
      <c r="AO21" s="441">
        <f>VLOOKUP(AM21,标准件价格!$C:$D,2,0)</f>
        <v>0.57999999999999996</v>
      </c>
      <c r="AP21" s="441">
        <f>AN21*AO21</f>
        <v>2.3199999999999998</v>
      </c>
      <c r="AQ21" s="111">
        <f>IFERROR(VLOOKUP(AM21,标准件价格!$C:$E,3,0),0)</f>
        <v>0</v>
      </c>
      <c r="BZ21" t="s">
        <v>218</v>
      </c>
      <c r="CA21" s="112" t="s">
        <v>200</v>
      </c>
      <c r="CB21" t="s">
        <v>201</v>
      </c>
      <c r="CC21" t="s">
        <v>202</v>
      </c>
      <c r="CG21" s="122"/>
      <c r="CV21" s="388"/>
    </row>
    <row r="22" spans="1:102" customFormat="1" ht="30" customHeight="1" outlineLevel="1">
      <c r="A22" s="112"/>
      <c r="B22" s="447"/>
      <c r="C22" s="431" t="s">
        <v>274</v>
      </c>
      <c r="D22" s="448" t="s">
        <v>275</v>
      </c>
      <c r="E22" s="245"/>
      <c r="F22" s="449">
        <v>600</v>
      </c>
      <c r="G22" s="435" t="s">
        <v>236</v>
      </c>
      <c r="H22" s="420">
        <f>IFERROR(X25*2,"-")</f>
        <v>26.295857946814156</v>
      </c>
      <c r="I22" s="386"/>
      <c r="J22" s="450"/>
      <c r="K22" s="54" t="s">
        <v>237</v>
      </c>
      <c r="L22" s="54"/>
      <c r="O22" s="425" t="s">
        <v>218</v>
      </c>
      <c r="P22" s="425"/>
      <c r="Q22" s="448" t="s">
        <v>264</v>
      </c>
      <c r="R22" s="420">
        <f>IFERROR(IF(AE22="预镀锌",VLOOKUP(AA22,常规材料表!$1:$1048576,5,0),VLOOKUP(AA22,常规材料表!$1:$1048576,10,0)),0)</f>
        <v>3.74</v>
      </c>
      <c r="S22" s="420">
        <v>1.01</v>
      </c>
      <c r="T22" s="420">
        <f>R22*S22/1.13</f>
        <v>3.34283185840708</v>
      </c>
      <c r="U22" s="420">
        <f>AJ25*(AG22+AH22)/Y22+IF(ISNUMBER(SEARCH("L60",AA20)),0.7,0.25)</f>
        <v>0.37051117686263091</v>
      </c>
      <c r="V22" s="420">
        <f>AF22*AK22*(AG22*AI22+AH22*AJ22)*2/1000000/Y22/1.13</f>
        <v>1.690998252635139</v>
      </c>
      <c r="W22" s="420">
        <f>SUM(AP20:AP22)/Y22/1.13</f>
        <v>0.58946738159677881</v>
      </c>
      <c r="X22" s="420">
        <f>(T22+U22+V22+W22)*Y22</f>
        <v>82.065286906549105</v>
      </c>
      <c r="Y22" s="429">
        <f>AK22*AK20*(AG22*AI22+AH22*AJ22)*Z23/1000000</f>
        <v>13.691676099726527</v>
      </c>
      <c r="Z22" s="429">
        <f>Y22*AB20</f>
        <v>13.691676099726527</v>
      </c>
      <c r="AA22" s="437" t="str">
        <f>D21</f>
        <v>90.Br2440.12</v>
      </c>
      <c r="AB22" s="439" t="str">
        <f>E21</f>
        <v>Z</v>
      </c>
      <c r="AC22" s="439">
        <f>F23</f>
        <v>2000</v>
      </c>
      <c r="AD22" s="438"/>
      <c r="AE22" s="439" t="str">
        <f>G21</f>
        <v>喷塑</v>
      </c>
      <c r="AF22" s="440">
        <f>IF(AE22="预镀锌",0,IF(AE22="喷塑",VLOOKUP(AA22,常规材料表!$1:$1048576,12,0),IF(AE22="热镀锌",VLOOKUP(AA22,常规材料表!$1:$1048576,13,0),IF(AE22="冷镀锌",VLOOKUP(AA22,常规材料表!$1:$1048576,15,0),0))))</f>
        <v>9</v>
      </c>
      <c r="AG22" s="429">
        <f>IF(AD23&gt;0,AD23,IF(AB22="D",IF(((AC20-300)/IF(ISNUMBER(SEARCH("L",AA20)),500,AB23)-AH22)*IF(ISNUMBER(SEARCH("L",AA20)),500,AB23)&lt;IF(ISNUMBER(SEARCH("L",AA20)),225,375),2,3),IF(AB22="Z",IF(((AC20-300)/IF(ISNUMBER(SEARCH("L",AA20)),500,AB23)-AH22)*IF(ISNUMBER(SEARCH("L",AA20)),500,AB23)&lt;IF(ISNUMBER(SEARCH("L",AA20)),225,375),2,3)+ROUND((AC22-150)/IF(ISNUMBER(SEARCH("L",AA20)),500,AB23)-0.5,0)+1,0)))</f>
        <v>6</v>
      </c>
      <c r="AH22" s="451">
        <f>IF(AE23&gt;0,AE23,ROUND((AC20-300)/IF(ISNUMBER(SEARCH("L",AA20)),500,600)-0.5,0))</f>
        <v>9</v>
      </c>
      <c r="AI22" s="452">
        <f>(AD20-IF(ISNUMBER(SEARCH("L",AA20)),IF(ISNUMBER(SEARCH("L5",AA20)),77,86),109)+41)</f>
        <v>932</v>
      </c>
      <c r="AJ22" s="452">
        <f>SQRT((AD20-IF(ISNUMBER(SEARCH("L",AA20)),IF(ISNUMBER(SEARCH("L5",AA20)),77,86),109))^2+IF(ISNUMBER(SEARCH("L",AA20)),500,AB23)^2)+41</f>
        <v>1115.1885309385871</v>
      </c>
      <c r="AK22" s="429">
        <f>VLOOKUP(AA22,常规材料表!$1:$1048576,7,0)</f>
        <v>93</v>
      </c>
      <c r="AL22" s="441" t="s">
        <v>276</v>
      </c>
      <c r="AM22" s="441">
        <f>VLOOKUP(AA22,常规材料表!$1:$1048576,21,0)</f>
        <v>0</v>
      </c>
      <c r="AN22" s="441">
        <f>VLOOKUP(AA22,常规材料表!$1:$1048576,22,0)</f>
        <v>0</v>
      </c>
      <c r="AO22" s="441">
        <f>IFERROR(VLOOKUP(AM22,标准件价格!$C:$D,2,0),0)</f>
        <v>0</v>
      </c>
      <c r="AP22" s="441">
        <f>AN22*AO22</f>
        <v>0</v>
      </c>
      <c r="AQ22" s="111">
        <f>IFERROR(VLOOKUP(AM22,标准件价格!$C:$E,3,0),0)</f>
        <v>0</v>
      </c>
      <c r="BZ22" t="s">
        <v>218</v>
      </c>
      <c r="CA22" s="112" t="s">
        <v>200</v>
      </c>
      <c r="CB22" t="s">
        <v>201</v>
      </c>
      <c r="CC22" t="s">
        <v>202</v>
      </c>
      <c r="CG22" s="122"/>
      <c r="CV22" s="388"/>
    </row>
    <row r="23" spans="1:102" customFormat="1" ht="30" customHeight="1" outlineLevel="1">
      <c r="A23" s="112"/>
      <c r="B23" s="418"/>
      <c r="C23" s="453">
        <f>报价辅助计算!$E$1</f>
        <v>75</v>
      </c>
      <c r="D23" s="112" t="s">
        <v>8</v>
      </c>
      <c r="E23" s="454">
        <f>F20/C23</f>
        <v>80</v>
      </c>
      <c r="F23" s="455">
        <v>2000</v>
      </c>
      <c r="G23" s="418"/>
      <c r="H23" s="421"/>
      <c r="I23" s="450"/>
      <c r="J23" s="387"/>
      <c r="K23" s="54" t="s">
        <v>237</v>
      </c>
      <c r="L23" s="54"/>
      <c r="O23" s="425" t="s">
        <v>218</v>
      </c>
      <c r="P23" s="425"/>
      <c r="R23" s="456"/>
      <c r="S23" s="420"/>
      <c r="T23" s="456"/>
      <c r="U23" s="456"/>
      <c r="V23" s="387"/>
      <c r="W23" s="456"/>
      <c r="X23" s="456"/>
      <c r="Y23" s="457" t="s">
        <v>277</v>
      </c>
      <c r="Z23" s="458">
        <v>7.85</v>
      </c>
      <c r="AA23" s="459" t="s">
        <v>278</v>
      </c>
      <c r="AB23" s="460">
        <f>F22</f>
        <v>600</v>
      </c>
      <c r="AC23" s="429" t="s">
        <v>279</v>
      </c>
      <c r="AD23" s="460">
        <f>D25</f>
        <v>0</v>
      </c>
      <c r="AE23" s="460">
        <f>E25</f>
        <v>0</v>
      </c>
      <c r="AL23" s="441" t="s">
        <v>280</v>
      </c>
      <c r="AM23" s="441" t="str">
        <f>VLOOKUP(AA25,常规材料表!$1:$1048576,17,0)</f>
        <v>M10.L20</v>
      </c>
      <c r="AN23" s="441">
        <f>VLOOKUP(AA25,常规材料表!$1:$1048576,18,0)</f>
        <v>4</v>
      </c>
      <c r="AO23" s="441">
        <f>VLOOKUP(AM23,标准件价格!$C:$D,2,0)</f>
        <v>0.19600000000000001</v>
      </c>
      <c r="AP23" s="441">
        <f>AN23*AO23</f>
        <v>0.78400000000000003</v>
      </c>
      <c r="AQ23" s="111">
        <f>IFERROR(VLOOKUP(AM23,标准件价格!$C:$E,3,0),0)</f>
        <v>0</v>
      </c>
      <c r="BZ23" t="s">
        <v>218</v>
      </c>
      <c r="CA23" s="112" t="s">
        <v>200</v>
      </c>
      <c r="CB23" t="s">
        <v>201</v>
      </c>
      <c r="CC23" t="s">
        <v>202</v>
      </c>
      <c r="CG23" s="122"/>
      <c r="CV23" s="388"/>
    </row>
    <row r="24" spans="1:102" customFormat="1" ht="30" customHeight="1" outlineLevel="1">
      <c r="A24" s="112"/>
      <c r="B24" s="418"/>
      <c r="C24" s="418" t="s">
        <v>281</v>
      </c>
      <c r="D24" s="418"/>
      <c r="E24" s="461">
        <f>ROUNDUP(E23,0)*C23</f>
        <v>6000</v>
      </c>
      <c r="F24" s="462">
        <f>IF(D24&gt;0,F19*2,0)</f>
        <v>0</v>
      </c>
      <c r="G24" s="463"/>
      <c r="H24" s="421">
        <f>D24*J24*F24</f>
        <v>0</v>
      </c>
      <c r="I24" s="421"/>
      <c r="J24" s="464">
        <f>IFERROR((6.5*1.02+2+0.25*2/D24)/1.13+1,0)</f>
        <v>0</v>
      </c>
      <c r="K24" s="54" t="s">
        <v>237</v>
      </c>
      <c r="L24" s="54"/>
      <c r="O24" s="425" t="s">
        <v>218</v>
      </c>
      <c r="P24" s="425"/>
      <c r="Q24" s="445" t="s">
        <v>274</v>
      </c>
      <c r="R24" s="420" t="s">
        <v>238</v>
      </c>
      <c r="S24" s="420" t="s">
        <v>239</v>
      </c>
      <c r="T24" s="420" t="s">
        <v>240</v>
      </c>
      <c r="U24" s="420" t="s">
        <v>241</v>
      </c>
      <c r="V24" s="420" t="s">
        <v>242</v>
      </c>
      <c r="W24" s="420" t="s">
        <v>207</v>
      </c>
      <c r="X24" s="420" t="s">
        <v>282</v>
      </c>
      <c r="Y24" s="429" t="s">
        <v>283</v>
      </c>
      <c r="Z24" s="429" t="s">
        <v>159</v>
      </c>
      <c r="AA24" s="438" t="s">
        <v>284</v>
      </c>
      <c r="AB24" s="429" t="s">
        <v>221</v>
      </c>
      <c r="AC24" s="429" t="s">
        <v>222</v>
      </c>
      <c r="AD24" s="448" t="s">
        <v>285</v>
      </c>
      <c r="AE24" s="428" t="s">
        <v>286</v>
      </c>
      <c r="AF24" s="429" t="s">
        <v>226</v>
      </c>
      <c r="AG24" s="441" t="s">
        <v>238</v>
      </c>
      <c r="AH24" s="441" t="s">
        <v>287</v>
      </c>
      <c r="AI24" s="441" t="s">
        <v>288</v>
      </c>
      <c r="AJ24" s="429" t="s">
        <v>289</v>
      </c>
      <c r="AK24" s="429"/>
      <c r="AL24" s="441" t="s">
        <v>290</v>
      </c>
      <c r="AM24" s="441" t="str">
        <f>VLOOKUP(AA25,常规材料表!$1:$1048576,19,0)</f>
        <v>Anc.M12.L100</v>
      </c>
      <c r="AN24" s="441">
        <f>VLOOKUP(AA25,常规材料表!$1:$1048576,20,0)</f>
        <v>2</v>
      </c>
      <c r="AO24" s="441">
        <f>IFERROR(VLOOKUP(AM24,标准件价格!$C:$D,2,0),0)</f>
        <v>0.6</v>
      </c>
      <c r="AP24" s="441">
        <f>AN24*AO24</f>
        <v>1.2</v>
      </c>
      <c r="AQ24" s="111">
        <f>IFERROR(VLOOKUP(AM24,标准件价格!$C:$E,3,0),0)</f>
        <v>0</v>
      </c>
      <c r="BZ24" t="s">
        <v>218</v>
      </c>
      <c r="CA24" s="112" t="s">
        <v>200</v>
      </c>
      <c r="CB24" t="s">
        <v>201</v>
      </c>
      <c r="CC24" t="s">
        <v>202</v>
      </c>
      <c r="CG24" s="122"/>
      <c r="CV24" s="388"/>
    </row>
    <row r="25" spans="1:102" customFormat="1" ht="30" customHeight="1" outlineLevel="1">
      <c r="A25" s="112"/>
      <c r="B25" s="414">
        <v>0</v>
      </c>
      <c r="C25" s="465">
        <f>报价辅助计算!$E$13</f>
        <v>0</v>
      </c>
      <c r="D25" s="466">
        <v>0</v>
      </c>
      <c r="E25" s="467">
        <v>0</v>
      </c>
      <c r="F25" s="112"/>
      <c r="G25" s="418"/>
      <c r="H25" s="421"/>
      <c r="I25" s="468">
        <v>0</v>
      </c>
      <c r="J25" s="422"/>
      <c r="K25" s="54" t="s">
        <v>237</v>
      </c>
      <c r="L25" s="54"/>
      <c r="O25" s="425" t="s">
        <v>218</v>
      </c>
      <c r="P25" s="425"/>
      <c r="R25" s="420">
        <f>AG25</f>
        <v>6.1</v>
      </c>
      <c r="S25" s="420">
        <v>1.01</v>
      </c>
      <c r="T25" s="420">
        <f>R25*S25/1.13</f>
        <v>5.4522123893805308</v>
      </c>
      <c r="U25" s="420">
        <f>VLOOKUP(AA25,常规材料表!$1:$1048576,11,0)/Y25+0.25</f>
        <v>1.3680807919589866</v>
      </c>
      <c r="V25" s="420">
        <f>IF(AE25="喷塑",AF25,AF25)/1.13</f>
        <v>0.84070796460177</v>
      </c>
      <c r="W25" s="420">
        <f>SUM(AP23:AP25)/Y25/1.13</f>
        <v>4.5893712200649563</v>
      </c>
      <c r="X25" s="420">
        <f>(T25+U25+V25+W25)*Y25</f>
        <v>13.147928973407078</v>
      </c>
      <c r="Y25" s="469">
        <f>VLOOKUP(AA25,常规材料表!$1:$1048576,3,0)</f>
        <v>1.0732676999999999</v>
      </c>
      <c r="Z25" s="427">
        <f>Y25*AC25</f>
        <v>1.0732676999999999</v>
      </c>
      <c r="AA25" s="470" t="str">
        <f>D22</f>
        <v>FP90H4.DE75+bolt.set</v>
      </c>
      <c r="AB25" s="440" t="str">
        <f>AA20</f>
        <v>9070-20</v>
      </c>
      <c r="AC25" s="429">
        <f>AB20</f>
        <v>1</v>
      </c>
      <c r="AD25" s="471">
        <f>J20</f>
        <v>0</v>
      </c>
      <c r="AE25" s="439" t="str">
        <f>G22</f>
        <v>喷塑</v>
      </c>
      <c r="AF25" s="440">
        <f>IF(AE25="预镀锌",0,IF(AE25="喷塑",VLOOKUP(AA25,常规材料表!$1:$1048576,12,0),IF(AE25="热镀锌",VLOOKUP(AA25,常规材料表!$1:$1048576,13,0),IF(AE25="冷镀锌",VLOOKUP(AA25,常规材料表!$1:$1048576,15,0),0))))</f>
        <v>0.95</v>
      </c>
      <c r="AG25" s="440">
        <f>VLOOKUP(AA25,常规材料表!$1:$1048576,10,0)</f>
        <v>6.1</v>
      </c>
      <c r="AH25" s="429">
        <f>IF(AE25="预镀锌",VLOOKUP(AA25,常规材料表!$1:$1048576,11,0)+VLOOKUP(AA25,常规材料表!$1:$1048576,14,0),VLOOKUP(AA25,常规材料表!$1:$1048576,11,0))</f>
        <v>1.2</v>
      </c>
      <c r="AI25" s="441">
        <f>VLOOKUP(AA25,常规材料表!$1:$1048576,4,0)</f>
        <v>7.4759999999999993E-2</v>
      </c>
      <c r="AJ25" s="429">
        <f>IF(AE22="预镀锌",VLOOKUP(AA22,常规材料表!$1:$1048576,11,0)+VLOOKUP(AA22,常规材料表!$1:$1048576,14,0),VLOOKUP(AA22,常规材料表!$1:$1048576,11,0))</f>
        <v>0.11</v>
      </c>
      <c r="AK25" s="429"/>
      <c r="AL25" s="441" t="s">
        <v>291</v>
      </c>
      <c r="AM25" s="441" t="str">
        <f>VLOOKUP(AA25,常规材料表!$1:$1048576,21,0)</f>
        <v>SHM90/100.15.Pregal</v>
      </c>
      <c r="AN25" s="441">
        <f>VLOOKUP(AA25,常规材料表!$1:$1048576,22,0)</f>
        <v>2</v>
      </c>
      <c r="AO25" s="441">
        <f>VLOOKUP(AM25,标准件价格!$C:$D,2,0)</f>
        <v>1.7909774999999999</v>
      </c>
      <c r="AP25" s="441">
        <f>AN25*AO25</f>
        <v>3.5819549999999998</v>
      </c>
      <c r="AQ25" s="111">
        <f>IFERROR(VLOOKUP(AM25,标准件价格!$C:$E,3,0),0)</f>
        <v>0.19899749999999999</v>
      </c>
      <c r="BZ25" t="s">
        <v>218</v>
      </c>
      <c r="CA25" s="112" t="s">
        <v>200</v>
      </c>
      <c r="CB25" t="s">
        <v>201</v>
      </c>
      <c r="CC25" t="s">
        <v>202</v>
      </c>
      <c r="CG25" s="122"/>
      <c r="CV25" s="388"/>
    </row>
    <row r="26" spans="1:102" s="376" customFormat="1" ht="30" customHeight="1">
      <c r="A26" s="472"/>
      <c r="B26" s="473"/>
      <c r="C26" s="473"/>
      <c r="D26" s="473"/>
      <c r="E26" s="474"/>
      <c r="F26" s="473"/>
      <c r="G26" s="473"/>
      <c r="H26" s="421"/>
      <c r="I26" s="421"/>
      <c r="J26" s="422"/>
      <c r="K26" s="475"/>
      <c r="L26" s="475"/>
      <c r="R26" s="387"/>
      <c r="S26" s="387"/>
      <c r="T26" s="387"/>
      <c r="U26" s="387"/>
      <c r="V26" s="387"/>
      <c r="W26" s="387"/>
      <c r="X26" s="387"/>
      <c r="AQ26" s="476"/>
      <c r="BZ26" t="s">
        <v>218</v>
      </c>
      <c r="CA26" s="112" t="s">
        <v>200</v>
      </c>
      <c r="CB26" t="s">
        <v>201</v>
      </c>
      <c r="CC26" t="s">
        <v>202</v>
      </c>
      <c r="CG26" s="477"/>
    </row>
    <row r="27" spans="1:102" customFormat="1" ht="30" customHeight="1">
      <c r="A27" s="112" t="str">
        <f>IF($C$13=1,IF(K27="报价行",IF(F27&gt;0,1," ")," ")," ")</f>
        <v xml:space="preserve"> </v>
      </c>
      <c r="B27" s="414" t="str">
        <f>IF(A27=1,SUM($A$11:A27),"中型两立柱柱片")</f>
        <v>中型两立柱柱片</v>
      </c>
      <c r="C27" s="415" t="str">
        <f>B28&amp;IF(C33=1,CHAR(10)&amp;B29," ")</f>
        <v xml:space="preserve">Frame </v>
      </c>
      <c r="D27" s="416" t="str">
        <f>"D"&amp;E28&amp;"*H"&amp;F28</f>
        <v>D600*H3000</v>
      </c>
      <c r="E27" s="417" t="str">
        <f>"Pitch "&amp;C31&amp;", "&amp;D31&amp;", Post "&amp;VLOOKUP(D28,常规材料表!$1:$1048576,28,0)&amp;VLOOKUP(D29,常规材料表!$1:$1048576,28,0)&amp;E29&amp;" brace,"&amp;IF(D30&gt;0,VLOOKUP(D30,常规材料表!$1:$1048576,28,0)," ")&amp;G31&amp;IF(G31&gt;0,"kg/bay, "," ")&amp;IF(G31&gt;0,F31," ")&amp;IF(G31&gt;0,IF(F31&gt;0,"mm first level"," ")," ")</f>
        <v xml:space="preserve">Pitch 50, Q235, Post 55*47*1.5 mm,18*30*1.2 mm,D brace,with L55A foot plate, shim plate and bolts,   </v>
      </c>
      <c r="F27" s="418">
        <v>1</v>
      </c>
      <c r="G27" s="419">
        <f>IFERROR(Y29+Y30+Y33*2+D32*F32/F27+IFERROR(AQ33*AN33,0)*2,"-")</f>
        <v>14.291703444635553</v>
      </c>
      <c r="H27" s="420">
        <f>IFERROR(SUM(H28:H30)+H32/F27,"-")</f>
        <v>86.367201196256843</v>
      </c>
      <c r="I27" s="421" t="s">
        <v>292</v>
      </c>
      <c r="J27" s="422"/>
      <c r="K27" s="423" t="s">
        <v>217</v>
      </c>
      <c r="L27" s="424">
        <f>C31</f>
        <v>50</v>
      </c>
      <c r="O27" s="425" t="s">
        <v>293</v>
      </c>
      <c r="P27" s="425"/>
      <c r="R27" s="387" t="s">
        <v>219</v>
      </c>
      <c r="S27" s="426" t="s">
        <v>220</v>
      </c>
      <c r="T27" s="426">
        <f>(T29*Y29+T30*Y30)/Y27</f>
        <v>3.3335511892419118</v>
      </c>
      <c r="U27" s="426">
        <f>(U29*Y29+U30*Y30)/Y27</f>
        <v>0.5649842564598091</v>
      </c>
      <c r="V27" s="426">
        <f>(V29*Y29+V30*Y30)/Y27</f>
        <v>1.4302076241647104</v>
      </c>
      <c r="W27" s="426">
        <f>(W30*Y30+W29*Y29)/Y27</f>
        <v>0.19771598728183123</v>
      </c>
      <c r="X27" s="426">
        <f>SUM(T27:W27)*Y27</f>
        <v>75.444322877672775</v>
      </c>
      <c r="Y27" s="427">
        <f>SUM(Y29:Y30)</f>
        <v>13.651475944635553</v>
      </c>
      <c r="Z27" s="427"/>
      <c r="AA27" s="428" t="s">
        <v>221</v>
      </c>
      <c r="AB27" s="428" t="s">
        <v>222</v>
      </c>
      <c r="AC27" s="428" t="s">
        <v>223</v>
      </c>
      <c r="AD27" s="428" t="s">
        <v>224</v>
      </c>
      <c r="AE27" s="428" t="s">
        <v>225</v>
      </c>
      <c r="AF27" s="429" t="s">
        <v>226</v>
      </c>
      <c r="AG27" s="429"/>
      <c r="AH27" s="429" t="s">
        <v>227</v>
      </c>
      <c r="AI27" s="429" t="s">
        <v>228</v>
      </c>
      <c r="AJ27" s="429" t="s">
        <v>229</v>
      </c>
      <c r="AK27" s="429" t="s">
        <v>230</v>
      </c>
      <c r="AL27" s="429" t="s">
        <v>231</v>
      </c>
      <c r="AM27" s="429" t="s">
        <v>232</v>
      </c>
      <c r="AN27" s="429" t="s">
        <v>102</v>
      </c>
      <c r="AO27" s="429" t="s">
        <v>74</v>
      </c>
      <c r="AP27" s="429" t="s">
        <v>21</v>
      </c>
      <c r="AQ27" s="111" t="s">
        <v>233</v>
      </c>
      <c r="AX27" t="str">
        <f>VLOOKUP(D28,常规材料表!$1:$1048576,28,0)</f>
        <v>55*47*1.5 mm,</v>
      </c>
      <c r="AY27" s="256">
        <f>F28</f>
        <v>3000</v>
      </c>
      <c r="AZ27">
        <f>F27*2</f>
        <v>2</v>
      </c>
      <c r="BA27">
        <f>Y29/2</f>
        <v>5.2634249999999998</v>
      </c>
      <c r="BB27">
        <f>BA27*AZ27</f>
        <v>10.52685</v>
      </c>
      <c r="BC27" t="str">
        <f>VLOOKUP(D29,常规材料表!$1:$1048576,28,0)</f>
        <v>18*30*1.2 mm,</v>
      </c>
      <c r="BD27" t="str">
        <f>VLOOKUP(D30,常规材料表!$1:$1048576,28,0)</f>
        <v>with L55A foot plate, shim plate and bolts,</v>
      </c>
      <c r="BF27">
        <f>AG30*F27</f>
        <v>2</v>
      </c>
      <c r="BG27" s="430">
        <f>AI30</f>
        <v>564</v>
      </c>
      <c r="BH27">
        <f>AK30*AK28*(AI30)*Z31/1000000</f>
        <v>0.35596295999999994</v>
      </c>
      <c r="BI27">
        <f>BH27*BF27</f>
        <v>0.71192591999999988</v>
      </c>
      <c r="BJ27">
        <f>AH30*F27</f>
        <v>5</v>
      </c>
      <c r="BK27" s="430">
        <f>AJ30</f>
        <v>764.55303882991188</v>
      </c>
      <c r="BL27">
        <f>AK30*AK28*(AJ30)*Z31/1000000</f>
        <v>0.48254000492711052</v>
      </c>
      <c r="BM27">
        <f>BL27*BJ27</f>
        <v>2.4127000246355528</v>
      </c>
      <c r="BN27">
        <f>AZ27</f>
        <v>2</v>
      </c>
      <c r="BO27" s="256">
        <f>Y33</f>
        <v>0.19</v>
      </c>
      <c r="BP27">
        <f>BO27*BN27</f>
        <v>0.38</v>
      </c>
      <c r="BQ27" t="str">
        <f>D31</f>
        <v>Q235</v>
      </c>
      <c r="BR27" t="str">
        <f>I27</f>
        <v>Blue Ral5015</v>
      </c>
      <c r="BS27">
        <f>T27*Y27</f>
        <v>45.5078938701472</v>
      </c>
      <c r="BT27">
        <f>U27*Y27</f>
        <v>7.7128689861588882</v>
      </c>
      <c r="BU27">
        <f>(V27+W27)*Y27</f>
        <v>22.223560021366698</v>
      </c>
      <c r="BZ27" t="s">
        <v>218</v>
      </c>
      <c r="CA27" s="112" t="s">
        <v>200</v>
      </c>
      <c r="CB27" t="s">
        <v>201</v>
      </c>
      <c r="CC27" t="s">
        <v>202</v>
      </c>
      <c r="CG27" s="122"/>
      <c r="CV27" s="388"/>
    </row>
    <row r="28" spans="1:102" customFormat="1" ht="30" customHeight="1" outlineLevel="1">
      <c r="A28" s="112"/>
      <c r="B28" s="415" t="s">
        <v>234</v>
      </c>
      <c r="C28" s="431" t="s">
        <v>10</v>
      </c>
      <c r="D28" s="432" t="s">
        <v>294</v>
      </c>
      <c r="E28" s="433">
        <v>600</v>
      </c>
      <c r="F28" s="434">
        <v>3000</v>
      </c>
      <c r="G28" s="435" t="s">
        <v>236</v>
      </c>
      <c r="H28" s="420">
        <f>IFERROR(X29,"-")</f>
        <v>55.535215181415928</v>
      </c>
      <c r="I28" s="421"/>
      <c r="J28" s="436">
        <f>IFERROR(IF(D31="Q355",IFERROR(IF(G28="预镀锌",VLOOKUP(D28,常规材料表!$1:$1048576,30,0),VLOOKUP(D28,常规材料表!$1:$1048576,29,0)),0),0),0)</f>
        <v>0</v>
      </c>
      <c r="K28" s="54" t="s">
        <v>237</v>
      </c>
      <c r="L28" s="54"/>
      <c r="O28" s="425" t="s">
        <v>293</v>
      </c>
      <c r="P28" s="425"/>
      <c r="Q28" s="256"/>
      <c r="R28" s="420" t="s">
        <v>238</v>
      </c>
      <c r="S28" s="420" t="s">
        <v>239</v>
      </c>
      <c r="T28" s="420" t="s">
        <v>240</v>
      </c>
      <c r="U28" s="420" t="s">
        <v>241</v>
      </c>
      <c r="V28" s="420" t="s">
        <v>242</v>
      </c>
      <c r="W28" s="420" t="s">
        <v>207</v>
      </c>
      <c r="X28" s="420" t="s">
        <v>243</v>
      </c>
      <c r="Y28" s="429" t="s">
        <v>244</v>
      </c>
      <c r="Z28" s="429" t="s">
        <v>159</v>
      </c>
      <c r="AA28" s="437" t="str">
        <f>D28</f>
        <v>L5547-15</v>
      </c>
      <c r="AB28" s="438">
        <v>1</v>
      </c>
      <c r="AC28" s="438">
        <f>F28</f>
        <v>3000</v>
      </c>
      <c r="AD28" s="438">
        <f>E28</f>
        <v>600</v>
      </c>
      <c r="AE28" s="439" t="str">
        <f>G28</f>
        <v>喷塑</v>
      </c>
      <c r="AF28" s="440">
        <f>IF(AE28="预镀锌",0,IF(AE28="喷塑",VLOOKUP(AA28,常规材料表!$1:$1048576,12,0),IF(AE28="热镀锌",VLOOKUP(AA28,常规材料表!$1:$1048576,13,0),IF(AE28="冷镀锌",VLOOKUP(AA28,常规材料表!$1:$1048576,15,0),0))))</f>
        <v>9</v>
      </c>
      <c r="AG28" s="440"/>
      <c r="AH28" s="440">
        <f>IF(AE28="预镀锌",VLOOKUP(AA28,常规材料表!$1:$1048576,11,0)+VLOOKUP(AA28,常规材料表!$1:$1048576,14,0),VLOOKUP(AA28,常规材料表!$1:$1048576,11,0))+IF(AC28&lt;8000,0,VLOOKUP(AA28,常规材料表!$1:$1048576,16,0))</f>
        <v>1.8</v>
      </c>
      <c r="AI28" s="440">
        <f>VLOOKUP(AA28,常规材料表!$1:$1048576,7,0)</f>
        <v>149</v>
      </c>
      <c r="AJ28" s="440">
        <f>VLOOKUP(AA28,常规材料表!$1:$1048576,6,0)</f>
        <v>1.5</v>
      </c>
      <c r="AK28" s="429">
        <f>VLOOKUP(AA30,常规材料表!$1:$1048576,6,0)</f>
        <v>1.2</v>
      </c>
      <c r="AL28" s="441" t="s">
        <v>245</v>
      </c>
      <c r="AM28" s="441" t="str">
        <f>VLOOKUP(AA30,常规材料表!$1:$1048576,17,0)</f>
        <v>M8.L45 Socket</v>
      </c>
      <c r="AN28" s="442">
        <f>AG30+AH30+2</f>
        <v>9</v>
      </c>
      <c r="AO28" s="441">
        <f>VLOOKUP(AM28,标准件价格!$C:$D,2,0)</f>
        <v>0.23</v>
      </c>
      <c r="AP28" s="441">
        <f>AN28*AO28+IF(AA28="L6650-15",0,0)</f>
        <v>2.0700000000000003</v>
      </c>
      <c r="AQ28" s="111">
        <f>IFERROR(VLOOKUP(AM28,标准件价格!$C:$E,3,0),0)</f>
        <v>0</v>
      </c>
      <c r="AR28">
        <f>IFERROR(IF(J28&gt;0,Y29*F27,0),"-")</f>
        <v>0</v>
      </c>
      <c r="AS28">
        <f>IFERROR(IF(J28=0,Y29*F27,0),"-")</f>
        <v>10.52685</v>
      </c>
      <c r="AT28">
        <f>IFERROR(Y30*F27,"-")</f>
        <v>3.1246259446355529</v>
      </c>
      <c r="AX28" t="s">
        <v>156</v>
      </c>
      <c r="AY28" t="s">
        <v>246</v>
      </c>
      <c r="AZ28" t="s">
        <v>102</v>
      </c>
      <c r="BA28" t="s">
        <v>158</v>
      </c>
      <c r="BB28" t="s">
        <v>247</v>
      </c>
      <c r="BC28" t="s">
        <v>248</v>
      </c>
      <c r="BD28" t="s">
        <v>249</v>
      </c>
      <c r="BE28" t="s">
        <v>250</v>
      </c>
      <c r="BF28" t="s">
        <v>251</v>
      </c>
      <c r="BG28" t="s">
        <v>252</v>
      </c>
      <c r="BH28" t="s">
        <v>253</v>
      </c>
      <c r="BI28" t="s">
        <v>254</v>
      </c>
      <c r="BJ28" t="s">
        <v>255</v>
      </c>
      <c r="BK28" t="s">
        <v>256</v>
      </c>
      <c r="BL28" t="s">
        <v>257</v>
      </c>
      <c r="BM28" t="s">
        <v>258</v>
      </c>
      <c r="BN28" t="s">
        <v>259</v>
      </c>
      <c r="BO28" t="s">
        <v>260</v>
      </c>
      <c r="BP28" t="s">
        <v>261</v>
      </c>
      <c r="BQ28" t="s">
        <v>262</v>
      </c>
      <c r="BR28" t="s">
        <v>155</v>
      </c>
      <c r="BS28" s="898" t="s">
        <v>2337</v>
      </c>
      <c r="BT28" s="898" t="s">
        <v>2338</v>
      </c>
      <c r="BU28" s="898" t="s">
        <v>2339</v>
      </c>
      <c r="BZ28" t="s">
        <v>218</v>
      </c>
      <c r="CA28" s="112" t="s">
        <v>200</v>
      </c>
      <c r="CB28" t="s">
        <v>201</v>
      </c>
      <c r="CC28" t="s">
        <v>202</v>
      </c>
      <c r="CG28" s="122"/>
      <c r="CV28" s="388"/>
    </row>
    <row r="29" spans="1:102" customFormat="1" ht="30" customHeight="1" outlineLevel="1">
      <c r="A29" s="112"/>
      <c r="B29" s="418" t="s">
        <v>263</v>
      </c>
      <c r="C29" s="431" t="s">
        <v>264</v>
      </c>
      <c r="D29" s="432" t="s">
        <v>295</v>
      </c>
      <c r="E29" s="443" t="s">
        <v>296</v>
      </c>
      <c r="F29" s="444">
        <v>0</v>
      </c>
      <c r="G29" s="435" t="s">
        <v>236</v>
      </c>
      <c r="H29" s="420">
        <f>IFERROR(X30,"-")</f>
        <v>19.909107696256861</v>
      </c>
      <c r="I29" s="421"/>
      <c r="J29" s="387"/>
      <c r="K29" s="54" t="s">
        <v>237</v>
      </c>
      <c r="L29" s="54"/>
      <c r="O29" s="425" t="s">
        <v>293</v>
      </c>
      <c r="P29" s="425"/>
      <c r="Q29" s="445" t="s">
        <v>10</v>
      </c>
      <c r="R29" s="420">
        <f>IF(AD33&gt;0,AD33,IFERROR(IF(AE28="预镀锌",VLOOKUP(AA28,常规材料表!$1:$1048576,5,0),VLOOKUP(AA28,常规材料表!$1:$1048576,10,0)),0))</f>
        <v>3.69</v>
      </c>
      <c r="S29" s="420">
        <v>1.02</v>
      </c>
      <c r="T29" s="420">
        <f>R29*S29/1.13</f>
        <v>3.3307964601769915</v>
      </c>
      <c r="U29" s="420">
        <f>(AH28*2/Y29)+IF(ISNUMBER(SEARCH("L60",AA28)),1.2,0.25)+IF(AD30="印尼",0.2,0)</f>
        <v>0.59198264438079762</v>
      </c>
      <c r="V29" s="420">
        <f>AI28*AC28*2*AF28*2/1000000/Y29/1.13</f>
        <v>1.3527986021081111</v>
      </c>
      <c r="W29" s="420"/>
      <c r="X29" s="420">
        <f>(T29+U29+V29)*Y29</f>
        <v>55.535215181415928</v>
      </c>
      <c r="Y29" s="429">
        <f>AI28*AJ28*(AC28+F29)*Z31*IF(F29&gt;0,1,2)/1000000</f>
        <v>10.52685</v>
      </c>
      <c r="Z29" s="429">
        <f>Y29*AB28</f>
        <v>10.52685</v>
      </c>
      <c r="AA29" s="428" t="s">
        <v>267</v>
      </c>
      <c r="AB29" s="428" t="s">
        <v>268</v>
      </c>
      <c r="AC29" s="428" t="s">
        <v>269</v>
      </c>
      <c r="AD29" s="446" t="s">
        <v>297</v>
      </c>
      <c r="AE29" s="428" t="s">
        <v>271</v>
      </c>
      <c r="AF29" s="429" t="s">
        <v>226</v>
      </c>
      <c r="AG29" s="429" t="s">
        <v>251</v>
      </c>
      <c r="AH29" s="429" t="s">
        <v>255</v>
      </c>
      <c r="AI29" s="429" t="s">
        <v>252</v>
      </c>
      <c r="AJ29" s="429" t="s">
        <v>256</v>
      </c>
      <c r="AK29" s="429" t="s">
        <v>272</v>
      </c>
      <c r="AL29" s="441" t="s">
        <v>273</v>
      </c>
      <c r="AM29" s="441" t="str">
        <f>VLOOKUP(AA30,常规材料表!$1:$1048576,19,0)</f>
        <v>Spacer.L55.φ14.L33</v>
      </c>
      <c r="AN29" s="442">
        <f>IF(AG30=2,2,4)</f>
        <v>2</v>
      </c>
      <c r="AO29" s="441">
        <f>VLOOKUP(AM29,标准件价格!$C:$D,2,0)</f>
        <v>0.49</v>
      </c>
      <c r="AP29" s="441">
        <f>AN29*AO29</f>
        <v>0.98</v>
      </c>
      <c r="AQ29" s="111">
        <f>IFERROR(VLOOKUP(AM29,标准件价格!$C:$E,3,0),0)</f>
        <v>0</v>
      </c>
      <c r="BZ29" t="s">
        <v>218</v>
      </c>
      <c r="CA29" s="112" t="s">
        <v>200</v>
      </c>
      <c r="CB29" t="s">
        <v>201</v>
      </c>
      <c r="CC29" t="s">
        <v>202</v>
      </c>
      <c r="CG29" s="122"/>
      <c r="CV29" s="388"/>
    </row>
    <row r="30" spans="1:102" customFormat="1" ht="30" customHeight="1" outlineLevel="1">
      <c r="A30" s="112"/>
      <c r="B30" s="447"/>
      <c r="C30" s="431" t="s">
        <v>274</v>
      </c>
      <c r="D30" s="448" t="s">
        <v>298</v>
      </c>
      <c r="E30" s="245"/>
      <c r="F30" s="449">
        <v>600</v>
      </c>
      <c r="G30" s="435" t="s">
        <v>236</v>
      </c>
      <c r="H30" s="420">
        <f>IFERROR(X33*2,"-")</f>
        <v>10.922878318584061</v>
      </c>
      <c r="I30" s="386"/>
      <c r="J30" s="450"/>
      <c r="K30" s="54" t="s">
        <v>237</v>
      </c>
      <c r="L30" s="54"/>
      <c r="O30" s="425" t="s">
        <v>293</v>
      </c>
      <c r="P30" s="425"/>
      <c r="Q30" s="448" t="s">
        <v>264</v>
      </c>
      <c r="R30" s="420">
        <f>IFERROR(IF(AE30="预镀锌",VLOOKUP(AA30,常规材料表!$1:$1048576,5,0),VLOOKUP(AA30,常规材料表!$1:$1048576,10,0)),0)</f>
        <v>3.74</v>
      </c>
      <c r="S30" s="420">
        <v>1.01</v>
      </c>
      <c r="T30" s="420">
        <f>R30*S30/1.13</f>
        <v>3.34283185840708</v>
      </c>
      <c r="U30" s="420">
        <f>AJ33*(AG30+AH30)/Y30+IF(ISNUMBER(SEARCH("L60",AA28)),0.7,0.25)</f>
        <v>0.47402681549827752</v>
      </c>
      <c r="V30" s="420">
        <f>AF30*AK30*(AG30*AI30+AH30*AJ30)*2/1000000/Y30/1.13</f>
        <v>1.6909982526351393</v>
      </c>
      <c r="W30" s="420">
        <f>SUM(AP28:AP30)/Y30/1.13</f>
        <v>0.8638202114661776</v>
      </c>
      <c r="X30" s="420">
        <f>(T30+U30+V30+W30)*Y30</f>
        <v>19.909107696256861</v>
      </c>
      <c r="Y30" s="429">
        <f>AK30*AK28*(AG30*AI30+AH30*AJ30)*Z31/1000000</f>
        <v>3.1246259446355529</v>
      </c>
      <c r="Z30" s="429">
        <f>Y30*AB28</f>
        <v>3.1246259446355529</v>
      </c>
      <c r="AA30" s="437" t="str">
        <f>D29</f>
        <v>55.Br1830.12</v>
      </c>
      <c r="AB30" s="439" t="str">
        <f>E29</f>
        <v>D</v>
      </c>
      <c r="AC30" s="439">
        <f>F31</f>
        <v>2000</v>
      </c>
      <c r="AD30" s="438" t="str">
        <f>I33</f>
        <v>外部冲孔时填写印尼</v>
      </c>
      <c r="AE30" s="439" t="str">
        <f>G29</f>
        <v>喷塑</v>
      </c>
      <c r="AF30" s="440">
        <f>IF(AE30="预镀锌",0,IF(AE30="喷塑",VLOOKUP(AA30,常规材料表!$1:$1048576,12,0),IF(AE30="热镀锌",VLOOKUP(AA30,常规材料表!$1:$1048576,13,0),IF(AE30="冷镀锌",VLOOKUP(AA30,常规材料表!$1:$1048576,15,0),0))))</f>
        <v>9</v>
      </c>
      <c r="AG30" s="429">
        <f>IF(AD31&gt;0,AD31,IF(AB30="D",IF(((AC28-300)/IF(ISNUMBER(SEARCH("L",AA28)),500,AB31)-AH30)*IF(ISNUMBER(SEARCH("L",AA28)),500,AB31)&lt;IF(ISNUMBER(SEARCH("L",AA28)),225,375),2,3),IF(AB30="Z",IF(((AC28-300)/IF(ISNUMBER(SEARCH("L",AA28)),500,AB31)-AH30)*IF(ISNUMBER(SEARCH("L",AA28)),500,AB31)&lt;IF(ISNUMBER(SEARCH("L",AA28)),225,375),2,3)+ROUND((AC30-150)/IF(ISNUMBER(SEARCH("L",AA28)),500,AB31)-0.5,0)+1,0)))</f>
        <v>2</v>
      </c>
      <c r="AH30" s="451">
        <f>IF(AE31&gt;0,AE31,ROUND((AC28-300)/IF(ISNUMBER(SEARCH("L",AA28)),500,600)-0.5,0))</f>
        <v>5</v>
      </c>
      <c r="AI30" s="452">
        <f>(AD28-IF(ISNUMBER(SEARCH("L",AA28)),IF(ISNUMBER(SEARCH("L5",AA28)),77,86),109)+41)</f>
        <v>564</v>
      </c>
      <c r="AJ30" s="452">
        <f>SQRT((AD28-IF(ISNUMBER(SEARCH("L",AA28)),IF(ISNUMBER(SEARCH("L5",AA28)),77,86),109))^2+IF(ISNUMBER(SEARCH("L",AA28)),500,AB31)^2)+41</f>
        <v>764.55303882991188</v>
      </c>
      <c r="AK30" s="429">
        <f>VLOOKUP(AA30,常规材料表!$1:$1048576,7,0)</f>
        <v>67</v>
      </c>
      <c r="AL30" s="441" t="s">
        <v>276</v>
      </c>
      <c r="AM30" s="441">
        <f>VLOOKUP(AA30,常规材料表!$1:$1048576,21,0)</f>
        <v>0</v>
      </c>
      <c r="AN30" s="441">
        <f>VLOOKUP(AA30,常规材料表!$1:$1048576,22,0)</f>
        <v>0</v>
      </c>
      <c r="AO30" s="441">
        <f>IFERROR(VLOOKUP(AM30,标准件价格!$C:$D,2,0),0)</f>
        <v>0</v>
      </c>
      <c r="AP30" s="441">
        <f>AN30*AO30</f>
        <v>0</v>
      </c>
      <c r="AQ30" s="111">
        <f>IFERROR(VLOOKUP(AM30,标准件价格!$C:$E,3,0),0)</f>
        <v>0</v>
      </c>
      <c r="BZ30" t="s">
        <v>218</v>
      </c>
      <c r="CA30" s="112" t="s">
        <v>200</v>
      </c>
      <c r="CB30" t="s">
        <v>201</v>
      </c>
      <c r="CC30" t="s">
        <v>202</v>
      </c>
      <c r="CG30" s="122"/>
      <c r="CV30" s="388"/>
    </row>
    <row r="31" spans="1:102" customFormat="1" ht="30" customHeight="1" outlineLevel="1">
      <c r="A31" s="112"/>
      <c r="B31" s="418"/>
      <c r="C31" s="453">
        <f>报价辅助计算!$H$1</f>
        <v>50</v>
      </c>
      <c r="D31" s="112" t="s">
        <v>8</v>
      </c>
      <c r="E31" s="454">
        <f>F28/C31</f>
        <v>60</v>
      </c>
      <c r="F31" s="455">
        <v>2000</v>
      </c>
      <c r="G31" s="418"/>
      <c r="H31" s="421"/>
      <c r="I31" s="450"/>
      <c r="J31" s="387"/>
      <c r="K31" s="54" t="s">
        <v>237</v>
      </c>
      <c r="L31" s="54"/>
      <c r="O31" s="425" t="s">
        <v>293</v>
      </c>
      <c r="P31" s="425"/>
      <c r="R31" s="456"/>
      <c r="S31" s="420"/>
      <c r="T31" s="456"/>
      <c r="U31" s="456"/>
      <c r="V31" s="387"/>
      <c r="W31" s="456"/>
      <c r="X31" s="456"/>
      <c r="Y31" s="457" t="s">
        <v>277</v>
      </c>
      <c r="Z31" s="458">
        <v>7.85</v>
      </c>
      <c r="AA31" s="459" t="s">
        <v>278</v>
      </c>
      <c r="AB31" s="460">
        <f>F30</f>
        <v>600</v>
      </c>
      <c r="AC31" s="429" t="s">
        <v>279</v>
      </c>
      <c r="AD31" s="460">
        <f>D33</f>
        <v>0</v>
      </c>
      <c r="AE31" s="460">
        <f>E33</f>
        <v>0</v>
      </c>
      <c r="AL31" s="441" t="s">
        <v>280</v>
      </c>
      <c r="AM31" s="441" t="str">
        <f>VLOOKUP(AA33,常规材料表!$1:$1048576,17,0)</f>
        <v>M8.L45 Socket</v>
      </c>
      <c r="AN31" s="441">
        <f>VLOOKUP(AA33,常规材料表!$1:$1048576,18,0)</f>
        <v>1</v>
      </c>
      <c r="AO31" s="441">
        <f>VLOOKUP(AM31,标准件价格!$C:$D,2,0)</f>
        <v>0.23</v>
      </c>
      <c r="AP31" s="441">
        <f>AN31*AO31</f>
        <v>0.23</v>
      </c>
      <c r="AQ31" s="111">
        <f>IFERROR(VLOOKUP(AM31,标准件价格!$C:$E,3,0),0)</f>
        <v>0</v>
      </c>
      <c r="BZ31" t="s">
        <v>218</v>
      </c>
      <c r="CA31" s="112" t="s">
        <v>200</v>
      </c>
      <c r="CB31" t="s">
        <v>201</v>
      </c>
      <c r="CC31" t="s">
        <v>202</v>
      </c>
      <c r="CG31" s="122"/>
      <c r="CV31" s="388"/>
    </row>
    <row r="32" spans="1:102" customFormat="1" ht="30" customHeight="1" outlineLevel="1">
      <c r="A32" s="112"/>
      <c r="B32" s="418"/>
      <c r="C32" s="418" t="s">
        <v>281</v>
      </c>
      <c r="D32" s="418"/>
      <c r="E32" s="461">
        <f>ROUNDUP(E31,0)*C31</f>
        <v>3000</v>
      </c>
      <c r="F32" s="462">
        <f>IF(D32&gt;0,F27*2,0)</f>
        <v>0</v>
      </c>
      <c r="G32" s="463"/>
      <c r="H32" s="421">
        <f>D32*J32*F32</f>
        <v>0</v>
      </c>
      <c r="I32" s="421"/>
      <c r="J32" s="464">
        <f>IFERROR((6.5*1.02+2+0.25*2/D32)/1.13+1,0)</f>
        <v>0</v>
      </c>
      <c r="K32" s="54" t="s">
        <v>237</v>
      </c>
      <c r="L32" s="54"/>
      <c r="O32" s="425" t="s">
        <v>293</v>
      </c>
      <c r="P32" s="425"/>
      <c r="Q32" s="445" t="s">
        <v>274</v>
      </c>
      <c r="R32" s="420" t="s">
        <v>238</v>
      </c>
      <c r="S32" s="420" t="s">
        <v>239</v>
      </c>
      <c r="T32" s="420" t="s">
        <v>240</v>
      </c>
      <c r="U32" s="420" t="s">
        <v>241</v>
      </c>
      <c r="V32" s="420" t="s">
        <v>242</v>
      </c>
      <c r="W32" s="420" t="s">
        <v>207</v>
      </c>
      <c r="X32" s="420" t="s">
        <v>282</v>
      </c>
      <c r="Y32" s="429" t="s">
        <v>283</v>
      </c>
      <c r="Z32" s="429" t="s">
        <v>159</v>
      </c>
      <c r="AA32" s="438" t="s">
        <v>284</v>
      </c>
      <c r="AB32" s="429" t="s">
        <v>221</v>
      </c>
      <c r="AC32" s="429" t="s">
        <v>222</v>
      </c>
      <c r="AD32" s="448" t="s">
        <v>285</v>
      </c>
      <c r="AE32" s="428" t="s">
        <v>286</v>
      </c>
      <c r="AF32" s="429" t="s">
        <v>226</v>
      </c>
      <c r="AG32" s="441" t="s">
        <v>238</v>
      </c>
      <c r="AH32" s="441" t="s">
        <v>287</v>
      </c>
      <c r="AI32" s="441" t="s">
        <v>288</v>
      </c>
      <c r="AJ32" s="429" t="s">
        <v>289</v>
      </c>
      <c r="AK32" s="429"/>
      <c r="AL32" s="441" t="s">
        <v>290</v>
      </c>
      <c r="AM32" s="441" t="str">
        <f>VLOOKUP(AA33,常规材料表!$1:$1048576,19,0)</f>
        <v>Anc.M8.L60</v>
      </c>
      <c r="AN32" s="441">
        <f>VLOOKUP(AA33,常规材料表!$1:$1048576,20,0)</f>
        <v>2</v>
      </c>
      <c r="AO32" s="441">
        <f>IFERROR(VLOOKUP(AM32,标准件价格!$C:$D,2,0),0)</f>
        <v>0.32</v>
      </c>
      <c r="AP32" s="441">
        <f>AN32*AO32</f>
        <v>0.64</v>
      </c>
      <c r="AQ32" s="111">
        <f>IFERROR(VLOOKUP(AM32,标准件价格!$C:$E,3,0),0)</f>
        <v>0</v>
      </c>
      <c r="BZ32" t="s">
        <v>218</v>
      </c>
      <c r="CA32" s="112" t="s">
        <v>200</v>
      </c>
      <c r="CB32" t="s">
        <v>201</v>
      </c>
      <c r="CC32" t="s">
        <v>202</v>
      </c>
      <c r="CG32" s="122"/>
      <c r="CV32" s="388"/>
    </row>
    <row r="33" spans="1:100" customFormat="1" ht="30" customHeight="1" outlineLevel="1">
      <c r="A33" s="112"/>
      <c r="B33" s="414">
        <v>0</v>
      </c>
      <c r="C33" s="465">
        <f>报价辅助计算!$E$13</f>
        <v>0</v>
      </c>
      <c r="D33" s="466">
        <v>0</v>
      </c>
      <c r="E33" s="467">
        <v>0</v>
      </c>
      <c r="F33" s="112"/>
      <c r="G33" s="418"/>
      <c r="H33" s="421"/>
      <c r="I33" s="438" t="s">
        <v>299</v>
      </c>
      <c r="J33" s="422"/>
      <c r="K33" s="54" t="s">
        <v>237</v>
      </c>
      <c r="L33" s="54"/>
      <c r="O33" s="425" t="s">
        <v>293</v>
      </c>
      <c r="P33" s="425"/>
      <c r="R33" s="420">
        <f>AG33</f>
        <v>18.947368421052602</v>
      </c>
      <c r="S33" s="420">
        <v>1.01</v>
      </c>
      <c r="T33" s="420">
        <f>R33*S33/1.13</f>
        <v>16.935258500232859</v>
      </c>
      <c r="U33" s="420">
        <f>VLOOKUP(AA33,常规材料表!$1:$1048576,11,0)/Y33+0.25</f>
        <v>0.25</v>
      </c>
      <c r="V33" s="420">
        <f>IF(AE33="喷塑",AF33,AF33)/1.13</f>
        <v>0.84070796460177</v>
      </c>
      <c r="W33" s="420">
        <f>SUM(AP31:AP33)/Y33/1.13</f>
        <v>10.718450163018167</v>
      </c>
      <c r="X33" s="420">
        <f>(T33+U33+V33+W33)*Y33</f>
        <v>5.4614391592920306</v>
      </c>
      <c r="Y33" s="469">
        <f>VLOOKUP(AA33,常规材料表!$1:$1048576,3,0)</f>
        <v>0.19</v>
      </c>
      <c r="Z33" s="427">
        <f>Y33*AC33</f>
        <v>0.19</v>
      </c>
      <c r="AA33" s="470" t="str">
        <f>D30</f>
        <v>FP.L55A+M8.L45</v>
      </c>
      <c r="AB33" s="440" t="str">
        <f>AA28</f>
        <v>L5547-15</v>
      </c>
      <c r="AC33" s="429">
        <f>AB28</f>
        <v>1</v>
      </c>
      <c r="AD33" s="471">
        <f>J28</f>
        <v>0</v>
      </c>
      <c r="AE33" s="439" t="str">
        <f>G30</f>
        <v>喷塑</v>
      </c>
      <c r="AF33" s="440">
        <f>IF(AE33="预镀锌",0,IF(AE33="喷塑",VLOOKUP(AA33,常规材料表!$1:$1048576,12,0),IF(AE33="热镀锌",VLOOKUP(AA33,常规材料表!$1:$1048576,13,0),IF(AE33="冷镀锌",VLOOKUP(AA33,常规材料表!$1:$1048576,15,0),0))))</f>
        <v>0.95</v>
      </c>
      <c r="AG33" s="440">
        <f>VLOOKUP(AA33,常规材料表!$1:$1048576,10,0)</f>
        <v>18.947368421052602</v>
      </c>
      <c r="AH33" s="429">
        <f>IF(AE33="预镀锌",VLOOKUP(AA33,常规材料表!$1:$1048576,11,0)+VLOOKUP(AA33,常规材料表!$1:$1048576,14,0),VLOOKUP(AA33,常规材料表!$1:$1048576,11,0))</f>
        <v>0</v>
      </c>
      <c r="AI33" s="441">
        <f>VLOOKUP(AA33,常规材料表!$1:$1048576,4,0)</f>
        <v>2.0670000000000001E-2</v>
      </c>
      <c r="AJ33" s="429">
        <f>IF(AE30="预镀锌",VLOOKUP(AA30,常规材料表!$1:$1048576,11,0)+VLOOKUP(AA30,常规材料表!$1:$1048576,14,0),VLOOKUP(AA30,常规材料表!$1:$1048576,11,0))</f>
        <v>0.1</v>
      </c>
      <c r="AK33" s="429"/>
      <c r="AL33" s="441" t="s">
        <v>291</v>
      </c>
      <c r="AM33" s="441" t="str">
        <f>VLOOKUP(AA33,常规材料表!$1:$1048576,21,0)</f>
        <v>SHM55A.15.Pregal</v>
      </c>
      <c r="AN33" s="441">
        <f>VLOOKUP(AA33,常规材料表!$1:$1048576,22,0)</f>
        <v>2</v>
      </c>
      <c r="AO33" s="441">
        <f>VLOOKUP(AM33,标准件价格!$C:$D,2,0)</f>
        <v>0.71562562500000004</v>
      </c>
      <c r="AP33" s="441">
        <f>AN33*AO33</f>
        <v>1.4312512500000001</v>
      </c>
      <c r="AQ33" s="111">
        <f>IFERROR(VLOOKUP(AM33,标准件价格!$C:$E,3,0),0)</f>
        <v>6.5056875E-2</v>
      </c>
      <c r="BZ33" t="s">
        <v>218</v>
      </c>
      <c r="CA33" s="112" t="s">
        <v>200</v>
      </c>
      <c r="CB33" t="s">
        <v>201</v>
      </c>
      <c r="CC33" t="s">
        <v>202</v>
      </c>
      <c r="CG33" s="122"/>
      <c r="CV33" s="388"/>
    </row>
    <row r="34" spans="1:100" s="376" customFormat="1" ht="30" customHeight="1">
      <c r="A34" s="472"/>
      <c r="B34" s="473"/>
      <c r="C34" s="473"/>
      <c r="D34" s="473"/>
      <c r="E34" s="474"/>
      <c r="F34" s="473"/>
      <c r="G34" s="473"/>
      <c r="H34" s="421"/>
      <c r="I34" s="421"/>
      <c r="J34" s="422"/>
      <c r="K34" s="475"/>
      <c r="L34" s="475"/>
      <c r="R34" s="387"/>
      <c r="S34" s="387"/>
      <c r="T34" s="387"/>
      <c r="U34" s="387"/>
      <c r="V34" s="387"/>
      <c r="W34" s="387"/>
      <c r="X34" s="387"/>
      <c r="AQ34" s="476"/>
      <c r="BZ34" t="s">
        <v>218</v>
      </c>
      <c r="CA34" s="112" t="s">
        <v>200</v>
      </c>
      <c r="CB34" t="s">
        <v>201</v>
      </c>
      <c r="CC34" t="s">
        <v>202</v>
      </c>
      <c r="CG34" s="477"/>
    </row>
    <row r="35" spans="1:100" customFormat="1" ht="30" customHeight="1">
      <c r="A35" s="112" t="str">
        <f>IF($C$13=1,IF(K35="报价行",IF(F35&gt;0,1," ")," ")," ")</f>
        <v xml:space="preserve"> </v>
      </c>
      <c r="B35" s="414" t="str">
        <f>IF(A35=1,SUM($A$11:A35),"柱片无脚底板")</f>
        <v>柱片无脚底板</v>
      </c>
      <c r="C35" s="415" t="str">
        <f>B36&amp;IF(C41=1,CHAR(10)&amp;B37," ")</f>
        <v xml:space="preserve">Frame without foot plate </v>
      </c>
      <c r="D35" s="416" t="str">
        <f>"D"&amp;E36&amp;"*H"&amp;F36</f>
        <v>D1000*H2000</v>
      </c>
      <c r="E35" s="417" t="str">
        <f>"Pitch "&amp;C39&amp;", "&amp;D39&amp;", Post "&amp;VLOOKUP(D36,常规材料表!$1:$1048576,28,0)&amp;VLOOKUP(D37,常规材料表!$1:$1048576,28,0)&amp;E37&amp;" brace,"&amp;G39&amp;IF(G39&gt;0,"kg/bay, "," ")&amp;IF(G39&gt;0,F39," ")&amp;IF(G39&gt;0,IF(#REF!&gt;0,"mm first level"," ")," ")</f>
        <v xml:space="preserve">Pitch 75, Q235, Post 90*70*2 mm,24*40*1.2 mm,Z brace,   </v>
      </c>
      <c r="F35" s="418">
        <v>1</v>
      </c>
      <c r="G35" s="419">
        <f>IFERROR(Y37+Y38+D40*F40/F35,"-")</f>
        <v>23.306559568828117</v>
      </c>
      <c r="H35" s="420">
        <f>IFERROR(SUM(H36:H38)+H40/F35,"-")</f>
        <v>122.4492632876705</v>
      </c>
      <c r="I35" s="421" t="s">
        <v>292</v>
      </c>
      <c r="J35" s="422"/>
      <c r="K35" s="423" t="s">
        <v>217</v>
      </c>
      <c r="L35" s="424">
        <f>C39</f>
        <v>75</v>
      </c>
      <c r="O35" s="425" t="s">
        <v>300</v>
      </c>
      <c r="P35" s="425"/>
      <c r="R35" s="387" t="s">
        <v>219</v>
      </c>
      <c r="S35" s="426" t="s">
        <v>220</v>
      </c>
      <c r="T35" s="426">
        <f>(T37*Y37+T38*Y38)/Y35</f>
        <v>3.280250787742399</v>
      </c>
      <c r="U35" s="426">
        <f>(U37*Y37+U38*Y38)/Y35</f>
        <v>0.48126536476061343</v>
      </c>
      <c r="V35" s="426">
        <f>(V37*Y37+V38*Y38)/Y35</f>
        <v>1.2371778970735694</v>
      </c>
      <c r="W35" s="426">
        <f>(W38*Y38+W37*Y37)/Y35</f>
        <v>0.25516003927156528</v>
      </c>
      <c r="X35" s="426">
        <f>SUM(T35:W35)*Y35</f>
        <v>122.4492632876705</v>
      </c>
      <c r="Y35" s="427">
        <f>SUM(Y37:Y38)</f>
        <v>23.306559568828117</v>
      </c>
      <c r="Z35" s="427"/>
      <c r="AA35" s="428" t="s">
        <v>221</v>
      </c>
      <c r="AB35" s="428" t="s">
        <v>222</v>
      </c>
      <c r="AC35" s="428" t="s">
        <v>223</v>
      </c>
      <c r="AD35" s="428" t="s">
        <v>224</v>
      </c>
      <c r="AE35" s="428" t="s">
        <v>225</v>
      </c>
      <c r="AF35" s="429" t="s">
        <v>226</v>
      </c>
      <c r="AG35" s="429"/>
      <c r="AH35" s="429" t="s">
        <v>227</v>
      </c>
      <c r="AI35" s="429" t="s">
        <v>228</v>
      </c>
      <c r="AJ35" s="429" t="s">
        <v>229</v>
      </c>
      <c r="AK35" s="429" t="s">
        <v>230</v>
      </c>
      <c r="AL35" s="429" t="s">
        <v>231</v>
      </c>
      <c r="AM35" s="429" t="s">
        <v>232</v>
      </c>
      <c r="AN35" s="429" t="s">
        <v>102</v>
      </c>
      <c r="AO35" s="429" t="s">
        <v>74</v>
      </c>
      <c r="AP35" s="429" t="s">
        <v>21</v>
      </c>
      <c r="AQ35" s="111" t="s">
        <v>233</v>
      </c>
      <c r="AX35" t="str">
        <f>VLOOKUP(D36,常规材料表!$1:$1048576,28,0)</f>
        <v>90*70*2 mm,</v>
      </c>
      <c r="AY35" s="256">
        <f>F36</f>
        <v>2000</v>
      </c>
      <c r="AZ35">
        <f>F35*2</f>
        <v>2</v>
      </c>
      <c r="BA35">
        <f>Y37/2</f>
        <v>7.8186</v>
      </c>
      <c r="BB35">
        <f>BA35*AZ35</f>
        <v>15.6372</v>
      </c>
      <c r="BC35" t="str">
        <f>VLOOKUP(D37,常规材料表!$1:$1048576,28,0)</f>
        <v>24*40*1.2 mm,</v>
      </c>
      <c r="BD35" t="e">
        <f>VLOOKUP(D38,常规材料表!$1:$1048576,28,0)</f>
        <v>#N/A</v>
      </c>
      <c r="BF35">
        <f>AG38*F35</f>
        <v>7</v>
      </c>
      <c r="BG35" s="430">
        <f>AI38</f>
        <v>932</v>
      </c>
      <c r="BH35">
        <f>AK38*AK36*(AI38)*Z39/1000000</f>
        <v>0.81648791999999992</v>
      </c>
      <c r="BI35">
        <f>BH35*BF35</f>
        <v>5.7154154399999992</v>
      </c>
      <c r="BJ35">
        <f>AH38*F35</f>
        <v>2</v>
      </c>
      <c r="BK35" s="430">
        <f>AJ38</f>
        <v>1115.1885309385871</v>
      </c>
      <c r="BL35">
        <f>AK38*AK36*(AJ38)*Z39/1000000</f>
        <v>0.97697206441405848</v>
      </c>
      <c r="BM35">
        <f>BL35*BJ35</f>
        <v>1.953944128828117</v>
      </c>
      <c r="BN35">
        <f>AZ35</f>
        <v>2</v>
      </c>
      <c r="BO35" s="256">
        <f>Y41</f>
        <v>0</v>
      </c>
      <c r="BP35">
        <f>BO35*BN35</f>
        <v>0</v>
      </c>
      <c r="BQ35" t="str">
        <f>D39</f>
        <v>Q235</v>
      </c>
      <c r="BR35" t="str">
        <f>I35</f>
        <v>Blue Ral5015</v>
      </c>
      <c r="BS35">
        <f>T35*Y35</f>
        <v>76.451360385213576</v>
      </c>
      <c r="BT35">
        <f>U35*Y35</f>
        <v>11.216639892207029</v>
      </c>
      <c r="BU35">
        <f>(V35+W35)*Y35</f>
        <v>34.781263010249909</v>
      </c>
      <c r="BZ35" t="s">
        <v>300</v>
      </c>
      <c r="CA35" s="112" t="s">
        <v>200</v>
      </c>
      <c r="CD35" t="s">
        <v>203</v>
      </c>
      <c r="CG35" s="122"/>
      <c r="CV35" s="388"/>
    </row>
    <row r="36" spans="1:100" customFormat="1" ht="30" customHeight="1" outlineLevel="1">
      <c r="A36" s="112"/>
      <c r="B36" s="478" t="s">
        <v>301</v>
      </c>
      <c r="C36" s="418" t="s">
        <v>10</v>
      </c>
      <c r="D36" s="479" t="s">
        <v>235</v>
      </c>
      <c r="E36" s="433">
        <v>1000</v>
      </c>
      <c r="F36" s="434">
        <v>2000</v>
      </c>
      <c r="G36" s="480" t="s">
        <v>236</v>
      </c>
      <c r="H36" s="420">
        <f>IFERROR(X37,"-")</f>
        <v>74.988767610619476</v>
      </c>
      <c r="I36" s="428" t="s">
        <v>299</v>
      </c>
      <c r="J36" s="436">
        <f>IFERROR(IF(D39="Q355",IFERROR(IF(G36="预镀锌",VLOOKUP(D36,常规材料表!$1:$1048576,30,0),VLOOKUP(D36,常规材料表!$1:$1048576,29,0)),0),0),0)</f>
        <v>0</v>
      </c>
      <c r="K36" s="54" t="s">
        <v>237</v>
      </c>
      <c r="L36" s="54"/>
      <c r="O36" s="425" t="s">
        <v>300</v>
      </c>
      <c r="P36" s="425"/>
      <c r="Q36" s="256"/>
      <c r="R36" s="420" t="s">
        <v>238</v>
      </c>
      <c r="S36" s="420" t="s">
        <v>239</v>
      </c>
      <c r="T36" s="420" t="s">
        <v>240</v>
      </c>
      <c r="U36" s="420" t="s">
        <v>241</v>
      </c>
      <c r="V36" s="420" t="s">
        <v>242</v>
      </c>
      <c r="W36" s="420" t="s">
        <v>207</v>
      </c>
      <c r="X36" s="420" t="s">
        <v>243</v>
      </c>
      <c r="Y36" s="429" t="s">
        <v>244</v>
      </c>
      <c r="Z36" s="429" t="s">
        <v>159</v>
      </c>
      <c r="AA36" s="437" t="str">
        <f>D36</f>
        <v>9070-20</v>
      </c>
      <c r="AB36" s="438">
        <v>1</v>
      </c>
      <c r="AC36" s="438">
        <f>F36</f>
        <v>2000</v>
      </c>
      <c r="AD36" s="438">
        <f>E36</f>
        <v>1000</v>
      </c>
      <c r="AE36" s="439" t="str">
        <f>G36</f>
        <v>喷塑</v>
      </c>
      <c r="AF36" s="440">
        <f>IF(AE36="预镀锌",0,IF(AE36="喷塑",VLOOKUP(AA36,常规材料表!$1:$1048576,12,0),IF(AE36="热镀锌",VLOOKUP(AA36,常规材料表!$1:$1048576,13,0),IF(AE36="冷镀锌",VLOOKUP(AA36,常规材料表!$1:$1048576,15,0),0))))</f>
        <v>9</v>
      </c>
      <c r="AG36" s="440"/>
      <c r="AH36" s="440">
        <f>IF(AE36="预镀锌",VLOOKUP(AA36,常规材料表!$1:$1048576,11,0)+VLOOKUP(AA36,常规材料表!$1:$1048576,14,0),VLOOKUP(AA36,常规材料表!$1:$1048576,11,0))+IF(AC36&lt;8000,0,VLOOKUP(AA36,常规材料表!$1:$1048576,16,0))</f>
        <v>2.2000000000000002</v>
      </c>
      <c r="AI36" s="440">
        <f>VLOOKUP(AA36,常规材料表!$1:$1048576,7,0)</f>
        <v>249</v>
      </c>
      <c r="AJ36" s="440">
        <f>VLOOKUP(AA36,常规材料表!$1:$1048576,6,0)</f>
        <v>2</v>
      </c>
      <c r="AK36" s="429">
        <f>VLOOKUP(AA38,常规材料表!$1:$1048576,6,0)</f>
        <v>1.2</v>
      </c>
      <c r="AL36" s="441" t="s">
        <v>245</v>
      </c>
      <c r="AM36" s="441" t="str">
        <f>VLOOKUP(AA38,常规材料表!$1:$1048576,17,0)</f>
        <v>M10.L65.Socket.Wz</v>
      </c>
      <c r="AN36" s="442">
        <f>AG38+AH38+2</f>
        <v>11</v>
      </c>
      <c r="AO36" s="441">
        <f>VLOOKUP(AM36,标准件价格!$C:$D,2,0)</f>
        <v>0.4</v>
      </c>
      <c r="AP36" s="441">
        <f>AN36*AO36+IF(AA36="L6650-15",0,0)</f>
        <v>4.4000000000000004</v>
      </c>
      <c r="AQ36" s="111">
        <f>IFERROR(VLOOKUP(AM36,标准件价格!$C:$E,3,0),0)</f>
        <v>0</v>
      </c>
      <c r="AR36">
        <f>IFERROR(IF(J36&gt;0,Y37*F35,0),"-")</f>
        <v>0</v>
      </c>
      <c r="AS36">
        <f>IFERROR(IF(J36=0,Y37*F35,0),"-")</f>
        <v>15.6372</v>
      </c>
      <c r="AT36">
        <f>IFERROR(Y38*F35,"-")</f>
        <v>7.6693595688281171</v>
      </c>
      <c r="AX36" t="s">
        <v>156</v>
      </c>
      <c r="AY36" t="s">
        <v>246</v>
      </c>
      <c r="AZ36" t="s">
        <v>102</v>
      </c>
      <c r="BA36" t="s">
        <v>158</v>
      </c>
      <c r="BB36" t="s">
        <v>247</v>
      </c>
      <c r="BC36" t="s">
        <v>248</v>
      </c>
      <c r="BD36" t="s">
        <v>249</v>
      </c>
      <c r="BE36" t="s">
        <v>250</v>
      </c>
      <c r="BF36" t="s">
        <v>251</v>
      </c>
      <c r="BG36" t="s">
        <v>252</v>
      </c>
      <c r="BH36" t="s">
        <v>253</v>
      </c>
      <c r="BI36" t="s">
        <v>254</v>
      </c>
      <c r="BJ36" t="s">
        <v>255</v>
      </c>
      <c r="BK36" t="s">
        <v>256</v>
      </c>
      <c r="BL36" t="s">
        <v>257</v>
      </c>
      <c r="BM36" t="s">
        <v>258</v>
      </c>
      <c r="BN36" t="s">
        <v>259</v>
      </c>
      <c r="BO36" t="s">
        <v>260</v>
      </c>
      <c r="BP36" t="s">
        <v>261</v>
      </c>
      <c r="BQ36" t="s">
        <v>262</v>
      </c>
      <c r="BR36" t="s">
        <v>155</v>
      </c>
      <c r="BS36" s="898" t="s">
        <v>2337</v>
      </c>
      <c r="BT36" s="898" t="s">
        <v>2338</v>
      </c>
      <c r="BU36" s="898" t="s">
        <v>2339</v>
      </c>
      <c r="BZ36" t="s">
        <v>300</v>
      </c>
      <c r="CA36" s="112" t="s">
        <v>200</v>
      </c>
      <c r="CD36" t="s">
        <v>203</v>
      </c>
      <c r="CG36" s="122"/>
      <c r="CV36" s="388"/>
    </row>
    <row r="37" spans="1:100" customFormat="1" ht="30" customHeight="1" outlineLevel="1">
      <c r="A37" s="112"/>
      <c r="B37" s="447" t="s">
        <v>302</v>
      </c>
      <c r="C37" s="418" t="s">
        <v>264</v>
      </c>
      <c r="D37" s="479" t="s">
        <v>265</v>
      </c>
      <c r="E37" s="443" t="s">
        <v>266</v>
      </c>
      <c r="F37" s="444">
        <v>0</v>
      </c>
      <c r="G37" s="480" t="s">
        <v>236</v>
      </c>
      <c r="H37" s="420">
        <f>IFERROR(X38,"-")</f>
        <v>47.460495677051036</v>
      </c>
      <c r="I37" s="421"/>
      <c r="J37" s="387"/>
      <c r="K37" s="54" t="s">
        <v>237</v>
      </c>
      <c r="L37" s="54"/>
      <c r="O37" s="425" t="s">
        <v>300</v>
      </c>
      <c r="P37" s="425"/>
      <c r="Q37" s="445" t="s">
        <v>10</v>
      </c>
      <c r="R37" s="420">
        <f>IF(AD41&gt;0,AD41,IFERROR(IF(AE36="预镀锌",VLOOKUP(AA36,常规材料表!$1:$1048576,5,0),VLOOKUP(AA36,常规材料表!$1:$1048576,10,0)),0))</f>
        <v>3.6</v>
      </c>
      <c r="S37" s="420">
        <v>1.02</v>
      </c>
      <c r="T37" s="420">
        <f>R37*S37/1.13</f>
        <v>3.2495575221238941</v>
      </c>
      <c r="U37" s="420">
        <f>(AH36*2/Y37)+IF(ISNUMBER(SEARCH("L60",AA36)),1.2,0.25)+IF(AD38="印尼",0.2,0)</f>
        <v>0.53138029826311617</v>
      </c>
      <c r="V37" s="420">
        <f>AI36*AC36*2*AF36*2/1000000/Y37/1.13</f>
        <v>1.0145989515810834</v>
      </c>
      <c r="W37" s="420"/>
      <c r="X37" s="420">
        <f>(T37+U37+V37)*Y37</f>
        <v>74.988767610619476</v>
      </c>
      <c r="Y37" s="429">
        <f>AI36*AJ36*(AC36+F37)*Z39*IF(F37&gt;0,1,2)/1000000</f>
        <v>15.6372</v>
      </c>
      <c r="Z37" s="429">
        <f>Y37*AB36</f>
        <v>15.6372</v>
      </c>
      <c r="AA37" s="428" t="s">
        <v>267</v>
      </c>
      <c r="AB37" s="428" t="s">
        <v>268</v>
      </c>
      <c r="AC37" s="428" t="s">
        <v>269</v>
      </c>
      <c r="AD37" s="446" t="s">
        <v>297</v>
      </c>
      <c r="AE37" s="428" t="s">
        <v>271</v>
      </c>
      <c r="AF37" s="429" t="s">
        <v>226</v>
      </c>
      <c r="AG37" s="429" t="s">
        <v>251</v>
      </c>
      <c r="AH37" s="429" t="s">
        <v>255</v>
      </c>
      <c r="AI37" s="429" t="s">
        <v>252</v>
      </c>
      <c r="AJ37" s="429" t="s">
        <v>256</v>
      </c>
      <c r="AK37" s="429" t="s">
        <v>272</v>
      </c>
      <c r="AL37" s="441" t="s">
        <v>273</v>
      </c>
      <c r="AM37" s="441" t="str">
        <f>VLOOKUP(AA38,常规材料表!$1:$1048576,19,0)</f>
        <v>Spacer.90.φ14.L47</v>
      </c>
      <c r="AN37" s="442">
        <f>IF(AG38=2,2,4)</f>
        <v>4</v>
      </c>
      <c r="AO37" s="441">
        <f>VLOOKUP(AM37,标准件价格!$C:$D,2,0)</f>
        <v>0.57999999999999996</v>
      </c>
      <c r="AP37" s="441">
        <f>AN37*AO37</f>
        <v>2.3199999999999998</v>
      </c>
      <c r="AQ37" s="111">
        <f>IFERROR(VLOOKUP(AM37,标准件价格!$C:$E,3,0),0)</f>
        <v>0</v>
      </c>
      <c r="BZ37" t="s">
        <v>300</v>
      </c>
      <c r="CA37" s="112" t="s">
        <v>200</v>
      </c>
      <c r="CD37" t="s">
        <v>203</v>
      </c>
      <c r="CG37" s="122"/>
      <c r="CV37" s="388"/>
    </row>
    <row r="38" spans="1:100" customFormat="1" ht="30" customHeight="1" outlineLevel="1">
      <c r="A38" s="112"/>
      <c r="B38" s="447"/>
      <c r="C38" s="418"/>
      <c r="D38" s="448"/>
      <c r="E38" s="245"/>
      <c r="F38" s="449">
        <v>600</v>
      </c>
      <c r="G38" s="480"/>
      <c r="H38" s="420">
        <f>IFERROR(X41*2,"-")</f>
        <v>0</v>
      </c>
      <c r="I38" s="386"/>
      <c r="J38" s="422"/>
      <c r="K38" s="54" t="s">
        <v>237</v>
      </c>
      <c r="L38" s="54"/>
      <c r="O38" s="425" t="s">
        <v>300</v>
      </c>
      <c r="P38" s="425"/>
      <c r="Q38" s="448" t="s">
        <v>264</v>
      </c>
      <c r="R38" s="420">
        <f>IFERROR(IF(AE38="预镀锌",VLOOKUP(AA38,常规材料表!$1:$1048576,5,0),VLOOKUP(AA38,常规材料表!$1:$1048576,10,0)),0)</f>
        <v>3.74</v>
      </c>
      <c r="S38" s="420">
        <v>1.01</v>
      </c>
      <c r="T38" s="420">
        <f>R38*S38/1.13</f>
        <v>3.34283185840708</v>
      </c>
      <c r="U38" s="420">
        <f>AJ41*(AG38+AH38)/Y38+IF(ISNUMBER(SEARCH("L60",AA36)),0.7,0.25)</f>
        <v>0.37908509388760769</v>
      </c>
      <c r="V38" s="420">
        <f>AF38*AK38*(AG38*AI38+AH38*AJ38)*2/1000000/Y38/1.13</f>
        <v>1.690998252635139</v>
      </c>
      <c r="W38" s="420">
        <f>SUM(AP36:AP38)/Y38/1.13</f>
        <v>0.77541059347879138</v>
      </c>
      <c r="X38" s="420">
        <f>(T38+U38+V38+W38)*Y38</f>
        <v>47.460495677051036</v>
      </c>
      <c r="Y38" s="429">
        <f>AK38*AK36*(AG38*AI38+AH38*AJ38)*Z39/1000000</f>
        <v>7.6693595688281171</v>
      </c>
      <c r="Z38" s="429">
        <f>Y38*AB36</f>
        <v>7.6693595688281171</v>
      </c>
      <c r="AA38" s="437" t="str">
        <f>D37</f>
        <v>90.Br2440.12</v>
      </c>
      <c r="AB38" s="439" t="str">
        <f>E37</f>
        <v>Z</v>
      </c>
      <c r="AC38" s="439">
        <f>F39</f>
        <v>2000</v>
      </c>
      <c r="AD38" s="438" t="str">
        <f>I36</f>
        <v>外部冲孔时填写印尼</v>
      </c>
      <c r="AE38" s="439" t="str">
        <f>G37</f>
        <v>喷塑</v>
      </c>
      <c r="AF38" s="440">
        <f>IF(AE38="预镀锌",0,IF(AE38="喷塑",VLOOKUP(AA38,常规材料表!$1:$1048576,12,0),IF(AE38="热镀锌",VLOOKUP(AA38,常规材料表!$1:$1048576,13,0),IF(AE38="冷镀锌",VLOOKUP(AA38,常规材料表!$1:$1048576,15,0),0))))</f>
        <v>9</v>
      </c>
      <c r="AG38" s="429">
        <f>IF(AD39&gt;0,AD39,IF(AB38="D",IF(((AC36-300)/IF(ISNUMBER(SEARCH("L",AA36)),500,AB39)-AH38)*IF(ISNUMBER(SEARCH("L",AA36)),500,AB39)&lt;IF(ISNUMBER(SEARCH("L",AA36)),225,375),2,3),IF(AB38="Z",IF(((AC36-300)/IF(ISNUMBER(SEARCH("L",AA36)),500,AB39)-AH38)*IF(ISNUMBER(SEARCH("L",AA36)),500,AB39)&lt;IF(ISNUMBER(SEARCH("L",AA36)),225,375),2,3)+ROUND((AC38-150)/IF(ISNUMBER(SEARCH("L",AA36)),500,AB39)-0.5,0)+1,0)))</f>
        <v>7</v>
      </c>
      <c r="AH38" s="451">
        <f>IF(AE39&gt;0,AE39,ROUND((AC36-300)/IF(ISNUMBER(SEARCH("L",AA36)),500,600)-0.5,0))</f>
        <v>2</v>
      </c>
      <c r="AI38" s="452">
        <f>(AD36-IF(ISNUMBER(SEARCH("L",AA36)),IF(ISNUMBER(SEARCH("L5",AA36)),77,86),109)+41)</f>
        <v>932</v>
      </c>
      <c r="AJ38" s="452">
        <f>SQRT((AD36-IF(ISNUMBER(SEARCH("L",AA36)),IF(ISNUMBER(SEARCH("L5",AA36)),77,86),109))^2+IF(ISNUMBER(SEARCH("L",AA36)),500,AB39)^2)+41</f>
        <v>1115.1885309385871</v>
      </c>
      <c r="AK38" s="429">
        <f>VLOOKUP(AA38,常规材料表!$1:$1048576,7,0)</f>
        <v>93</v>
      </c>
      <c r="AL38" s="441" t="s">
        <v>276</v>
      </c>
      <c r="AM38" s="441">
        <f>VLOOKUP(AA38,常规材料表!$1:$1048576,21,0)</f>
        <v>0</v>
      </c>
      <c r="AN38" s="441">
        <f>VLOOKUP(AA38,常规材料表!$1:$1048576,22,0)</f>
        <v>0</v>
      </c>
      <c r="AO38" s="441">
        <f>IFERROR(VLOOKUP(AM38,标准件价格!$C:$D,2,0),0)</f>
        <v>0</v>
      </c>
      <c r="AP38" s="441">
        <f>AN38*AO38</f>
        <v>0</v>
      </c>
      <c r="AQ38" s="111">
        <f>IFERROR(VLOOKUP(AM38,标准件价格!$C:$E,3,0),0)</f>
        <v>0</v>
      </c>
      <c r="BZ38" t="s">
        <v>300</v>
      </c>
      <c r="CA38" s="112" t="s">
        <v>200</v>
      </c>
      <c r="CD38" t="s">
        <v>203</v>
      </c>
      <c r="CG38" s="122"/>
      <c r="CV38" s="388"/>
    </row>
    <row r="39" spans="1:100" customFormat="1" ht="30" customHeight="1" outlineLevel="1">
      <c r="A39" s="112"/>
      <c r="B39" s="418"/>
      <c r="C39" s="453">
        <f>报价辅助计算!$E$1</f>
        <v>75</v>
      </c>
      <c r="D39" s="112" t="s">
        <v>8</v>
      </c>
      <c r="E39" s="454">
        <f>F36/C39</f>
        <v>26.666666666666668</v>
      </c>
      <c r="F39" s="455">
        <v>2000</v>
      </c>
      <c r="G39" s="418"/>
      <c r="H39" s="421"/>
      <c r="I39" s="450"/>
      <c r="J39" s="450"/>
      <c r="K39" s="54" t="s">
        <v>237</v>
      </c>
      <c r="L39" s="54"/>
      <c r="O39" s="425" t="s">
        <v>300</v>
      </c>
      <c r="P39" s="425"/>
      <c r="R39" s="456"/>
      <c r="S39" s="420"/>
      <c r="T39" s="456"/>
      <c r="U39" s="456"/>
      <c r="V39" s="387"/>
      <c r="W39" s="456"/>
      <c r="X39" s="456"/>
      <c r="Y39" s="457" t="s">
        <v>277</v>
      </c>
      <c r="Z39" s="458">
        <v>7.85</v>
      </c>
      <c r="AA39" s="459" t="s">
        <v>278</v>
      </c>
      <c r="AB39" s="460">
        <f>F38</f>
        <v>600</v>
      </c>
      <c r="AC39" s="429" t="s">
        <v>279</v>
      </c>
      <c r="AD39" s="460">
        <f>D41</f>
        <v>0</v>
      </c>
      <c r="AE39" s="460">
        <f>E41</f>
        <v>0</v>
      </c>
      <c r="AL39" s="441" t="s">
        <v>280</v>
      </c>
      <c r="AM39" s="441"/>
      <c r="AN39" s="441" t="e">
        <f>VLOOKUP(AA41,常规材料表!$1:$1048576,18,0)</f>
        <v>#N/A</v>
      </c>
      <c r="AO39" s="441" t="e">
        <f>VLOOKUP(AM39,标准件价格!$C:$D,2,0)</f>
        <v>#N/A</v>
      </c>
      <c r="AP39" s="441" t="e">
        <f>AN39*AO39</f>
        <v>#N/A</v>
      </c>
      <c r="AQ39" s="111">
        <f>IFERROR(VLOOKUP(AM39,标准件价格!$C:$E,3,0),0)</f>
        <v>0</v>
      </c>
      <c r="BZ39" t="s">
        <v>300</v>
      </c>
      <c r="CA39" s="112" t="s">
        <v>200</v>
      </c>
      <c r="CD39" t="s">
        <v>203</v>
      </c>
      <c r="CG39" s="122"/>
      <c r="CV39" s="388"/>
    </row>
    <row r="40" spans="1:100" customFormat="1" ht="30" customHeight="1" outlineLevel="1">
      <c r="A40" s="112"/>
      <c r="B40" s="418"/>
      <c r="C40" s="418" t="s">
        <v>281</v>
      </c>
      <c r="D40" s="418">
        <v>0</v>
      </c>
      <c r="E40" s="461">
        <f>ROUNDUP(E39,0)*C39</f>
        <v>2025</v>
      </c>
      <c r="F40" s="481">
        <f>IF(D40&gt;0,F35*2,0)</f>
        <v>0</v>
      </c>
      <c r="G40" s="463"/>
      <c r="H40" s="421">
        <f>D40*J40*F40</f>
        <v>0</v>
      </c>
      <c r="I40" s="421"/>
      <c r="J40" s="464">
        <f>IFERROR((6.5*1.02+2+0.25*2/D40)/1.13+1,0)</f>
        <v>0</v>
      </c>
      <c r="K40" s="54" t="s">
        <v>237</v>
      </c>
      <c r="L40" s="54"/>
      <c r="O40" s="425" t="s">
        <v>300</v>
      </c>
      <c r="P40" s="425"/>
      <c r="Q40" s="445" t="s">
        <v>274</v>
      </c>
      <c r="R40" s="420" t="s">
        <v>238</v>
      </c>
      <c r="S40" s="420" t="s">
        <v>239</v>
      </c>
      <c r="T40" s="420" t="s">
        <v>240</v>
      </c>
      <c r="U40" s="420" t="s">
        <v>241</v>
      </c>
      <c r="V40" s="420" t="s">
        <v>242</v>
      </c>
      <c r="W40" s="420" t="s">
        <v>207</v>
      </c>
      <c r="X40" s="420" t="s">
        <v>282</v>
      </c>
      <c r="Y40" s="429" t="s">
        <v>283</v>
      </c>
      <c r="Z40" s="429" t="s">
        <v>159</v>
      </c>
      <c r="AA40" s="438" t="s">
        <v>284</v>
      </c>
      <c r="AB40" s="429" t="s">
        <v>221</v>
      </c>
      <c r="AC40" s="429" t="s">
        <v>222</v>
      </c>
      <c r="AD40" s="448" t="s">
        <v>285</v>
      </c>
      <c r="AE40" s="428" t="s">
        <v>286</v>
      </c>
      <c r="AF40" s="429" t="s">
        <v>226</v>
      </c>
      <c r="AG40" s="441" t="s">
        <v>238</v>
      </c>
      <c r="AH40" s="441" t="s">
        <v>287</v>
      </c>
      <c r="AI40" s="441" t="s">
        <v>288</v>
      </c>
      <c r="AJ40" s="429" t="s">
        <v>289</v>
      </c>
      <c r="AK40" s="429"/>
      <c r="AL40" s="441" t="s">
        <v>290</v>
      </c>
      <c r="AM40" s="441"/>
      <c r="AN40" s="441" t="e">
        <f>VLOOKUP(AA41,常规材料表!$1:$1048576,20,0)</f>
        <v>#N/A</v>
      </c>
      <c r="AO40" s="441">
        <f>IFERROR(VLOOKUP(AM40,标准件价格!$C:$D,2,0),0)</f>
        <v>0</v>
      </c>
      <c r="AP40" s="441" t="e">
        <f>AN40*AO40</f>
        <v>#N/A</v>
      </c>
      <c r="AQ40" s="111">
        <f>IFERROR(VLOOKUP(AM40,标准件价格!$C:$E,3,0),0)</f>
        <v>0</v>
      </c>
      <c r="BZ40" t="s">
        <v>300</v>
      </c>
      <c r="CA40" s="112" t="s">
        <v>200</v>
      </c>
      <c r="CD40" t="s">
        <v>203</v>
      </c>
      <c r="CG40" s="122"/>
      <c r="CV40" s="388"/>
    </row>
    <row r="41" spans="1:100" customFormat="1" ht="30" customHeight="1" outlineLevel="1">
      <c r="A41" s="112"/>
      <c r="B41" s="414">
        <v>0</v>
      </c>
      <c r="C41" s="465">
        <f>报价辅助计算!$E$13</f>
        <v>0</v>
      </c>
      <c r="D41" s="466">
        <v>0</v>
      </c>
      <c r="E41" s="467">
        <v>0</v>
      </c>
      <c r="F41" s="112"/>
      <c r="G41" s="418"/>
      <c r="H41" s="421"/>
      <c r="I41" s="421"/>
      <c r="J41" s="422"/>
      <c r="K41" s="54" t="s">
        <v>237</v>
      </c>
      <c r="L41" s="54"/>
      <c r="O41" s="425" t="s">
        <v>300</v>
      </c>
      <c r="P41" s="425"/>
      <c r="R41" s="420"/>
      <c r="S41" s="420">
        <v>1.01</v>
      </c>
      <c r="T41" s="420"/>
      <c r="U41" s="420"/>
      <c r="V41" s="420"/>
      <c r="W41" s="420"/>
      <c r="X41" s="420"/>
      <c r="Y41" s="469"/>
      <c r="Z41" s="427"/>
      <c r="AA41" s="470">
        <f>D38</f>
        <v>0</v>
      </c>
      <c r="AB41" s="440" t="str">
        <f>AA36</f>
        <v>9070-20</v>
      </c>
      <c r="AC41" s="429">
        <f>AB36</f>
        <v>1</v>
      </c>
      <c r="AD41" s="471">
        <f>J36</f>
        <v>0</v>
      </c>
      <c r="AE41" s="439">
        <f>G38</f>
        <v>0</v>
      </c>
      <c r="AF41" s="440">
        <f>IF(AE41="预镀锌",0,IF(AE41="喷塑",VLOOKUP(AA41,常规材料表!$1:$1048576,12,0),IF(AE41="热镀锌",VLOOKUP(AA41,常规材料表!$1:$1048576,13,0),IF(AE41="冷镀锌",VLOOKUP(AA41,常规材料表!$1:$1048576,15,0),0))))</f>
        <v>0</v>
      </c>
      <c r="AG41" s="440"/>
      <c r="AH41" s="429"/>
      <c r="AI41" s="441"/>
      <c r="AJ41" s="429">
        <f>IF(AE38="预镀锌",VLOOKUP(AA38,常规材料表!$1:$1048576,11,0)+VLOOKUP(AA38,常规材料表!$1:$1048576,14,0),VLOOKUP(AA38,常规材料表!$1:$1048576,11,0))</f>
        <v>0.11</v>
      </c>
      <c r="AK41" s="429"/>
      <c r="AL41" s="441" t="s">
        <v>291</v>
      </c>
      <c r="AM41" s="441"/>
      <c r="AN41" s="441" t="e">
        <f>VLOOKUP(AA41,常规材料表!$1:$1048576,22,0)</f>
        <v>#N/A</v>
      </c>
      <c r="AO41" s="441" t="e">
        <f>VLOOKUP(AM41,标准件价格!$C:$D,2,0)</f>
        <v>#N/A</v>
      </c>
      <c r="AP41" s="441" t="e">
        <f>AN41*AO41</f>
        <v>#N/A</v>
      </c>
      <c r="AQ41" s="111">
        <f>IFERROR(VLOOKUP(AM41,标准件价格!$C:$E,3,0),0)</f>
        <v>0</v>
      </c>
      <c r="BZ41" t="s">
        <v>300</v>
      </c>
      <c r="CA41" s="112" t="s">
        <v>200</v>
      </c>
      <c r="CD41" t="s">
        <v>203</v>
      </c>
      <c r="CG41" s="122"/>
      <c r="CV41" s="388"/>
    </row>
    <row r="42" spans="1:100" s="376" customFormat="1" ht="30" customHeight="1">
      <c r="A42" s="472"/>
      <c r="B42" s="473"/>
      <c r="C42" s="473"/>
      <c r="D42" s="473"/>
      <c r="E42" s="474"/>
      <c r="F42" s="473"/>
      <c r="G42" s="473"/>
      <c r="H42" s="421"/>
      <c r="I42" s="421"/>
      <c r="J42" s="422"/>
      <c r="K42" s="475"/>
      <c r="L42" s="475"/>
      <c r="R42" s="387"/>
      <c r="S42" s="387"/>
      <c r="T42" s="387"/>
      <c r="U42" s="387"/>
      <c r="V42" s="387"/>
      <c r="W42" s="387"/>
      <c r="X42" s="387"/>
      <c r="AQ42" s="476"/>
      <c r="BZ42" t="s">
        <v>300</v>
      </c>
      <c r="CA42" s="112" t="s">
        <v>200</v>
      </c>
      <c r="CB42"/>
      <c r="CC42"/>
      <c r="CD42" t="s">
        <v>203</v>
      </c>
      <c r="CE42"/>
      <c r="CF42"/>
      <c r="CG42" s="122"/>
    </row>
    <row r="43" spans="1:100" customFormat="1" ht="30" customHeight="1">
      <c r="A43" s="112" t="str">
        <f>IF($C$13=1,IF(K43="报价行",IF(F43&gt;0,1," ")," ")," ")</f>
        <v xml:space="preserve"> </v>
      </c>
      <c r="B43" s="414" t="str">
        <f>IF(A43=1,SUM($A$11:A43),"单立柱+脚底板")</f>
        <v>单立柱+脚底板</v>
      </c>
      <c r="C43" s="415" t="str">
        <f>B44&amp;IF(C48=1,CHAR(10)&amp;B45," ")</f>
        <v xml:space="preserve">Post+foot plate </v>
      </c>
      <c r="D43" s="482" t="str">
        <f>"H"&amp;F44</f>
        <v>H2000</v>
      </c>
      <c r="E43" s="483" t="str">
        <f>"Pitch "&amp;C46&amp;", "&amp;D46&amp;", Post "&amp;VLOOKUP(D44,常规材料表!$1:$1048576,28,0)&amp;IF(D45&gt;0,VLOOKUP(D45,常规材料表!$1:$1048576,28,0)," ")&amp;E48&amp;IF(E48&gt;0,"kg/bay, "," ")&amp;IF(E48&gt;0,F48," ")&amp;IF(E48&gt;0,IF(F48&gt;0,"mm first level"," ")," ")</f>
        <v xml:space="preserve">Pitch 75, Q235, Post 90*70*2 mm,with 90H4 foot plate, shim plate and bolts,   </v>
      </c>
      <c r="F43" s="431">
        <v>1</v>
      </c>
      <c r="G43" s="419">
        <f>IFERROR(Y45+Y47+D47*F47/F43+IFERROR(AQ46*AN46,0)*1,"-")</f>
        <v>9.2898627000000005</v>
      </c>
      <c r="H43" s="420">
        <f>IFERROR(SUM(H44:H46)+H47/F43,"-")</f>
        <v>52.842312778716817</v>
      </c>
      <c r="I43" s="421" t="s">
        <v>292</v>
      </c>
      <c r="J43" s="422"/>
      <c r="K43" s="423" t="s">
        <v>217</v>
      </c>
      <c r="L43" s="424">
        <f>C46</f>
        <v>75</v>
      </c>
      <c r="O43" s="425" t="s">
        <v>303</v>
      </c>
      <c r="P43" s="425"/>
      <c r="Q43" s="460">
        <v>600</v>
      </c>
      <c r="R43" s="387" t="s">
        <v>219</v>
      </c>
      <c r="S43" s="426" t="s">
        <v>220</v>
      </c>
      <c r="T43" s="426">
        <f>(T45*Y45)/Y43</f>
        <v>3.2495575221238946</v>
      </c>
      <c r="U43" s="426">
        <f>(U45*Y45)/Y43</f>
        <v>0.81276059652623234</v>
      </c>
      <c r="V43" s="426">
        <f>(V45*Y45)/Y43</f>
        <v>1.0145989515810834</v>
      </c>
      <c r="W43" s="426">
        <f>(W45*Y45)/Y43</f>
        <v>0</v>
      </c>
      <c r="X43" s="426">
        <f>SUM(T43:W43)*Y43</f>
        <v>39.694383805309748</v>
      </c>
      <c r="Y43" s="427">
        <f>SUM(Y45:Y45)</f>
        <v>7.8186</v>
      </c>
      <c r="Z43" s="427"/>
      <c r="AA43" s="428" t="s">
        <v>221</v>
      </c>
      <c r="AB43" s="428" t="s">
        <v>222</v>
      </c>
      <c r="AC43" s="428" t="s">
        <v>223</v>
      </c>
      <c r="AD43" s="428" t="s">
        <v>224</v>
      </c>
      <c r="AE43" s="446" t="s">
        <v>297</v>
      </c>
      <c r="AF43" s="428" t="s">
        <v>225</v>
      </c>
      <c r="AG43" s="429" t="s">
        <v>226</v>
      </c>
      <c r="AH43" s="429" t="s">
        <v>227</v>
      </c>
      <c r="AI43" s="429" t="s">
        <v>228</v>
      </c>
      <c r="AJ43" s="429" t="s">
        <v>229</v>
      </c>
      <c r="AK43" s="429"/>
      <c r="AL43" s="429" t="s">
        <v>231</v>
      </c>
      <c r="AM43" s="429" t="s">
        <v>232</v>
      </c>
      <c r="AN43" s="429" t="s">
        <v>102</v>
      </c>
      <c r="AO43" s="429" t="s">
        <v>74</v>
      </c>
      <c r="AP43" s="429" t="s">
        <v>21</v>
      </c>
      <c r="AQ43" s="110"/>
      <c r="AX43" t="str">
        <f>VLOOKUP(D44,常规材料表!$1:$1048576,28,0)</f>
        <v>90*70*2 mm,</v>
      </c>
      <c r="AY43" s="256">
        <f>F44</f>
        <v>2000</v>
      </c>
      <c r="AZ43">
        <f>F43</f>
        <v>1</v>
      </c>
      <c r="BA43" s="256">
        <f>Y45</f>
        <v>7.8186</v>
      </c>
      <c r="BB43">
        <f>BA43*AZ43</f>
        <v>7.8186</v>
      </c>
      <c r="BN43">
        <f>AZ43</f>
        <v>1</v>
      </c>
      <c r="BO43" s="256">
        <f>Y47</f>
        <v>1.0732676999999999</v>
      </c>
      <c r="BP43">
        <f>BN43*BO43</f>
        <v>1.0732676999999999</v>
      </c>
      <c r="BQ43" t="str">
        <f>D46</f>
        <v>Q235</v>
      </c>
      <c r="BR43" t="str">
        <f>I43</f>
        <v>Blue Ral5015</v>
      </c>
      <c r="BS43">
        <f>T43*Y43</f>
        <v>25.406990442477881</v>
      </c>
      <c r="BT43">
        <f>U43*Y43</f>
        <v>6.3546500000000004</v>
      </c>
      <c r="BU43">
        <f>(V43+W43)*Y43</f>
        <v>7.9327433628318582</v>
      </c>
      <c r="BZ43" t="s">
        <v>303</v>
      </c>
      <c r="CA43" s="112" t="s">
        <v>200</v>
      </c>
      <c r="CB43" t="s">
        <v>201</v>
      </c>
      <c r="CC43" t="s">
        <v>202</v>
      </c>
      <c r="CG43" s="122"/>
      <c r="CV43" s="388"/>
    </row>
    <row r="44" spans="1:100" customFormat="1" ht="30" customHeight="1" outlineLevel="1">
      <c r="A44" s="112"/>
      <c r="B44" s="415" t="s">
        <v>304</v>
      </c>
      <c r="C44" s="431" t="s">
        <v>10</v>
      </c>
      <c r="D44" s="484" t="s">
        <v>235</v>
      </c>
      <c r="E44" s="431"/>
      <c r="F44" s="434">
        <v>2000</v>
      </c>
      <c r="G44" s="485" t="s">
        <v>236</v>
      </c>
      <c r="H44" s="420">
        <f>IFERROR(X45,"-")</f>
        <v>39.694383805309741</v>
      </c>
      <c r="I44" s="438" t="s">
        <v>299</v>
      </c>
      <c r="J44" s="436">
        <f>IFERROR(IF(D46="Q355",IFERROR(IF(G44="预镀锌",VLOOKUP(D44,常规材料表!$1:$1048576,30,0),VLOOKUP(D44,常规材料表!$1:$1048576,29,0)),0),0),0)</f>
        <v>0</v>
      </c>
      <c r="K44" s="54" t="s">
        <v>237</v>
      </c>
      <c r="L44" s="54"/>
      <c r="O44" s="425" t="s">
        <v>303</v>
      </c>
      <c r="P44" s="425"/>
      <c r="Q44" s="256"/>
      <c r="R44" s="420" t="s">
        <v>238</v>
      </c>
      <c r="S44" s="420" t="s">
        <v>239</v>
      </c>
      <c r="T44" s="420" t="s">
        <v>240</v>
      </c>
      <c r="U44" s="420" t="s">
        <v>241</v>
      </c>
      <c r="V44" s="420" t="s">
        <v>242</v>
      </c>
      <c r="W44" s="420" t="s">
        <v>207</v>
      </c>
      <c r="X44" s="420" t="s">
        <v>243</v>
      </c>
      <c r="Y44" s="429" t="s">
        <v>244</v>
      </c>
      <c r="Z44" s="429" t="s">
        <v>159</v>
      </c>
      <c r="AA44" s="437" t="str">
        <f>D44</f>
        <v>9070-20</v>
      </c>
      <c r="AB44" s="438">
        <v>1</v>
      </c>
      <c r="AC44" s="438">
        <f>F44</f>
        <v>2000</v>
      </c>
      <c r="AD44" s="438">
        <f>E44</f>
        <v>0</v>
      </c>
      <c r="AE44" s="438" t="str">
        <f>I44</f>
        <v>外部冲孔时填写印尼</v>
      </c>
      <c r="AF44" s="439" t="str">
        <f>G44</f>
        <v>喷塑</v>
      </c>
      <c r="AG44" s="440">
        <f>IF(AF44="预镀锌",0,IF(AF44="喷塑",VLOOKUP(AA44,常规材料表!$1:$1048576,12,0),IF(AF44="热镀锌",VLOOKUP(AA44,常规材料表!$1:$1048576,13,0),IF(AF44="冷镀锌",VLOOKUP(AA44,常规材料表!$1:$1048576,15,0),0))))</f>
        <v>9</v>
      </c>
      <c r="AH44" s="440">
        <f>IF(AF44="预镀锌",VLOOKUP(AA44,常规材料表!$1:$1048576,11,0)+VLOOKUP(AA44,常规材料表!$1:$1048576,14,0),VLOOKUP(AA44,常规材料表!$1:$1048576,11,0))+IF(AC44&lt;8000,0,VLOOKUP(AA44,常规材料表!$1:$1048576,16,0))</f>
        <v>2.2000000000000002</v>
      </c>
      <c r="AI44" s="440">
        <f>VLOOKUP(AA44,常规材料表!$1:$1048576,7,0)</f>
        <v>249</v>
      </c>
      <c r="AJ44" s="440">
        <f>VLOOKUP(AA44,常规材料表!$1:$1048576,6,0)</f>
        <v>2</v>
      </c>
      <c r="AK44" s="429"/>
      <c r="AL44" s="441" t="s">
        <v>280</v>
      </c>
      <c r="AM44" s="441" t="str">
        <f>VLOOKUP(AA47,常规材料表!$1:$1048576,17,0)</f>
        <v>M10.L20</v>
      </c>
      <c r="AN44" s="441">
        <f>VLOOKUP(AA47,常规材料表!$1:$1048576,18,0)</f>
        <v>4</v>
      </c>
      <c r="AO44" s="441">
        <f>VLOOKUP(AM44,标准件价格!$C:$D,2,0)</f>
        <v>0.19600000000000001</v>
      </c>
      <c r="AP44" s="441">
        <f>AN44*AO44</f>
        <v>0.78400000000000003</v>
      </c>
      <c r="AQ44" s="111">
        <f>IFERROR(VLOOKUP(AM44,标准件价格!$C:$E,3,0),0)</f>
        <v>0</v>
      </c>
      <c r="AR44">
        <f>IFERROR(IF(J44&gt;0,Y45*F43,0),"-")</f>
        <v>0</v>
      </c>
      <c r="AS44">
        <f>IFERROR(IF(J44=0,Y45*F43,0),"-")</f>
        <v>7.8186</v>
      </c>
      <c r="AX44" t="s">
        <v>305</v>
      </c>
      <c r="AY44" t="s">
        <v>306</v>
      </c>
      <c r="AZ44" t="s">
        <v>307</v>
      </c>
      <c r="BA44" t="s">
        <v>308</v>
      </c>
      <c r="BB44" t="s">
        <v>309</v>
      </c>
      <c r="BN44" t="s">
        <v>259</v>
      </c>
      <c r="BO44" t="s">
        <v>260</v>
      </c>
      <c r="BP44" t="s">
        <v>261</v>
      </c>
      <c r="BQ44" t="s">
        <v>262</v>
      </c>
      <c r="BR44" t="s">
        <v>155</v>
      </c>
      <c r="BS44" s="898" t="s">
        <v>2337</v>
      </c>
      <c r="BT44" s="898" t="s">
        <v>2338</v>
      </c>
      <c r="BU44" s="898" t="s">
        <v>2339</v>
      </c>
      <c r="BZ44" t="s">
        <v>303</v>
      </c>
      <c r="CA44" s="112" t="s">
        <v>200</v>
      </c>
      <c r="CB44" t="s">
        <v>201</v>
      </c>
      <c r="CC44" t="s">
        <v>202</v>
      </c>
      <c r="CG44" s="122"/>
      <c r="CV44" s="388"/>
    </row>
    <row r="45" spans="1:100" customFormat="1" ht="30" customHeight="1" outlineLevel="1">
      <c r="A45" s="112"/>
      <c r="B45" s="486" t="s">
        <v>303</v>
      </c>
      <c r="C45" s="431" t="s">
        <v>274</v>
      </c>
      <c r="D45" s="487" t="s">
        <v>275</v>
      </c>
      <c r="E45" s="488"/>
      <c r="F45" s="431"/>
      <c r="G45" s="485" t="s">
        <v>236</v>
      </c>
      <c r="H45" s="420">
        <f>IFERROR(X47,"-")</f>
        <v>13.147928973407078</v>
      </c>
      <c r="I45" s="421"/>
      <c r="J45" s="387"/>
      <c r="K45" s="54" t="s">
        <v>237</v>
      </c>
      <c r="L45" s="54"/>
      <c r="O45" s="425" t="s">
        <v>303</v>
      </c>
      <c r="P45" s="425"/>
      <c r="Q45" s="445" t="s">
        <v>10</v>
      </c>
      <c r="R45" s="420">
        <f>IF(AD47&gt;0,AD47,IFERROR(IF(AF44="预镀锌",VLOOKUP(AA44,常规材料表!$1:$1048576,5,0),VLOOKUP(AA44,常规材料表!$1:$1048576,10,0)),0))</f>
        <v>3.6</v>
      </c>
      <c r="S45" s="420">
        <v>1.02</v>
      </c>
      <c r="T45" s="420">
        <f>R45*S45/1.13</f>
        <v>3.2495575221238941</v>
      </c>
      <c r="U45" s="420">
        <f>(AH44*2/Y45)+IF(ISNUMBER(SEARCH("L60",AA44)),1.2,0.25)+IF(AD46="印尼",0.2,0)</f>
        <v>0.81276059652623234</v>
      </c>
      <c r="V45" s="420">
        <f>AI44*AC44*2*AG44/1000000/Y45/1.13</f>
        <v>1.0145989515810834</v>
      </c>
      <c r="W45" s="420"/>
      <c r="X45" s="420">
        <f>(T45+U45+V45)*Y45</f>
        <v>39.694383805309741</v>
      </c>
      <c r="Y45" s="429">
        <f>AI44*AJ44*AC44*7.85/1000000</f>
        <v>7.8186</v>
      </c>
      <c r="Z45" s="429">
        <f>Y45*AB44</f>
        <v>7.8186</v>
      </c>
      <c r="AA45" s="428"/>
      <c r="AB45" s="428"/>
      <c r="AC45" s="428"/>
      <c r="AE45" s="428"/>
      <c r="AF45" s="429"/>
      <c r="AG45" s="429"/>
      <c r="AH45" s="429"/>
      <c r="AI45" s="429"/>
      <c r="AJ45" s="429"/>
      <c r="AK45" s="429"/>
      <c r="AL45" s="441" t="s">
        <v>290</v>
      </c>
      <c r="AM45" s="441" t="str">
        <f>VLOOKUP(AA47,常规材料表!$1:$1048576,19,0)</f>
        <v>Anc.M12.L100</v>
      </c>
      <c r="AN45" s="441">
        <f>VLOOKUP(AA47,常规材料表!$1:$1048576,20,0)</f>
        <v>2</v>
      </c>
      <c r="AO45" s="441">
        <f>IFERROR(VLOOKUP(AM45,标准件价格!$C:$D,2,0),0)</f>
        <v>0.6</v>
      </c>
      <c r="AP45" s="441">
        <f>AN45*AO45</f>
        <v>1.2</v>
      </c>
      <c r="AQ45" s="111">
        <f>IFERROR(VLOOKUP(AM45,标准件价格!$C:$E,3,0),0)</f>
        <v>0</v>
      </c>
      <c r="BZ45" t="s">
        <v>303</v>
      </c>
      <c r="CA45" s="112" t="s">
        <v>200</v>
      </c>
      <c r="CB45" t="s">
        <v>201</v>
      </c>
      <c r="CC45" t="s">
        <v>202</v>
      </c>
      <c r="CG45" s="122"/>
      <c r="CV45" s="388"/>
    </row>
    <row r="46" spans="1:100" customFormat="1" ht="30" customHeight="1" outlineLevel="1">
      <c r="A46" s="112"/>
      <c r="B46" s="418"/>
      <c r="C46" s="453">
        <f>报价辅助计算!$E$1</f>
        <v>75</v>
      </c>
      <c r="D46" s="489" t="s">
        <v>8</v>
      </c>
      <c r="E46" s="454">
        <f>F44/C46</f>
        <v>26.666666666666668</v>
      </c>
      <c r="F46" s="461">
        <f>ROUNDUP(E46,0)*C46</f>
        <v>2025</v>
      </c>
      <c r="G46" s="418"/>
      <c r="H46" s="421"/>
      <c r="I46" s="421"/>
      <c r="J46" s="450"/>
      <c r="K46" s="54" t="s">
        <v>237</v>
      </c>
      <c r="L46" s="54"/>
      <c r="O46" s="425" t="s">
        <v>303</v>
      </c>
      <c r="P46" s="425"/>
      <c r="Q46" s="445" t="s">
        <v>274</v>
      </c>
      <c r="R46" s="420" t="s">
        <v>238</v>
      </c>
      <c r="S46" s="420" t="s">
        <v>239</v>
      </c>
      <c r="T46" s="420" t="s">
        <v>240</v>
      </c>
      <c r="U46" s="420" t="s">
        <v>241</v>
      </c>
      <c r="V46" s="420" t="s">
        <v>242</v>
      </c>
      <c r="W46" s="420" t="s">
        <v>207</v>
      </c>
      <c r="X46" s="420" t="s">
        <v>282</v>
      </c>
      <c r="Y46" s="429" t="s">
        <v>283</v>
      </c>
      <c r="Z46" s="429" t="s">
        <v>159</v>
      </c>
      <c r="AA46" s="438" t="s">
        <v>284</v>
      </c>
      <c r="AB46" s="429" t="s">
        <v>221</v>
      </c>
      <c r="AC46" s="429" t="s">
        <v>222</v>
      </c>
      <c r="AD46" s="448" t="s">
        <v>285</v>
      </c>
      <c r="AE46" s="428" t="s">
        <v>286</v>
      </c>
      <c r="AF46" s="429" t="s">
        <v>226</v>
      </c>
      <c r="AG46" s="441" t="s">
        <v>238</v>
      </c>
      <c r="AH46" s="441" t="s">
        <v>287</v>
      </c>
      <c r="AI46" s="441" t="s">
        <v>288</v>
      </c>
      <c r="AJ46" s="452"/>
      <c r="AK46" s="429"/>
      <c r="AL46" s="441" t="s">
        <v>291</v>
      </c>
      <c r="AM46" s="441" t="str">
        <f>VLOOKUP(AA47,常规材料表!$1:$1048576,21,0)</f>
        <v>SHM90/100.15.Pregal</v>
      </c>
      <c r="AN46" s="441">
        <f>VLOOKUP(AA47,常规材料表!$1:$1048576,22,0)</f>
        <v>2</v>
      </c>
      <c r="AO46" s="441">
        <f>VLOOKUP(AM46,标准件价格!$C:$D,2,0)</f>
        <v>1.7909774999999999</v>
      </c>
      <c r="AP46" s="441">
        <f>AN46*AO46</f>
        <v>3.5819549999999998</v>
      </c>
      <c r="AQ46" s="111">
        <f>IFERROR(VLOOKUP(AM46,标准件价格!$C:$E,3,0),0)</f>
        <v>0.19899749999999999</v>
      </c>
      <c r="BZ46" t="s">
        <v>303</v>
      </c>
      <c r="CA46" s="112" t="s">
        <v>200</v>
      </c>
      <c r="CB46" t="s">
        <v>201</v>
      </c>
      <c r="CC46" t="s">
        <v>202</v>
      </c>
      <c r="CG46" s="122"/>
      <c r="CV46" s="388"/>
    </row>
    <row r="47" spans="1:100" customFormat="1" ht="30" customHeight="1" outlineLevel="1">
      <c r="A47" s="112"/>
      <c r="B47" s="418"/>
      <c r="C47" s="418" t="s">
        <v>281</v>
      </c>
      <c r="D47" s="431">
        <v>0</v>
      </c>
      <c r="E47" s="490"/>
      <c r="F47" s="481">
        <f>IF(D47&gt;0,F43,0)</f>
        <v>0</v>
      </c>
      <c r="G47" s="418"/>
      <c r="H47" s="421">
        <f>D47*J47*F47</f>
        <v>0</v>
      </c>
      <c r="I47" s="386"/>
      <c r="J47" s="464">
        <f>IFERROR((6.5*1.02+2+0.25*2/D47)/1.13+1,0)</f>
        <v>0</v>
      </c>
      <c r="K47" s="54" t="s">
        <v>237</v>
      </c>
      <c r="L47" s="54"/>
      <c r="O47" s="425" t="s">
        <v>303</v>
      </c>
      <c r="P47" s="425"/>
      <c r="R47" s="420">
        <f>AG47</f>
        <v>6.1</v>
      </c>
      <c r="S47" s="420">
        <v>1.01</v>
      </c>
      <c r="T47" s="420">
        <f>R47*S47/1.13</f>
        <v>5.4522123893805308</v>
      </c>
      <c r="U47" s="420">
        <f>VLOOKUP(AA47,常规材料表!$1:$1048576,11,0)/Y47+0.25</f>
        <v>1.3680807919589866</v>
      </c>
      <c r="V47" s="420">
        <f>IF(AE47="喷塑",AF47,AF47)/1.13</f>
        <v>0.84070796460177</v>
      </c>
      <c r="W47" s="420">
        <f>SUM(AP44:AP46)/Y47/1.13</f>
        <v>4.5893712200649563</v>
      </c>
      <c r="X47" s="420">
        <f>(T47+U47+V47+W47)*Y47</f>
        <v>13.147928973407078</v>
      </c>
      <c r="Y47" s="469">
        <f>VLOOKUP(AA47,常规材料表!$1:$1048576,3,0)</f>
        <v>1.0732676999999999</v>
      </c>
      <c r="Z47" s="427">
        <f>Y47*AC47</f>
        <v>1.0732676999999999</v>
      </c>
      <c r="AA47" s="470" t="str">
        <f>D45</f>
        <v>FP90H4.DE75+bolt.set</v>
      </c>
      <c r="AB47" s="440" t="str">
        <f>AA44</f>
        <v>9070-20</v>
      </c>
      <c r="AC47" s="429">
        <f>AB44</f>
        <v>1</v>
      </c>
      <c r="AD47" s="471">
        <f>J44</f>
        <v>0</v>
      </c>
      <c r="AE47" s="439" t="str">
        <f>G45</f>
        <v>喷塑</v>
      </c>
      <c r="AF47" s="440">
        <f>IF(AE47="预镀锌",0,IF(AE47="喷塑",VLOOKUP(AA47,常规材料表!$1:$1048576,12,0),IF(AE47="热镀锌",VLOOKUP(AA47,常规材料表!$1:$1048576,13,0),IF(AE47="冷镀锌",VLOOKUP(AA47,常规材料表!$1:$1048576,15,0),0))))</f>
        <v>0.95</v>
      </c>
      <c r="AG47" s="440">
        <f>VLOOKUP(AA47,常规材料表!$1:$1048576,10,0)</f>
        <v>6.1</v>
      </c>
      <c r="AH47" s="429">
        <f>IF(AE47="预镀锌",VLOOKUP(AA47,常规材料表!$1:$1048576,11,0)+VLOOKUP(AA47,常规材料表!$1:$1048576,14,0),VLOOKUP(AA47,常规材料表!$1:$1048576,11,0))</f>
        <v>1.2</v>
      </c>
      <c r="AI47" s="441">
        <f>VLOOKUP(AA47,常规材料表!$1:$1048576,4,0)</f>
        <v>7.4759999999999993E-2</v>
      </c>
      <c r="AL47" s="429"/>
      <c r="AM47" s="429"/>
      <c r="AN47" s="429"/>
      <c r="AO47" s="429"/>
      <c r="AP47" s="429"/>
      <c r="AQ47" s="111">
        <f>IFERROR(VLOOKUP(AM47,标准件价格!$C:$E,3,0),0)</f>
        <v>0</v>
      </c>
      <c r="BZ47" t="s">
        <v>303</v>
      </c>
      <c r="CA47" s="112" t="s">
        <v>200</v>
      </c>
      <c r="CB47" t="s">
        <v>201</v>
      </c>
      <c r="CC47" t="s">
        <v>202</v>
      </c>
      <c r="CG47" s="122"/>
      <c r="CV47" s="388"/>
    </row>
    <row r="48" spans="1:100" customFormat="1" ht="30" customHeight="1" outlineLevel="1">
      <c r="A48" s="112"/>
      <c r="B48" s="414">
        <v>0</v>
      </c>
      <c r="C48" s="465">
        <f>报价辅助计算!$E$13</f>
        <v>0</v>
      </c>
      <c r="D48" s="489"/>
      <c r="E48" s="491"/>
      <c r="F48" s="492"/>
      <c r="G48" s="418"/>
      <c r="H48" s="421"/>
      <c r="I48" s="421"/>
      <c r="J48" s="422"/>
      <c r="K48" s="54" t="s">
        <v>237</v>
      </c>
      <c r="L48" s="54"/>
      <c r="O48" s="425" t="s">
        <v>303</v>
      </c>
      <c r="P48" s="425"/>
      <c r="R48" s="387"/>
      <c r="S48" s="387"/>
      <c r="T48" s="387"/>
      <c r="U48" s="387"/>
      <c r="V48" s="387"/>
      <c r="W48" s="387"/>
      <c r="X48" s="387"/>
      <c r="AQ48" s="110"/>
      <c r="BZ48" t="s">
        <v>303</v>
      </c>
      <c r="CA48" s="112" t="s">
        <v>200</v>
      </c>
      <c r="CB48" t="s">
        <v>201</v>
      </c>
      <c r="CC48" t="s">
        <v>202</v>
      </c>
      <c r="CG48" s="122"/>
      <c r="CV48" s="388"/>
    </row>
    <row r="49" spans="1:100" s="376" customFormat="1" ht="30" customHeight="1">
      <c r="A49" s="472"/>
      <c r="B49" s="473"/>
      <c r="C49" s="473"/>
      <c r="D49" s="473"/>
      <c r="E49" s="474"/>
      <c r="F49" s="473"/>
      <c r="G49" s="473"/>
      <c r="H49" s="421"/>
      <c r="I49" s="421"/>
      <c r="J49" s="422"/>
      <c r="K49" s="475"/>
      <c r="L49" s="475"/>
      <c r="R49" s="387"/>
      <c r="S49" s="387"/>
      <c r="T49" s="387"/>
      <c r="U49" s="387"/>
      <c r="V49" s="387"/>
      <c r="W49" s="387"/>
      <c r="X49" s="387"/>
      <c r="AQ49" s="476"/>
      <c r="BZ49" t="s">
        <v>303</v>
      </c>
      <c r="CA49" s="112" t="s">
        <v>200</v>
      </c>
      <c r="CB49" t="s">
        <v>201</v>
      </c>
      <c r="CC49" t="s">
        <v>202</v>
      </c>
      <c r="CD49"/>
      <c r="CE49"/>
      <c r="CF49"/>
      <c r="CG49" s="122"/>
    </row>
    <row r="50" spans="1:100" customFormat="1" ht="30" customHeight="1">
      <c r="A50" s="112" t="str">
        <f>IF($C$13=1,IF(K50="报价行",IF(F50&gt;0,1," ")," ")," ")</f>
        <v xml:space="preserve"> </v>
      </c>
      <c r="B50" s="414" t="str">
        <f>IF(A50=1,SUM($A$11:A50),"中型单立柱+脚底板")</f>
        <v>中型单立柱+脚底板</v>
      </c>
      <c r="C50" s="415" t="str">
        <f>B51&amp;IF(C55=1,CHAR(10)&amp;B52," ")</f>
        <v xml:space="preserve">Post+foot plate </v>
      </c>
      <c r="D50" s="482" t="str">
        <f>"H"&amp;F51</f>
        <v>H2000</v>
      </c>
      <c r="E50" s="483" t="str">
        <f>"Pitch "&amp;C53&amp;", "&amp;D53&amp;", Post "&amp;VLOOKUP(D51,常规材料表!$1:$1048576,28,0)&amp;IF(D52&gt;0,VLOOKUP(D52,常规材料表!$1:$1048576,28,0)," ")&amp;E55&amp;IF(E55&gt;0,"kg/bay, "," ")&amp;IF(E55&gt;0,F55," ")&amp;IF(E55&gt;0,IF(F55&gt;0,"mm first level"," ")," ")</f>
        <v xml:space="preserve">Pitch 50, Q235, Post 55*47*1.5 mm,with L55A foot plate, shim plate and bolts,   </v>
      </c>
      <c r="F50" s="431"/>
      <c r="G50" s="419" t="str">
        <f>IFERROR(Y52+Y54*1+D54*F54/F50+IFERROR(AQ53*AN53,0)*1,"-")</f>
        <v>-</v>
      </c>
      <c r="H50" s="420" t="str">
        <f>IFERROR(SUM(H51:H53)+H54/F50,"-")</f>
        <v>-</v>
      </c>
      <c r="I50" s="421" t="s">
        <v>292</v>
      </c>
      <c r="J50" s="422"/>
      <c r="K50" s="423" t="s">
        <v>217</v>
      </c>
      <c r="L50" s="424">
        <f>C53</f>
        <v>50</v>
      </c>
      <c r="O50" s="425" t="s">
        <v>310</v>
      </c>
      <c r="P50" s="425"/>
      <c r="Q50" s="460">
        <v>600</v>
      </c>
      <c r="R50" s="387" t="s">
        <v>219</v>
      </c>
      <c r="S50" s="426" t="s">
        <v>220</v>
      </c>
      <c r="T50" s="426">
        <f>(T52*Y52)/Y50</f>
        <v>3.3307964601769915</v>
      </c>
      <c r="U50" s="426">
        <f>(U52*Y52)/Y50</f>
        <v>1.2759479331423931</v>
      </c>
      <c r="V50" s="426">
        <f>(V52*Y52)/Y50</f>
        <v>1.3527986021081111</v>
      </c>
      <c r="W50" s="426">
        <f>(W52*Y52)/Y50</f>
        <v>0</v>
      </c>
      <c r="X50" s="426">
        <f>SUM(T50:W50)*Y50</f>
        <v>20.911738393805312</v>
      </c>
      <c r="Y50" s="427">
        <f>SUM(Y52:Y52)</f>
        <v>3.50895</v>
      </c>
      <c r="Z50" s="427"/>
      <c r="AA50" s="428" t="s">
        <v>221</v>
      </c>
      <c r="AB50" s="428" t="s">
        <v>222</v>
      </c>
      <c r="AC50" s="428" t="s">
        <v>223</v>
      </c>
      <c r="AD50" s="428" t="s">
        <v>224</v>
      </c>
      <c r="AE50" s="446" t="s">
        <v>297</v>
      </c>
      <c r="AF50" s="428" t="s">
        <v>225</v>
      </c>
      <c r="AG50" s="429" t="s">
        <v>226</v>
      </c>
      <c r="AH50" s="429" t="s">
        <v>227</v>
      </c>
      <c r="AI50" s="429" t="s">
        <v>228</v>
      </c>
      <c r="AJ50" s="429" t="s">
        <v>229</v>
      </c>
      <c r="AK50" s="429"/>
      <c r="AL50" s="429" t="s">
        <v>231</v>
      </c>
      <c r="AM50" s="429" t="s">
        <v>232</v>
      </c>
      <c r="AN50" s="429" t="s">
        <v>102</v>
      </c>
      <c r="AO50" s="429" t="s">
        <v>74</v>
      </c>
      <c r="AP50" s="429" t="s">
        <v>21</v>
      </c>
      <c r="AQ50" s="110"/>
      <c r="AX50" t="str">
        <f>VLOOKUP(D51,常规材料表!$1:$1048576,28,0)</f>
        <v>55*47*1.5 mm,</v>
      </c>
      <c r="AY50" s="256">
        <f>F51</f>
        <v>2000</v>
      </c>
      <c r="AZ50">
        <f>F50</f>
        <v>0</v>
      </c>
      <c r="BA50" s="256">
        <f>Y52</f>
        <v>3.50895</v>
      </c>
      <c r="BB50">
        <f>BA50*AZ50</f>
        <v>0</v>
      </c>
      <c r="BN50">
        <f>AZ50</f>
        <v>0</v>
      </c>
      <c r="BO50" s="256">
        <f>Y54</f>
        <v>0.19</v>
      </c>
      <c r="BP50">
        <f>BN50*BO50</f>
        <v>0</v>
      </c>
      <c r="BQ50" t="str">
        <f>D53</f>
        <v>Q235</v>
      </c>
      <c r="BR50" t="str">
        <f>I50</f>
        <v>Blue Ral5015</v>
      </c>
      <c r="BS50">
        <f>T50*Y50</f>
        <v>11.687598238938055</v>
      </c>
      <c r="BT50">
        <f>U50*Y50</f>
        <v>4.4772375000000002</v>
      </c>
      <c r="BU50">
        <f>(V50+W50)*Y50</f>
        <v>4.7469026548672568</v>
      </c>
      <c r="BZ50" t="s">
        <v>303</v>
      </c>
      <c r="CA50" s="112" t="s">
        <v>200</v>
      </c>
      <c r="CB50" t="s">
        <v>201</v>
      </c>
      <c r="CC50" t="s">
        <v>202</v>
      </c>
      <c r="CG50" s="122"/>
      <c r="CV50" s="388"/>
    </row>
    <row r="51" spans="1:100" customFormat="1" ht="30" customHeight="1" outlineLevel="1">
      <c r="A51" s="112"/>
      <c r="B51" s="415" t="s">
        <v>304</v>
      </c>
      <c r="C51" s="431" t="s">
        <v>10</v>
      </c>
      <c r="D51" s="484" t="s">
        <v>294</v>
      </c>
      <c r="E51" s="431"/>
      <c r="F51" s="434">
        <v>2000</v>
      </c>
      <c r="G51" s="485" t="s">
        <v>236</v>
      </c>
      <c r="H51" s="420">
        <f>IFERROR(X52,"-")</f>
        <v>20.911738393805312</v>
      </c>
      <c r="I51" s="438" t="s">
        <v>299</v>
      </c>
      <c r="J51" s="436">
        <f>IFERROR(IF(D53="Q355",IFERROR(IF(G51="预镀锌",VLOOKUP(D51,常规材料表!$1:$1048576,30,0),VLOOKUP(D51,常规材料表!$1:$1048576,29,0)),0),0),0)</f>
        <v>0</v>
      </c>
      <c r="K51" s="54" t="s">
        <v>237</v>
      </c>
      <c r="L51" s="54"/>
      <c r="O51" s="425" t="s">
        <v>310</v>
      </c>
      <c r="P51" s="425"/>
      <c r="Q51" s="256"/>
      <c r="R51" s="420" t="s">
        <v>238</v>
      </c>
      <c r="S51" s="420" t="s">
        <v>239</v>
      </c>
      <c r="T51" s="420" t="s">
        <v>240</v>
      </c>
      <c r="U51" s="420" t="s">
        <v>241</v>
      </c>
      <c r="V51" s="420" t="s">
        <v>242</v>
      </c>
      <c r="W51" s="420" t="s">
        <v>207</v>
      </c>
      <c r="X51" s="420" t="s">
        <v>243</v>
      </c>
      <c r="Y51" s="429" t="s">
        <v>244</v>
      </c>
      <c r="Z51" s="429" t="s">
        <v>159</v>
      </c>
      <c r="AA51" s="437" t="str">
        <f>D51</f>
        <v>L5547-15</v>
      </c>
      <c r="AB51" s="438">
        <v>1</v>
      </c>
      <c r="AC51" s="438">
        <f>F51</f>
        <v>2000</v>
      </c>
      <c r="AD51" s="438">
        <f>E51</f>
        <v>0</v>
      </c>
      <c r="AE51" s="438" t="str">
        <f>I51</f>
        <v>外部冲孔时填写印尼</v>
      </c>
      <c r="AF51" s="439" t="str">
        <f>G51</f>
        <v>喷塑</v>
      </c>
      <c r="AG51" s="440">
        <f>IF(AF51="预镀锌",0,IF(AF51="喷塑",VLOOKUP(AA51,常规材料表!$1:$1048576,12,0),IF(AF51="热镀锌",VLOOKUP(AA51,常规材料表!$1:$1048576,13,0),IF(AF51="冷镀锌",VLOOKUP(AA51,常规材料表!$1:$1048576,15,0),0))))</f>
        <v>9</v>
      </c>
      <c r="AH51" s="440">
        <f>IF(AF51="预镀锌",VLOOKUP(AA51,常规材料表!$1:$1048576,11,0)+VLOOKUP(AA51,常规材料表!$1:$1048576,14,0),VLOOKUP(AA51,常规材料表!$1:$1048576,11,0))+IF(AC51&lt;8000,0,VLOOKUP(AA51,常规材料表!$1:$1048576,16,0))</f>
        <v>1.8</v>
      </c>
      <c r="AI51" s="440">
        <f>VLOOKUP(AA51,常规材料表!$1:$1048576,7,0)</f>
        <v>149</v>
      </c>
      <c r="AJ51" s="440">
        <f>VLOOKUP(AA51,常规材料表!$1:$1048576,6,0)</f>
        <v>1.5</v>
      </c>
      <c r="AK51" s="429"/>
      <c r="AL51" s="441" t="s">
        <v>280</v>
      </c>
      <c r="AM51" s="441" t="str">
        <f>VLOOKUP(AA54,常规材料表!$1:$1048576,17,0)</f>
        <v>M8.L45 Socket</v>
      </c>
      <c r="AN51" s="441">
        <f>VLOOKUP(AA54,常规材料表!$1:$1048576,18,0)</f>
        <v>1</v>
      </c>
      <c r="AO51" s="441">
        <f>VLOOKUP(AM51,标准件价格!$C:$D,2,0)</f>
        <v>0.23</v>
      </c>
      <c r="AP51" s="441">
        <f>AN51*AO51</f>
        <v>0.23</v>
      </c>
      <c r="AQ51" s="111">
        <f>IFERROR(VLOOKUP(AM51,标准件价格!$C:$E,3,0),0)</f>
        <v>0</v>
      </c>
      <c r="AR51">
        <f>IFERROR(IF(J51&gt;0,Y52*F50,0),"-")</f>
        <v>0</v>
      </c>
      <c r="AS51">
        <f>IFERROR(IF(J51=0,Y52*F50,0),"-")</f>
        <v>0</v>
      </c>
      <c r="AX51" t="s">
        <v>305</v>
      </c>
      <c r="AY51" t="s">
        <v>306</v>
      </c>
      <c r="AZ51" t="s">
        <v>307</v>
      </c>
      <c r="BA51" t="s">
        <v>308</v>
      </c>
      <c r="BB51" t="s">
        <v>309</v>
      </c>
      <c r="BN51" t="s">
        <v>259</v>
      </c>
      <c r="BO51" t="s">
        <v>260</v>
      </c>
      <c r="BP51" t="s">
        <v>261</v>
      </c>
      <c r="BQ51" t="s">
        <v>262</v>
      </c>
      <c r="BR51" t="s">
        <v>155</v>
      </c>
      <c r="BS51" s="898" t="s">
        <v>2337</v>
      </c>
      <c r="BT51" s="898" t="s">
        <v>2338</v>
      </c>
      <c r="BU51" s="898" t="s">
        <v>2339</v>
      </c>
      <c r="BZ51" t="s">
        <v>303</v>
      </c>
      <c r="CA51" s="112" t="s">
        <v>200</v>
      </c>
      <c r="CB51" t="s">
        <v>201</v>
      </c>
      <c r="CC51" t="s">
        <v>202</v>
      </c>
      <c r="CG51" s="122"/>
      <c r="CV51" s="388"/>
    </row>
    <row r="52" spans="1:100" customFormat="1" ht="30" customHeight="1" outlineLevel="1">
      <c r="A52" s="112"/>
      <c r="B52" s="486" t="s">
        <v>303</v>
      </c>
      <c r="C52" s="431" t="s">
        <v>274</v>
      </c>
      <c r="D52" s="487" t="s">
        <v>298</v>
      </c>
      <c r="E52" s="488"/>
      <c r="F52" s="431"/>
      <c r="G52" s="485" t="s">
        <v>236</v>
      </c>
      <c r="H52" s="420">
        <f>IFERROR(X54,"-")</f>
        <v>5.4614391592920306</v>
      </c>
      <c r="I52" s="421"/>
      <c r="J52" s="387"/>
      <c r="K52" s="54" t="s">
        <v>237</v>
      </c>
      <c r="L52" s="54"/>
      <c r="O52" s="425" t="s">
        <v>310</v>
      </c>
      <c r="P52" s="425"/>
      <c r="Q52" s="445" t="s">
        <v>10</v>
      </c>
      <c r="R52" s="420">
        <f>IF(AD54&gt;0,AD54,IFERROR(IF(AF51="预镀锌",VLOOKUP(AA51,常规材料表!$1:$1048576,5,0),VLOOKUP(AA51,常规材料表!$1:$1048576,10,0)),0))</f>
        <v>3.69</v>
      </c>
      <c r="S52" s="420">
        <v>1.02</v>
      </c>
      <c r="T52" s="420">
        <f>R52*S52/1.13</f>
        <v>3.3307964601769915</v>
      </c>
      <c r="U52" s="420">
        <f>(AH51*2/Y52)+IF(ISNUMBER(SEARCH("L60",AA51)),1.2,0.25)+IF(AD53="印尼",0.2,0)</f>
        <v>1.2759479331423931</v>
      </c>
      <c r="V52" s="420">
        <f>AI51*AC51*2*AG51/1000000/Y52/1.13</f>
        <v>1.3527986021081111</v>
      </c>
      <c r="W52" s="420"/>
      <c r="X52" s="420">
        <f>(T52+U52+V52)*Y52</f>
        <v>20.911738393805312</v>
      </c>
      <c r="Y52" s="429">
        <f>AI51*AJ51*AC51*7.85/1000000</f>
        <v>3.50895</v>
      </c>
      <c r="Z52" s="429">
        <f>Y52*AB51</f>
        <v>3.50895</v>
      </c>
      <c r="AA52" s="428"/>
      <c r="AB52" s="428"/>
      <c r="AC52" s="428"/>
      <c r="AE52" s="428"/>
      <c r="AF52" s="429"/>
      <c r="AG52" s="429"/>
      <c r="AH52" s="429"/>
      <c r="AI52" s="429"/>
      <c r="AJ52" s="429"/>
      <c r="AK52" s="429"/>
      <c r="AL52" s="441" t="s">
        <v>290</v>
      </c>
      <c r="AM52" s="441" t="str">
        <f>VLOOKUP(AA54,常规材料表!$1:$1048576,19,0)</f>
        <v>Anc.M8.L60</v>
      </c>
      <c r="AN52" s="441">
        <f>VLOOKUP(AA54,常规材料表!$1:$1048576,20,0)</f>
        <v>2</v>
      </c>
      <c r="AO52" s="441">
        <f>IFERROR(VLOOKUP(AM52,标准件价格!$C:$D,2,0),0)</f>
        <v>0.32</v>
      </c>
      <c r="AP52" s="441">
        <f>AN52*AO52</f>
        <v>0.64</v>
      </c>
      <c r="AQ52" s="111">
        <f>IFERROR(VLOOKUP(AM52,标准件价格!$C:$E,3,0),0)</f>
        <v>0</v>
      </c>
      <c r="BZ52" t="s">
        <v>303</v>
      </c>
      <c r="CA52" s="112" t="s">
        <v>200</v>
      </c>
      <c r="CB52" t="s">
        <v>201</v>
      </c>
      <c r="CC52" t="s">
        <v>202</v>
      </c>
      <c r="CG52" s="122"/>
      <c r="CV52" s="388"/>
    </row>
    <row r="53" spans="1:100" customFormat="1" ht="30" customHeight="1" outlineLevel="1">
      <c r="A53" s="112"/>
      <c r="B53" s="418"/>
      <c r="C53" s="453">
        <v>50</v>
      </c>
      <c r="D53" s="489" t="s">
        <v>8</v>
      </c>
      <c r="E53" s="454">
        <f>F51/C53</f>
        <v>40</v>
      </c>
      <c r="F53" s="461">
        <f>ROUNDUP(E53,0)*C53</f>
        <v>2000</v>
      </c>
      <c r="G53" s="418"/>
      <c r="H53" s="421"/>
      <c r="I53" s="421"/>
      <c r="J53" s="450"/>
      <c r="K53" s="54" t="s">
        <v>237</v>
      </c>
      <c r="L53" s="54"/>
      <c r="O53" s="425" t="s">
        <v>310</v>
      </c>
      <c r="P53" s="425"/>
      <c r="Q53" s="445" t="s">
        <v>274</v>
      </c>
      <c r="R53" s="420" t="s">
        <v>238</v>
      </c>
      <c r="S53" s="420" t="s">
        <v>239</v>
      </c>
      <c r="T53" s="420" t="s">
        <v>240</v>
      </c>
      <c r="U53" s="420" t="s">
        <v>241</v>
      </c>
      <c r="V53" s="420" t="s">
        <v>242</v>
      </c>
      <c r="W53" s="420" t="s">
        <v>207</v>
      </c>
      <c r="X53" s="420" t="s">
        <v>282</v>
      </c>
      <c r="Y53" s="429" t="s">
        <v>283</v>
      </c>
      <c r="Z53" s="429" t="s">
        <v>159</v>
      </c>
      <c r="AA53" s="438" t="s">
        <v>284</v>
      </c>
      <c r="AB53" s="429" t="s">
        <v>221</v>
      </c>
      <c r="AC53" s="429" t="s">
        <v>222</v>
      </c>
      <c r="AD53" s="448" t="s">
        <v>285</v>
      </c>
      <c r="AE53" s="428" t="s">
        <v>286</v>
      </c>
      <c r="AF53" s="429" t="s">
        <v>226</v>
      </c>
      <c r="AG53" s="441" t="s">
        <v>238</v>
      </c>
      <c r="AH53" s="441" t="s">
        <v>287</v>
      </c>
      <c r="AI53" s="441" t="s">
        <v>288</v>
      </c>
      <c r="AJ53" s="452"/>
      <c r="AK53" s="429"/>
      <c r="AL53" s="441" t="s">
        <v>291</v>
      </c>
      <c r="AM53" s="441" t="str">
        <f>VLOOKUP(AA54,常规材料表!$1:$1048576,21,0)</f>
        <v>SHM55A.15.Pregal</v>
      </c>
      <c r="AN53" s="441">
        <f>VLOOKUP(AA54,常规材料表!$1:$1048576,22,0)</f>
        <v>2</v>
      </c>
      <c r="AO53" s="441">
        <f>VLOOKUP(AM53,标准件价格!$C:$D,2,0)</f>
        <v>0.71562562500000004</v>
      </c>
      <c r="AP53" s="441">
        <f>AN53*AO53</f>
        <v>1.4312512500000001</v>
      </c>
      <c r="AQ53" s="111">
        <f>IFERROR(VLOOKUP(AM53,标准件价格!$C:$E,3,0),0)</f>
        <v>6.5056875E-2</v>
      </c>
      <c r="BZ53" t="s">
        <v>303</v>
      </c>
      <c r="CA53" s="112" t="s">
        <v>200</v>
      </c>
      <c r="CB53" t="s">
        <v>201</v>
      </c>
      <c r="CC53" t="s">
        <v>202</v>
      </c>
      <c r="CG53" s="122"/>
      <c r="CV53" s="388"/>
    </row>
    <row r="54" spans="1:100" customFormat="1" ht="30" customHeight="1" outlineLevel="1">
      <c r="A54" s="112"/>
      <c r="B54" s="418"/>
      <c r="C54" s="418" t="s">
        <v>281</v>
      </c>
      <c r="D54" s="431">
        <v>0</v>
      </c>
      <c r="E54" s="490"/>
      <c r="F54" s="481">
        <f>IF(D54&gt;0,F50,0)</f>
        <v>0</v>
      </c>
      <c r="G54" s="418"/>
      <c r="H54" s="421">
        <f>D54*J54*F54</f>
        <v>0</v>
      </c>
      <c r="I54" s="386"/>
      <c r="J54" s="464">
        <f>IFERROR((6.5*1.02+2+0.25*2/D54)/1.13+1,0)</f>
        <v>0</v>
      </c>
      <c r="K54" s="54" t="s">
        <v>237</v>
      </c>
      <c r="L54" s="54"/>
      <c r="O54" s="425" t="s">
        <v>310</v>
      </c>
      <c r="P54" s="425"/>
      <c r="R54" s="420">
        <f>AG54</f>
        <v>18.947368421052602</v>
      </c>
      <c r="S54" s="420">
        <v>1.01</v>
      </c>
      <c r="T54" s="420">
        <f>R54*S54/1.13</f>
        <v>16.935258500232859</v>
      </c>
      <c r="U54" s="420">
        <f>VLOOKUP(AA54,常规材料表!$1:$1048576,11,0)/Y54+0.25</f>
        <v>0.25</v>
      </c>
      <c r="V54" s="420">
        <f>IF(AE54="喷塑",AF54,AF54)/1.13</f>
        <v>0.84070796460177</v>
      </c>
      <c r="W54" s="420">
        <f>SUM(AP51:AP53)/Y54/1.13</f>
        <v>10.718450163018167</v>
      </c>
      <c r="X54" s="420">
        <f>(T54+U54+V54+W54)*Y54</f>
        <v>5.4614391592920306</v>
      </c>
      <c r="Y54" s="469">
        <f>VLOOKUP(AA54,常规材料表!$1:$1048576,3,0)</f>
        <v>0.19</v>
      </c>
      <c r="Z54" s="427">
        <f>Y54*AC54</f>
        <v>0.19</v>
      </c>
      <c r="AA54" s="470" t="str">
        <f>D52</f>
        <v>FP.L55A+M8.L45</v>
      </c>
      <c r="AB54" s="440" t="str">
        <f>AA51</f>
        <v>L5547-15</v>
      </c>
      <c r="AC54" s="429">
        <f>AB51</f>
        <v>1</v>
      </c>
      <c r="AD54" s="471">
        <f>J51</f>
        <v>0</v>
      </c>
      <c r="AE54" s="439" t="str">
        <f>G52</f>
        <v>喷塑</v>
      </c>
      <c r="AF54" s="440">
        <f>IF(AE54="预镀锌",0,IF(AE54="喷塑",VLOOKUP(AA54,常规材料表!$1:$1048576,12,0),IF(AE54="热镀锌",VLOOKUP(AA54,常规材料表!$1:$1048576,13,0),IF(AE54="冷镀锌",VLOOKUP(AA54,常规材料表!$1:$1048576,15,0),0))))</f>
        <v>0.95</v>
      </c>
      <c r="AG54" s="440">
        <f>VLOOKUP(AA54,常规材料表!$1:$1048576,10,0)</f>
        <v>18.947368421052602</v>
      </c>
      <c r="AH54" s="429">
        <f>IF(AE54="预镀锌",VLOOKUP(AA54,常规材料表!$1:$1048576,11,0)+VLOOKUP(AA54,常规材料表!$1:$1048576,14,0),VLOOKUP(AA54,常规材料表!$1:$1048576,11,0))</f>
        <v>0</v>
      </c>
      <c r="AI54" s="441">
        <f>VLOOKUP(AA54,常规材料表!$1:$1048576,4,0)</f>
        <v>2.0670000000000001E-2</v>
      </c>
      <c r="AL54" s="429"/>
      <c r="AM54" s="429"/>
      <c r="AN54" s="429"/>
      <c r="AO54" s="429"/>
      <c r="AP54" s="429"/>
      <c r="AQ54" s="111">
        <f>IFERROR(VLOOKUP(AM54,标准件价格!$C:$E,3,0),0)</f>
        <v>0</v>
      </c>
      <c r="BZ54" t="s">
        <v>303</v>
      </c>
      <c r="CA54" s="112" t="s">
        <v>200</v>
      </c>
      <c r="CB54" t="s">
        <v>201</v>
      </c>
      <c r="CC54" t="s">
        <v>202</v>
      </c>
      <c r="CG54" s="122"/>
      <c r="CV54" s="388"/>
    </row>
    <row r="55" spans="1:100" customFormat="1" ht="30" customHeight="1" outlineLevel="1">
      <c r="A55" s="112"/>
      <c r="B55" s="414">
        <v>0</v>
      </c>
      <c r="C55" s="465">
        <f>报价辅助计算!$E$13</f>
        <v>0</v>
      </c>
      <c r="D55" s="489"/>
      <c r="E55" s="491"/>
      <c r="F55" s="492"/>
      <c r="G55" s="418"/>
      <c r="H55" s="421"/>
      <c r="I55" s="421"/>
      <c r="J55" s="422"/>
      <c r="K55" s="54" t="s">
        <v>237</v>
      </c>
      <c r="L55" s="54"/>
      <c r="O55" s="425" t="s">
        <v>310</v>
      </c>
      <c r="P55" s="425"/>
      <c r="R55" s="387"/>
      <c r="S55" s="387"/>
      <c r="T55" s="387"/>
      <c r="U55" s="387"/>
      <c r="V55" s="387"/>
      <c r="W55" s="387"/>
      <c r="X55" s="387"/>
      <c r="AQ55" s="110"/>
      <c r="BZ55" t="s">
        <v>303</v>
      </c>
      <c r="CA55" s="112" t="s">
        <v>200</v>
      </c>
      <c r="CB55" t="s">
        <v>201</v>
      </c>
      <c r="CC55" t="s">
        <v>202</v>
      </c>
      <c r="CG55" s="122"/>
      <c r="CV55" s="388"/>
    </row>
    <row r="56" spans="1:100" s="376" customFormat="1" ht="30" customHeight="1">
      <c r="A56" s="472"/>
      <c r="B56" s="473"/>
      <c r="C56" s="473"/>
      <c r="D56" s="473"/>
      <c r="E56" s="474"/>
      <c r="F56" s="473"/>
      <c r="G56" s="473"/>
      <c r="H56" s="421"/>
      <c r="I56" s="421"/>
      <c r="J56" s="422"/>
      <c r="K56" s="475"/>
      <c r="L56" s="475"/>
      <c r="R56" s="387"/>
      <c r="S56" s="387"/>
      <c r="T56" s="387"/>
      <c r="U56" s="387"/>
      <c r="V56" s="387"/>
      <c r="W56" s="387"/>
      <c r="X56" s="387"/>
      <c r="AQ56" s="476"/>
      <c r="BZ56" t="s">
        <v>303</v>
      </c>
      <c r="CA56" s="112" t="s">
        <v>200</v>
      </c>
      <c r="CB56" t="s">
        <v>201</v>
      </c>
      <c r="CC56" t="s">
        <v>202</v>
      </c>
      <c r="CD56"/>
      <c r="CE56"/>
      <c r="CF56"/>
      <c r="CG56" s="122"/>
    </row>
    <row r="57" spans="1:100" customFormat="1" ht="30" customHeight="1">
      <c r="A57" s="112" t="str">
        <f>IF($C$13=1,IF(K57="报价行",IF(F57&gt;0,1," ")," ")," ")</f>
        <v xml:space="preserve"> </v>
      </c>
      <c r="B57" s="414" t="str">
        <f>IF(A57=1,SUM($A$11:A57),"单立柱")</f>
        <v>单立柱</v>
      </c>
      <c r="C57" s="415" t="str">
        <f>B58&amp;IF(C61=1,CHAR(10)&amp;B59," ")</f>
        <v xml:space="preserve">Post </v>
      </c>
      <c r="D57" s="482" t="str">
        <f>"H"&amp;F58</f>
        <v>H2000</v>
      </c>
      <c r="E57" s="493" t="str">
        <f>VLOOKUP(D58,常规材料表!$1:$1048576,28,0)</f>
        <v>60*50*1.5 mm,</v>
      </c>
      <c r="F57" s="431"/>
      <c r="G57" s="419">
        <f>IFERROR(Y59+D59,"-")</f>
        <v>3.9563999999999999</v>
      </c>
      <c r="H57" s="420">
        <f>IFERROR(SUM(H58:H59),"-")</f>
        <v>23.277855504424782</v>
      </c>
      <c r="I57" s="421" t="s">
        <v>292</v>
      </c>
      <c r="J57" s="422"/>
      <c r="K57" s="423" t="s">
        <v>217</v>
      </c>
      <c r="L57" s="424">
        <f>C60</f>
        <v>75</v>
      </c>
      <c r="O57" s="425" t="s">
        <v>311</v>
      </c>
      <c r="P57" s="425"/>
      <c r="R57" s="387" t="s">
        <v>219</v>
      </c>
      <c r="S57" s="426" t="s">
        <v>220</v>
      </c>
      <c r="T57" s="426">
        <f>(T59*Y59)/Y57</f>
        <v>3.3307964601769915</v>
      </c>
      <c r="U57" s="426">
        <f>(U59*Y59)/Y57</f>
        <v>1.2</v>
      </c>
      <c r="V57" s="426">
        <f>(V59*Y59)/Y57</f>
        <v>1.3527986021081113</v>
      </c>
      <c r="W57" s="426">
        <f>(W59*Y59)/Y57</f>
        <v>0</v>
      </c>
      <c r="X57" s="426">
        <f>SUM(T57:W57)*Y57</f>
        <v>23.277855504424782</v>
      </c>
      <c r="Y57" s="427">
        <f>SUM(Y59:Y59)</f>
        <v>3.9563999999999999</v>
      </c>
      <c r="Z57" s="427"/>
      <c r="AA57" s="428" t="s">
        <v>221</v>
      </c>
      <c r="AB57" s="428" t="s">
        <v>222</v>
      </c>
      <c r="AC57" s="428" t="s">
        <v>223</v>
      </c>
      <c r="AD57" s="428" t="s">
        <v>224</v>
      </c>
      <c r="AE57" s="446" t="s">
        <v>297</v>
      </c>
      <c r="AF57" s="428" t="s">
        <v>225</v>
      </c>
      <c r="AG57" s="429" t="s">
        <v>226</v>
      </c>
      <c r="AH57" s="429" t="s">
        <v>227</v>
      </c>
      <c r="AI57" s="429" t="s">
        <v>228</v>
      </c>
      <c r="AJ57" s="429" t="s">
        <v>229</v>
      </c>
      <c r="AK57" s="429"/>
      <c r="AL57" s="429" t="s">
        <v>231</v>
      </c>
      <c r="AM57" s="429" t="s">
        <v>232</v>
      </c>
      <c r="AN57" s="429" t="s">
        <v>102</v>
      </c>
      <c r="AO57" s="429" t="s">
        <v>74</v>
      </c>
      <c r="AP57" s="429" t="s">
        <v>21</v>
      </c>
      <c r="AQ57" s="110"/>
      <c r="AX57" t="str">
        <f>E57</f>
        <v>60*50*1.5 mm,</v>
      </c>
      <c r="AY57" s="494" t="str">
        <f>D57</f>
        <v>H2000</v>
      </c>
      <c r="AZ57">
        <f>F57</f>
        <v>0</v>
      </c>
      <c r="BA57" s="256">
        <f>G57</f>
        <v>3.9563999999999999</v>
      </c>
      <c r="BB57">
        <f>AZ57*BA57</f>
        <v>0</v>
      </c>
      <c r="BC57" s="495"/>
      <c r="BQ57" t="str">
        <f>D60</f>
        <v>Q235</v>
      </c>
      <c r="BR57" t="str">
        <f>I57</f>
        <v>Blue Ral5015</v>
      </c>
      <c r="BS57">
        <f>T57*Y57</f>
        <v>13.177963115044248</v>
      </c>
      <c r="BT57">
        <f>U57*Y57</f>
        <v>4.7476799999999999</v>
      </c>
      <c r="BU57">
        <f>(V57+W57)*Y57</f>
        <v>5.3522123893805311</v>
      </c>
      <c r="BZ57" t="s">
        <v>311</v>
      </c>
      <c r="CA57" s="112"/>
      <c r="CD57" t="s">
        <v>203</v>
      </c>
      <c r="CG57" s="122" t="s">
        <v>207</v>
      </c>
      <c r="CV57" s="388"/>
    </row>
    <row r="58" spans="1:100" customFormat="1" ht="30" customHeight="1" outlineLevel="1">
      <c r="A58" s="112"/>
      <c r="B58" s="418" t="s">
        <v>312</v>
      </c>
      <c r="C58" s="431" t="s">
        <v>10</v>
      </c>
      <c r="D58" s="496" t="s">
        <v>313</v>
      </c>
      <c r="E58" s="497"/>
      <c r="F58" s="498">
        <v>2000</v>
      </c>
      <c r="G58" s="485" t="s">
        <v>236</v>
      </c>
      <c r="H58" s="420">
        <f>X59</f>
        <v>23.277855504424782</v>
      </c>
      <c r="I58" s="482" t="s">
        <v>299</v>
      </c>
      <c r="J58" s="436">
        <f>IFERROR(IF(D60="Q355",IFERROR(IF(G58="预镀锌",VLOOKUP(D58,常规材料表!$1:$1048576,30,0),VLOOKUP(D58,常规材料表!$1:$1048576,29,0)),0),0),0)</f>
        <v>0</v>
      </c>
      <c r="K58" s="54" t="s">
        <v>237</v>
      </c>
      <c r="L58" s="54"/>
      <c r="O58" s="425" t="s">
        <v>311</v>
      </c>
      <c r="P58" s="425"/>
      <c r="Q58" s="256"/>
      <c r="R58" s="420" t="s">
        <v>238</v>
      </c>
      <c r="S58" s="420" t="s">
        <v>239</v>
      </c>
      <c r="T58" s="420" t="s">
        <v>240</v>
      </c>
      <c r="U58" s="420" t="s">
        <v>241</v>
      </c>
      <c r="V58" s="420" t="s">
        <v>242</v>
      </c>
      <c r="W58" s="420" t="s">
        <v>207</v>
      </c>
      <c r="X58" s="420" t="s">
        <v>243</v>
      </c>
      <c r="Y58" s="429" t="s">
        <v>244</v>
      </c>
      <c r="Z58" s="429" t="s">
        <v>159</v>
      </c>
      <c r="AA58" s="437" t="str">
        <f>D58</f>
        <v>L6050-15</v>
      </c>
      <c r="AB58" s="438">
        <v>1</v>
      </c>
      <c r="AC58" s="438">
        <f>F58</f>
        <v>2000</v>
      </c>
      <c r="AD58" s="438"/>
      <c r="AE58" s="438" t="str">
        <f>I58</f>
        <v>外部冲孔时填写印尼</v>
      </c>
      <c r="AF58" s="439" t="str">
        <f>G58</f>
        <v>喷塑</v>
      </c>
      <c r="AG58" s="440">
        <f>IF(AF58="预镀锌",0,IF(AF58="喷塑",VLOOKUP(AA58,常规材料表!$1:$1048576,12,0),IF(AF58="热镀锌",VLOOKUP(AA58,常规材料表!$1:$1048576,13,0),IF(AF58="冷镀锌",VLOOKUP(AA58,常规材料表!$1:$1048576,15,0),0))))</f>
        <v>9</v>
      </c>
      <c r="AH58" s="440">
        <f>IF(AF58="预镀锌",VLOOKUP(AA58,常规材料表!$1:$1048576,11,0)+VLOOKUP(AA58,常规材料表!$1:$1048576,14,0),VLOOKUP(AA58,常规材料表!$1:$1048576,11,0))+IF(AC58&lt;8000,0,VLOOKUP(AA58,常规材料表!$1:$1048576,16,0))</f>
        <v>0</v>
      </c>
      <c r="AI58" s="440">
        <f>VLOOKUP(AA58,常规材料表!$1:$1048576,7,0)</f>
        <v>168</v>
      </c>
      <c r="AJ58" s="440">
        <f>VLOOKUP(AA58,常规材料表!$1:$1048576,6,0)</f>
        <v>1.5</v>
      </c>
      <c r="AK58" s="429"/>
      <c r="AL58" s="441"/>
      <c r="AM58" s="441"/>
      <c r="AN58" s="441"/>
      <c r="AO58" s="441"/>
      <c r="AP58" s="441"/>
      <c r="AQ58" s="110"/>
      <c r="AX58" t="s">
        <v>156</v>
      </c>
      <c r="AY58" t="s">
        <v>246</v>
      </c>
      <c r="AZ58" t="s">
        <v>102</v>
      </c>
      <c r="BA58" t="s">
        <v>158</v>
      </c>
      <c r="BB58" t="s">
        <v>247</v>
      </c>
      <c r="BC58" t="s">
        <v>248</v>
      </c>
      <c r="BD58" t="s">
        <v>249</v>
      </c>
      <c r="BE58" t="s">
        <v>250</v>
      </c>
      <c r="BF58" t="s">
        <v>251</v>
      </c>
      <c r="BQ58" t="s">
        <v>262</v>
      </c>
      <c r="BR58" t="s">
        <v>155</v>
      </c>
      <c r="BS58" s="898" t="s">
        <v>2337</v>
      </c>
      <c r="BT58" s="898" t="s">
        <v>2338</v>
      </c>
      <c r="BU58" s="898" t="s">
        <v>2339</v>
      </c>
      <c r="BZ58" t="s">
        <v>311</v>
      </c>
      <c r="CA58" s="112"/>
      <c r="CD58" t="s">
        <v>203</v>
      </c>
      <c r="CG58" s="122" t="s">
        <v>207</v>
      </c>
      <c r="CV58" s="388"/>
    </row>
    <row r="59" spans="1:100" customFormat="1" ht="30" customHeight="1" outlineLevel="1">
      <c r="A59" s="112"/>
      <c r="B59" s="418" t="s">
        <v>311</v>
      </c>
      <c r="C59" s="418" t="s">
        <v>281</v>
      </c>
      <c r="D59" s="431">
        <v>0</v>
      </c>
      <c r="E59" s="490"/>
      <c r="F59" s="481">
        <f>IF(D59&gt;0,F57,0)</f>
        <v>0</v>
      </c>
      <c r="G59" s="418"/>
      <c r="H59" s="421">
        <f>D59*J59*F59</f>
        <v>0</v>
      </c>
      <c r="I59" s="386"/>
      <c r="J59" s="464">
        <f>IFERROR((6.5*1.02+2+0.25*2/D59)/1.13+1,0)</f>
        <v>0</v>
      </c>
      <c r="K59" s="54" t="s">
        <v>237</v>
      </c>
      <c r="L59" s="54"/>
      <c r="O59" s="425" t="s">
        <v>311</v>
      </c>
      <c r="P59" s="425"/>
      <c r="Q59" s="445" t="s">
        <v>10</v>
      </c>
      <c r="R59" s="420">
        <f>IF(AD59&gt;0,AD59,IFERROR(IF(AF58="预镀锌",VLOOKUP(AA58,常规材料表!$1:$1048576,5,0),VLOOKUP(AA58,常规材料表!$1:$1048576,10,0)),0))</f>
        <v>3.69</v>
      </c>
      <c r="S59" s="420">
        <v>1.02</v>
      </c>
      <c r="T59" s="420">
        <f>R59*S59/1.13</f>
        <v>3.3307964601769915</v>
      </c>
      <c r="U59" s="420">
        <f>(AH58*2/Y59)+IF(ISNUMBER(SEARCH("L60",AA58)),1.2,0.25)+IF(AC59="印尼",0.2,0)</f>
        <v>1.2</v>
      </c>
      <c r="V59" s="420">
        <f>AI58*AC58*2*AG58/1000000/Y59/1.13</f>
        <v>1.3527986021081113</v>
      </c>
      <c r="W59" s="420"/>
      <c r="X59" s="420">
        <f>(T59+U59+V59)*Y59</f>
        <v>23.277855504424782</v>
      </c>
      <c r="Y59" s="429">
        <f>AI58*AJ58*AC58*7.85/1000000</f>
        <v>3.9563999999999999</v>
      </c>
      <c r="Z59" s="429">
        <f>Y59*AB58</f>
        <v>3.9563999999999999</v>
      </c>
      <c r="AA59" s="440" t="str">
        <f>AA58</f>
        <v>L6050-15</v>
      </c>
      <c r="AB59" s="429">
        <f>AB58</f>
        <v>1</v>
      </c>
      <c r="AC59" s="448" t="s">
        <v>285</v>
      </c>
      <c r="AD59" s="471">
        <f>J58</f>
        <v>0</v>
      </c>
      <c r="AE59" s="428"/>
      <c r="AF59" s="429"/>
      <c r="AG59" s="429"/>
      <c r="AH59" s="429"/>
      <c r="AI59" s="429"/>
      <c r="AJ59" s="429"/>
      <c r="AK59" s="429"/>
      <c r="AL59" s="441"/>
      <c r="AM59" s="441"/>
      <c r="AN59" s="441"/>
      <c r="AO59" s="441"/>
      <c r="AP59" s="441"/>
      <c r="AQ59" s="110"/>
      <c r="BZ59" t="s">
        <v>311</v>
      </c>
      <c r="CA59" s="112"/>
      <c r="CD59" t="s">
        <v>203</v>
      </c>
      <c r="CG59" s="122" t="s">
        <v>207</v>
      </c>
      <c r="CV59" s="388"/>
    </row>
    <row r="60" spans="1:100" customFormat="1" ht="30" customHeight="1" outlineLevel="1">
      <c r="A60" s="112"/>
      <c r="B60" s="418"/>
      <c r="C60" s="453">
        <f>报价辅助计算!$E$1</f>
        <v>75</v>
      </c>
      <c r="D60" s="431" t="s">
        <v>8</v>
      </c>
      <c r="E60" s="454">
        <f>F58/C60</f>
        <v>26.666666666666668</v>
      </c>
      <c r="F60" s="461">
        <f>ROUNDUP(E60,0)*C60</f>
        <v>2025</v>
      </c>
      <c r="G60" s="418"/>
      <c r="H60" s="421"/>
      <c r="I60" s="386"/>
      <c r="J60" s="464"/>
      <c r="K60" s="54"/>
      <c r="L60" s="54"/>
      <c r="O60" s="425" t="s">
        <v>311</v>
      </c>
      <c r="P60" s="425"/>
      <c r="Q60" s="499"/>
      <c r="R60" s="500"/>
      <c r="S60" s="500"/>
      <c r="T60" s="500"/>
      <c r="U60" s="500"/>
      <c r="V60" s="500"/>
      <c r="W60" s="500"/>
      <c r="X60" s="500"/>
      <c r="Y60" s="501"/>
      <c r="Z60" s="501"/>
      <c r="AA60" s="502"/>
      <c r="AB60" s="501"/>
      <c r="AC60" s="256"/>
      <c r="AD60" s="256"/>
      <c r="AE60" s="503"/>
      <c r="AF60" s="501"/>
      <c r="AG60" s="501"/>
      <c r="AH60" s="501"/>
      <c r="AI60" s="501"/>
      <c r="AJ60" s="501"/>
      <c r="AK60" s="501"/>
      <c r="AL60" s="504"/>
      <c r="AM60" s="504"/>
      <c r="AN60" s="504"/>
      <c r="AO60" s="504"/>
      <c r="AP60" s="504"/>
      <c r="AQ60" s="110"/>
      <c r="CA60" s="112"/>
      <c r="CG60" s="122"/>
      <c r="CV60" s="388"/>
    </row>
    <row r="61" spans="1:100" customFormat="1" ht="30" customHeight="1" outlineLevel="1">
      <c r="A61" s="112"/>
      <c r="B61" s="414">
        <v>0</v>
      </c>
      <c r="C61" s="465">
        <f>报价辅助计算!$E$13</f>
        <v>0</v>
      </c>
      <c r="D61" s="447"/>
      <c r="E61" s="488"/>
      <c r="F61" s="431"/>
      <c r="G61" s="418"/>
      <c r="H61" s="421"/>
      <c r="I61" s="421"/>
      <c r="J61" s="422"/>
      <c r="K61" s="54" t="s">
        <v>237</v>
      </c>
      <c r="L61" s="54"/>
      <c r="O61" s="425" t="s">
        <v>311</v>
      </c>
      <c r="P61" s="425"/>
      <c r="R61" s="387"/>
      <c r="S61" s="387"/>
      <c r="T61" s="387"/>
      <c r="U61" s="387"/>
      <c r="V61" s="387"/>
      <c r="W61" s="387"/>
      <c r="X61" s="387"/>
      <c r="AQ61" s="110"/>
      <c r="BZ61" t="s">
        <v>311</v>
      </c>
      <c r="CA61" s="112"/>
      <c r="CD61" t="s">
        <v>203</v>
      </c>
      <c r="CG61" s="122" t="s">
        <v>207</v>
      </c>
      <c r="CV61" s="388"/>
    </row>
    <row r="62" spans="1:100" s="376" customFormat="1" ht="30" customHeight="1">
      <c r="A62" s="472"/>
      <c r="B62" s="473"/>
      <c r="C62" s="473"/>
      <c r="D62" s="473"/>
      <c r="E62" s="474"/>
      <c r="F62" s="473"/>
      <c r="G62" s="473"/>
      <c r="H62" s="421"/>
      <c r="I62" s="421"/>
      <c r="J62" s="422"/>
      <c r="K62" s="475"/>
      <c r="L62" s="475"/>
      <c r="R62" s="387"/>
      <c r="S62" s="387"/>
      <c r="T62" s="387"/>
      <c r="U62" s="387"/>
      <c r="V62" s="387"/>
      <c r="W62" s="387"/>
      <c r="X62" s="387"/>
      <c r="AQ62" s="476"/>
      <c r="BZ62" t="s">
        <v>311</v>
      </c>
      <c r="CA62" s="112"/>
      <c r="CB62"/>
      <c r="CC62"/>
      <c r="CD62" t="s">
        <v>203</v>
      </c>
      <c r="CE62"/>
      <c r="CF62"/>
      <c r="CG62" s="122" t="s">
        <v>207</v>
      </c>
    </row>
    <row r="63" spans="1:100" customFormat="1" ht="30" customHeight="1">
      <c r="A63" s="112" t="str">
        <f>IF($C$13=1,IF(K63="报价行",IF(F63&gt;0,1," ")," ")," ")</f>
        <v xml:space="preserve"> </v>
      </c>
      <c r="B63" s="414" t="str">
        <f>IF(A63=1,SUM($A$11:A63),"一字隔撑")</f>
        <v>一字隔撑</v>
      </c>
      <c r="C63" s="415" t="str">
        <f>B64&amp;IF(C66=1,CHAR(10)&amp;B65," ")</f>
        <v xml:space="preserve">Row spacer </v>
      </c>
      <c r="D63" s="482" t="str">
        <f>"L"&amp;E64</f>
        <v>L200</v>
      </c>
      <c r="E63" s="488" t="str">
        <f>VLOOKUP(D64,常规材料表!$1:$1048576,28,0)&amp;IF(D65=1,"for single post","")</f>
        <v>L40*40*3 mm,</v>
      </c>
      <c r="F63" s="431">
        <v>1</v>
      </c>
      <c r="G63" s="419">
        <f>IFERROR(Y63,"-")</f>
        <v>0.50114400000000003</v>
      </c>
      <c r="H63" s="420">
        <f>IFERROR(X63,"-")</f>
        <v>4.3056880913274345</v>
      </c>
      <c r="I63" s="421" t="s">
        <v>292</v>
      </c>
      <c r="J63" s="422"/>
      <c r="K63" s="423" t="s">
        <v>217</v>
      </c>
      <c r="L63" s="54"/>
      <c r="O63" s="250" t="s">
        <v>314</v>
      </c>
      <c r="P63" s="250"/>
      <c r="R63" s="387" t="s">
        <v>219</v>
      </c>
      <c r="S63" s="426" t="s">
        <v>21</v>
      </c>
      <c r="T63" s="426">
        <f>(T65*Y65+T66*Y66)/Y63</f>
        <v>3.3785840707964603</v>
      </c>
      <c r="U63" s="426">
        <f>(U65*Y65+U66*Y66)/Y63</f>
        <v>1.5470323898919272</v>
      </c>
      <c r="V63" s="426">
        <f>(V65*Y65+V66*Y66)/Y63</f>
        <v>0.84070796460177</v>
      </c>
      <c r="W63" s="426">
        <f>SUM(AP64:AP65)/Y63/1.13</f>
        <v>2.8253939058231228</v>
      </c>
      <c r="X63" s="426">
        <f>SUM(T63:W63)*Y63</f>
        <v>4.3056880913274345</v>
      </c>
      <c r="Y63" s="505">
        <f>SUM(Y65:Y66)</f>
        <v>0.50114400000000003</v>
      </c>
      <c r="Z63" s="505"/>
      <c r="AA63" s="506" t="s">
        <v>315</v>
      </c>
      <c r="AB63" s="507" t="s">
        <v>316</v>
      </c>
      <c r="AC63" s="507" t="s">
        <v>317</v>
      </c>
      <c r="AD63" s="508"/>
      <c r="AE63" s="418" t="s">
        <v>318</v>
      </c>
      <c r="AF63" s="509" t="s">
        <v>226</v>
      </c>
      <c r="AG63" s="509" t="s">
        <v>319</v>
      </c>
      <c r="AH63" s="509" t="s">
        <v>287</v>
      </c>
      <c r="AI63" s="507" t="s">
        <v>320</v>
      </c>
      <c r="AJ63" s="507" t="s">
        <v>321</v>
      </c>
      <c r="AK63" s="508" t="s">
        <v>322</v>
      </c>
      <c r="AL63" s="509" t="s">
        <v>231</v>
      </c>
      <c r="AM63" s="509" t="s">
        <v>232</v>
      </c>
      <c r="AN63" s="509" t="s">
        <v>102</v>
      </c>
      <c r="AO63" s="509" t="s">
        <v>74</v>
      </c>
      <c r="AP63" s="509" t="s">
        <v>21</v>
      </c>
      <c r="AQ63" s="110"/>
      <c r="AX63" t="str">
        <f>E63</f>
        <v>L40*40*3 mm,</v>
      </c>
      <c r="AY63" s="494" t="str">
        <f>D63</f>
        <v>L200</v>
      </c>
      <c r="AZ63">
        <f>F63</f>
        <v>1</v>
      </c>
      <c r="BA63" s="256">
        <f>G63</f>
        <v>0.50114400000000003</v>
      </c>
      <c r="BB63">
        <f>AZ63*BA63</f>
        <v>0.50114400000000003</v>
      </c>
      <c r="BC63" s="495"/>
      <c r="BR63" t="str">
        <f>I63</f>
        <v>Blue Ral5015</v>
      </c>
      <c r="BS63">
        <f>T63*Y63</f>
        <v>1.6931571355752213</v>
      </c>
      <c r="BT63">
        <f>U63*Y63</f>
        <v>0.77528600000000003</v>
      </c>
      <c r="BU63">
        <f>(V63+W63)*Y63</f>
        <v>1.8372449557522126</v>
      </c>
      <c r="BZ63" t="s">
        <v>314</v>
      </c>
      <c r="CA63" s="112" t="s">
        <v>200</v>
      </c>
      <c r="CB63" t="s">
        <v>201</v>
      </c>
      <c r="CC63" t="s">
        <v>202</v>
      </c>
      <c r="CD63" t="s">
        <v>203</v>
      </c>
      <c r="CG63" s="122"/>
      <c r="CV63" s="388"/>
    </row>
    <row r="64" spans="1:100" customFormat="1" ht="30" customHeight="1" outlineLevel="1">
      <c r="A64" s="112"/>
      <c r="B64" s="415" t="s">
        <v>323</v>
      </c>
      <c r="C64" s="431" t="s">
        <v>324</v>
      </c>
      <c r="D64" s="510" t="s">
        <v>325</v>
      </c>
      <c r="E64" s="511">
        <v>200</v>
      </c>
      <c r="F64" s="488"/>
      <c r="G64" s="512" t="s">
        <v>236</v>
      </c>
      <c r="H64" s="421"/>
      <c r="I64" s="421"/>
      <c r="J64" s="422"/>
      <c r="K64" s="54" t="s">
        <v>237</v>
      </c>
      <c r="L64" s="54"/>
      <c r="O64" s="250" t="s">
        <v>314</v>
      </c>
      <c r="P64" s="250"/>
      <c r="R64" s="421" t="s">
        <v>238</v>
      </c>
      <c r="S64" s="420" t="s">
        <v>239</v>
      </c>
      <c r="T64" s="421" t="s">
        <v>240</v>
      </c>
      <c r="U64" s="421" t="s">
        <v>241</v>
      </c>
      <c r="V64" s="421" t="s">
        <v>242</v>
      </c>
      <c r="W64" s="420" t="s">
        <v>207</v>
      </c>
      <c r="X64" s="421" t="s">
        <v>243</v>
      </c>
      <c r="Y64" s="414" t="s">
        <v>244</v>
      </c>
      <c r="Z64" s="414" t="s">
        <v>159</v>
      </c>
      <c r="AA64" s="513" t="str">
        <f>D64</f>
        <v>Row.Spacer.L4040.30</v>
      </c>
      <c r="AB64" s="460">
        <v>1</v>
      </c>
      <c r="AC64" s="460">
        <f>E64</f>
        <v>200</v>
      </c>
      <c r="AD64" s="508"/>
      <c r="AE64" s="514" t="str">
        <f>G64</f>
        <v>喷塑</v>
      </c>
      <c r="AF64" s="515">
        <f>IF(AE64="预镀锌",0,IF(AE64="喷塑",VLOOKUP(AA64,常规材料表!$1:$1048576,12,0),IF(AE64="热镀锌",VLOOKUP(AA64,常规材料表!$1:$1048576,13,0),IF(AE64="冷镀锌",VLOOKUP(AA64,常规材料表!$1:$1048576,15,0),0))))</f>
        <v>0.95</v>
      </c>
      <c r="AG64" s="515">
        <f>VLOOKUP(AA64,常规材料表!$1:$1048576,10,0)</f>
        <v>3.78</v>
      </c>
      <c r="AH64" s="515">
        <f>VLOOKUP(AA64,常规材料表!$1:$1048576,11,0)+IF(AC64&gt;1200,VLOOKUP(AA64,常规材料表!$1:$1048576,16,0),0)</f>
        <v>0.65</v>
      </c>
      <c r="AI64" s="515">
        <f>(VLOOKUP(AA64,常规材料表!$1:$1048576,8,0)+VLOOKUP(AA64,常规材料表!$1:$1048576,9,0))*2/IF(ISNUMBER(SEARCH("L4040.30",AA64)),2,1)</f>
        <v>80</v>
      </c>
      <c r="AJ64" s="515">
        <f>VLOOKUP(AA64,常规材料表!$1:$1048576,6,0)</f>
        <v>3</v>
      </c>
      <c r="AK64" s="508">
        <f>VLOOKUP(AA64,常规材料表!$1:$1048576,7,0)</f>
        <v>80</v>
      </c>
      <c r="AL64" s="508" t="s">
        <v>326</v>
      </c>
      <c r="AM64" s="508" t="s">
        <v>327</v>
      </c>
      <c r="AN64" s="508">
        <v>4</v>
      </c>
      <c r="AO64" s="508">
        <v>0.5</v>
      </c>
      <c r="AP64" s="508">
        <f>AN64*AO64*IF(ISNUMBER(SEARCH("L4040.30",AA64)),0,1)</f>
        <v>0</v>
      </c>
      <c r="AQ64" s="110"/>
      <c r="AW64">
        <f>IFERROR(Y65*F63,"-")</f>
        <v>0.50114400000000003</v>
      </c>
      <c r="AX64" t="s">
        <v>156</v>
      </c>
      <c r="AY64" t="s">
        <v>246</v>
      </c>
      <c r="AZ64" t="s">
        <v>102</v>
      </c>
      <c r="BA64" t="s">
        <v>158</v>
      </c>
      <c r="BB64" t="s">
        <v>247</v>
      </c>
      <c r="BC64" t="s">
        <v>248</v>
      </c>
      <c r="BD64" t="s">
        <v>249</v>
      </c>
      <c r="BE64" t="s">
        <v>250</v>
      </c>
      <c r="BF64" t="s">
        <v>251</v>
      </c>
      <c r="BS64" s="898" t="s">
        <v>2337</v>
      </c>
      <c r="BT64" s="898" t="s">
        <v>2338</v>
      </c>
      <c r="BU64" s="898" t="s">
        <v>2339</v>
      </c>
      <c r="BZ64" t="s">
        <v>314</v>
      </c>
      <c r="CA64" s="112" t="s">
        <v>200</v>
      </c>
      <c r="CB64" t="s">
        <v>201</v>
      </c>
      <c r="CC64" t="s">
        <v>202</v>
      </c>
      <c r="CD64" t="s">
        <v>203</v>
      </c>
      <c r="CG64" s="122"/>
      <c r="CV64" s="388"/>
    </row>
    <row r="65" spans="1:100" customFormat="1" ht="30" customHeight="1" outlineLevel="1">
      <c r="A65" s="112"/>
      <c r="B65" s="418" t="s">
        <v>328</v>
      </c>
      <c r="C65" s="431" t="s">
        <v>329</v>
      </c>
      <c r="D65" s="516">
        <v>2</v>
      </c>
      <c r="E65" s="517">
        <f>D66/1000*E66*3*7.85*D65</f>
        <v>0.50867999999999991</v>
      </c>
      <c r="F65" s="380"/>
      <c r="G65" s="512" t="str">
        <f>G64</f>
        <v>喷塑</v>
      </c>
      <c r="H65" s="421"/>
      <c r="I65" s="421"/>
      <c r="J65" s="518">
        <v>0</v>
      </c>
      <c r="K65" s="54" t="s">
        <v>237</v>
      </c>
      <c r="L65" s="54"/>
      <c r="O65" s="250" t="s">
        <v>314</v>
      </c>
      <c r="P65" s="250"/>
      <c r="Q65" s="388" t="s">
        <v>330</v>
      </c>
      <c r="R65" s="420">
        <f>IFERROR(IF(AE64="预镀锌",VLOOKUP(AA64,常规材料表!$1:$1048576,5,0),AG64),0)</f>
        <v>3.78</v>
      </c>
      <c r="S65" s="420">
        <v>1.01</v>
      </c>
      <c r="T65" s="519">
        <f t="shared" ref="T65:T71" si="0">R65*S65/1.13</f>
        <v>3.3785840707964603</v>
      </c>
      <c r="U65" s="520">
        <f>IFERROR(AH64/Y65+0.25,0)</f>
        <v>1.5470323898919272</v>
      </c>
      <c r="V65" s="520">
        <f>IF(AE64="喷塑",IF(AA64="Row.Spacer.L4040.30",AF64/1.13,AI64*AC64*AF64/1000000/1.13/Y65),AF64/1.13)</f>
        <v>0.84070796460177</v>
      </c>
      <c r="W65" s="520">
        <f>SUM(AP64:AP65)/Y65/1.13*IF(ISNUMBER(SEARCH("L4040.30",AA64)),1,0)</f>
        <v>2.8253939058231228</v>
      </c>
      <c r="X65" s="519">
        <f>(T65+U65+V65+W65)*Y65</f>
        <v>4.3056880913274345</v>
      </c>
      <c r="Y65" s="521">
        <f>AK64*AJ64*(AC64+IF(ISNUMBER(SEARCH("L4040.30",AA64)),66,0))*AD66/1000000</f>
        <v>0.50114400000000003</v>
      </c>
      <c r="Z65" s="508">
        <f>Y65*AB64</f>
        <v>0.50114400000000003</v>
      </c>
      <c r="AA65" s="506" t="s">
        <v>331</v>
      </c>
      <c r="AB65" s="507" t="s">
        <v>332</v>
      </c>
      <c r="AC65" s="507" t="s">
        <v>333</v>
      </c>
      <c r="AD65" s="509" t="s">
        <v>277</v>
      </c>
      <c r="AE65" s="418" t="s">
        <v>334</v>
      </c>
      <c r="AF65" s="509" t="s">
        <v>226</v>
      </c>
      <c r="AG65" s="508" t="s">
        <v>335</v>
      </c>
      <c r="AH65" s="508" t="s">
        <v>336</v>
      </c>
      <c r="AI65" s="507" t="s">
        <v>337</v>
      </c>
      <c r="AL65" s="508" t="s">
        <v>338</v>
      </c>
      <c r="AM65" s="508" t="str">
        <f>VLOOKUP(AA64,常规材料表!$1:$1048576,17,0)</f>
        <v>M10*110</v>
      </c>
      <c r="AN65" s="508">
        <f>VLOOKUP(AA64,常规材料表!$1:$1048576,18,0)</f>
        <v>2</v>
      </c>
      <c r="AO65" s="508">
        <f>IFERROR(VLOOKUP(AM65,标准件价格!$C:$D,2,0),0)</f>
        <v>0.8</v>
      </c>
      <c r="AP65" s="508">
        <f>AN65*AO65</f>
        <v>1.6</v>
      </c>
      <c r="AQ65" s="110"/>
      <c r="BZ65" t="s">
        <v>314</v>
      </c>
      <c r="CA65" s="112" t="s">
        <v>200</v>
      </c>
      <c r="CB65" t="s">
        <v>201</v>
      </c>
      <c r="CC65" t="s">
        <v>202</v>
      </c>
      <c r="CD65" t="s">
        <v>203</v>
      </c>
      <c r="CG65" s="122"/>
      <c r="CV65" s="388"/>
    </row>
    <row r="66" spans="1:100" customFormat="1" ht="30" customHeight="1" outlineLevel="1">
      <c r="A66" s="112"/>
      <c r="B66" s="414">
        <v>0</v>
      </c>
      <c r="C66" s="465">
        <f>报价辅助计算!$E$13</f>
        <v>0</v>
      </c>
      <c r="D66" s="522">
        <v>90</v>
      </c>
      <c r="E66" s="523">
        <f>IF(F66=50,150,120)/1000</f>
        <v>0.12</v>
      </c>
      <c r="F66" s="453">
        <f>报价辅助计算!$E$1</f>
        <v>75</v>
      </c>
      <c r="G66" s="418"/>
      <c r="H66" s="421"/>
      <c r="I66" s="421"/>
      <c r="J66" s="422"/>
      <c r="K66" s="54" t="s">
        <v>237</v>
      </c>
      <c r="L66" s="54"/>
      <c r="O66" s="250" t="s">
        <v>314</v>
      </c>
      <c r="P66" s="250"/>
      <c r="Q66" t="s">
        <v>339</v>
      </c>
      <c r="R66" s="524">
        <v>6.5</v>
      </c>
      <c r="S66" s="420">
        <v>1.01</v>
      </c>
      <c r="T66" s="519">
        <f t="shared" si="0"/>
        <v>5.8097345132743374</v>
      </c>
      <c r="U66" s="421">
        <f>IFERROR((AI66/Y66+0.25)*IF(ISNUMBER(SEARCH("L4040.30",AA64)),0,1),0)</f>
        <v>0</v>
      </c>
      <c r="V66" s="520">
        <f>AF66*AH66/IF(Y66=0,1,Y66)/1.13*IF(ISNUMBER(SEARCH("L4040.30",AA64)),0,1)</f>
        <v>0</v>
      </c>
      <c r="W66" s="520">
        <f>IFERROR(AP64/Y66/1.13*IF(ISNUMBER(SEARCH("L4040.30",AA64)),0,1),0)</f>
        <v>0</v>
      </c>
      <c r="X66" s="519">
        <f>IFERROR((T66+U66+V66+W66)*Y66,0)</f>
        <v>0</v>
      </c>
      <c r="Y66" s="521">
        <f>IF(AB66&gt;0,AB66,VLOOKUP(AA66,常规材料表!$1:$1048576,3,0))*IF(ISNUMBER(SEARCH("L4040.30",AA64)),0,1)</f>
        <v>0</v>
      </c>
      <c r="Z66" s="508">
        <f>Y66*AB64</f>
        <v>0</v>
      </c>
      <c r="AA66" s="513">
        <f>D65</f>
        <v>2</v>
      </c>
      <c r="AB66" s="525">
        <f>E65</f>
        <v>0.50867999999999991</v>
      </c>
      <c r="AC66" s="525">
        <f>J65</f>
        <v>0</v>
      </c>
      <c r="AD66" s="458">
        <v>7.85</v>
      </c>
      <c r="AE66" s="514" t="str">
        <f>G65</f>
        <v>喷塑</v>
      </c>
      <c r="AF66" s="515">
        <v>9.6999999999999993</v>
      </c>
      <c r="AG66" s="515">
        <v>0.9</v>
      </c>
      <c r="AH66" s="508">
        <f>D66/1000*0.15*2*D65</f>
        <v>5.3999999999999999E-2</v>
      </c>
      <c r="AI66" s="515">
        <v>0</v>
      </c>
      <c r="AQ66" s="110"/>
      <c r="BZ66" t="s">
        <v>314</v>
      </c>
      <c r="CA66" s="112" t="s">
        <v>200</v>
      </c>
      <c r="CB66" t="s">
        <v>201</v>
      </c>
      <c r="CC66" t="s">
        <v>202</v>
      </c>
      <c r="CD66" t="s">
        <v>203</v>
      </c>
      <c r="CG66" s="122"/>
      <c r="CV66" s="388"/>
    </row>
    <row r="67" spans="1:100" s="376" customFormat="1" ht="30" customHeight="1">
      <c r="A67" s="472"/>
      <c r="B67" s="473"/>
      <c r="C67" s="473"/>
      <c r="D67" s="473"/>
      <c r="E67" s="474"/>
      <c r="F67" s="473"/>
      <c r="G67" s="473"/>
      <c r="H67" s="421"/>
      <c r="I67" s="421"/>
      <c r="J67" s="422"/>
      <c r="K67" s="475"/>
      <c r="L67" s="475"/>
      <c r="R67" s="387"/>
      <c r="S67" s="387"/>
      <c r="T67" s="387"/>
      <c r="U67" s="387"/>
      <c r="V67" s="387"/>
      <c r="W67" s="387"/>
      <c r="X67" s="387"/>
      <c r="AQ67" s="476"/>
      <c r="BZ67" t="s">
        <v>314</v>
      </c>
      <c r="CA67" s="112" t="s">
        <v>200</v>
      </c>
      <c r="CB67" t="s">
        <v>201</v>
      </c>
      <c r="CC67" t="s">
        <v>202</v>
      </c>
      <c r="CD67" t="s">
        <v>203</v>
      </c>
      <c r="CE67"/>
      <c r="CF67"/>
      <c r="CG67" s="122"/>
    </row>
    <row r="68" spans="1:100" customFormat="1" ht="30" customHeight="1">
      <c r="A68" s="112" t="str">
        <f>IF($C$13=1,IF(K68="报价行",IF(F68&gt;0,1," ")," ")," ")</f>
        <v xml:space="preserve"> </v>
      </c>
      <c r="B68" s="414" t="str">
        <f>IF(A68=1,SUM($A$11:A68),"中型一字隔撑")</f>
        <v>中型一字隔撑</v>
      </c>
      <c r="C68" s="415" t="str">
        <f>B69&amp;IF(C71=1,CHAR(10)&amp;B70," ")</f>
        <v xml:space="preserve">Row spacer </v>
      </c>
      <c r="D68" s="482" t="str">
        <f>"L"&amp;E69</f>
        <v>L200</v>
      </c>
      <c r="E68" s="488" t="str">
        <f>VLOOKUP(D69,常规材料表!$1:$1048576,28,0)&amp;IF(D70=1,"for single post","")</f>
        <v>L40*40*3 mm,</v>
      </c>
      <c r="F68" s="431">
        <v>1</v>
      </c>
      <c r="G68" s="419">
        <f>IFERROR(Y68,"-")</f>
        <v>0.50114400000000003</v>
      </c>
      <c r="H68" s="420">
        <f>IFERROR(X68,"-")</f>
        <v>4.3056880913274345</v>
      </c>
      <c r="I68" s="421" t="s">
        <v>292</v>
      </c>
      <c r="J68" s="422"/>
      <c r="K68" s="423" t="s">
        <v>217</v>
      </c>
      <c r="L68" s="54"/>
      <c r="O68" s="250" t="s">
        <v>340</v>
      </c>
      <c r="P68" s="250"/>
      <c r="R68" s="387" t="s">
        <v>219</v>
      </c>
      <c r="S68" s="426" t="s">
        <v>21</v>
      </c>
      <c r="T68" s="426">
        <f>(T70*Y70+T71*Y71)/Y68</f>
        <v>3.3785840707964603</v>
      </c>
      <c r="U68" s="426">
        <f>(U70*Y70+U71*Y71)/Y68</f>
        <v>1.5470323898919272</v>
      </c>
      <c r="V68" s="426">
        <f>(V70*Y70+V71*Y71)/Y68</f>
        <v>0.84070796460177</v>
      </c>
      <c r="W68" s="426">
        <f>SUM(AP69:AP70)/Y68/1.13</f>
        <v>2.8253939058231228</v>
      </c>
      <c r="X68" s="426">
        <f>SUM(T68:W68)*Y68</f>
        <v>4.3056880913274345</v>
      </c>
      <c r="Y68" s="505">
        <f>SUM(Y70:Y71)</f>
        <v>0.50114400000000003</v>
      </c>
      <c r="Z68" s="505"/>
      <c r="AA68" s="506" t="s">
        <v>315</v>
      </c>
      <c r="AB68" s="507" t="s">
        <v>316</v>
      </c>
      <c r="AC68" s="507" t="s">
        <v>317</v>
      </c>
      <c r="AD68" s="508"/>
      <c r="AE68" s="418" t="s">
        <v>318</v>
      </c>
      <c r="AF68" s="509" t="s">
        <v>226</v>
      </c>
      <c r="AG68" s="509" t="s">
        <v>319</v>
      </c>
      <c r="AH68" s="509" t="s">
        <v>287</v>
      </c>
      <c r="AI68" s="507" t="s">
        <v>320</v>
      </c>
      <c r="AJ68" s="507" t="s">
        <v>321</v>
      </c>
      <c r="AK68" s="508" t="s">
        <v>322</v>
      </c>
      <c r="AL68" s="509" t="s">
        <v>231</v>
      </c>
      <c r="AM68" s="509" t="s">
        <v>232</v>
      </c>
      <c r="AN68" s="509" t="s">
        <v>102</v>
      </c>
      <c r="AO68" s="509" t="s">
        <v>74</v>
      </c>
      <c r="AP68" s="509" t="s">
        <v>21</v>
      </c>
      <c r="AQ68" s="110"/>
      <c r="AX68" t="str">
        <f>E68</f>
        <v>L40*40*3 mm,</v>
      </c>
      <c r="AY68" s="494" t="str">
        <f>D68</f>
        <v>L200</v>
      </c>
      <c r="AZ68">
        <f>F68</f>
        <v>1</v>
      </c>
      <c r="BA68" s="256">
        <f>G68</f>
        <v>0.50114400000000003</v>
      </c>
      <c r="BB68">
        <f>AZ68*BA68</f>
        <v>0.50114400000000003</v>
      </c>
      <c r="BC68" s="495"/>
      <c r="BR68" t="str">
        <f>I68</f>
        <v>Blue Ral5015</v>
      </c>
      <c r="BS68">
        <f>T68*Y68</f>
        <v>1.6931571355752213</v>
      </c>
      <c r="BT68">
        <f>U68*Y68</f>
        <v>0.77528600000000003</v>
      </c>
      <c r="BU68">
        <f>(V68+W68)*Y68</f>
        <v>1.8372449557522126</v>
      </c>
      <c r="BZ68" t="s">
        <v>314</v>
      </c>
      <c r="CA68" s="112" t="s">
        <v>200</v>
      </c>
      <c r="CB68" t="s">
        <v>201</v>
      </c>
      <c r="CC68" t="s">
        <v>202</v>
      </c>
      <c r="CD68" t="s">
        <v>203</v>
      </c>
      <c r="CG68" s="122"/>
      <c r="CV68" s="388"/>
    </row>
    <row r="69" spans="1:100" customFormat="1" ht="30" customHeight="1" outlineLevel="1">
      <c r="A69" s="112"/>
      <c r="B69" s="415" t="s">
        <v>323</v>
      </c>
      <c r="C69" s="431" t="s">
        <v>324</v>
      </c>
      <c r="D69" s="510" t="s">
        <v>325</v>
      </c>
      <c r="E69" s="511">
        <v>200</v>
      </c>
      <c r="F69" s="488"/>
      <c r="G69" s="512" t="s">
        <v>236</v>
      </c>
      <c r="H69" s="421"/>
      <c r="I69" s="421"/>
      <c r="J69" s="422"/>
      <c r="K69" s="54" t="s">
        <v>237</v>
      </c>
      <c r="L69" s="54"/>
      <c r="O69" s="250" t="s">
        <v>340</v>
      </c>
      <c r="P69" s="250"/>
      <c r="R69" s="421" t="s">
        <v>238</v>
      </c>
      <c r="S69" s="420" t="s">
        <v>239</v>
      </c>
      <c r="T69" s="421" t="s">
        <v>240</v>
      </c>
      <c r="U69" s="421" t="s">
        <v>241</v>
      </c>
      <c r="V69" s="421" t="s">
        <v>242</v>
      </c>
      <c r="W69" s="420" t="s">
        <v>207</v>
      </c>
      <c r="X69" s="421" t="s">
        <v>243</v>
      </c>
      <c r="Y69" s="414" t="s">
        <v>244</v>
      </c>
      <c r="Z69" s="414" t="s">
        <v>159</v>
      </c>
      <c r="AA69" s="513" t="str">
        <f>D69</f>
        <v>Row.Spacer.L4040.30</v>
      </c>
      <c r="AB69" s="460">
        <v>1</v>
      </c>
      <c r="AC69" s="460">
        <f>E69</f>
        <v>200</v>
      </c>
      <c r="AD69" s="508"/>
      <c r="AE69" s="514" t="str">
        <f>G69</f>
        <v>喷塑</v>
      </c>
      <c r="AF69" s="515">
        <f>IF(AE69="预镀锌",0,IF(AE69="喷塑",VLOOKUP(AA69,常规材料表!$1:$1048576,12,0),IF(AE69="热镀锌",VLOOKUP(AA69,常规材料表!$1:$1048576,13,0),IF(AE69="冷镀锌",VLOOKUP(AA69,常规材料表!$1:$1048576,15,0),0))))</f>
        <v>0.95</v>
      </c>
      <c r="AG69" s="515">
        <f>VLOOKUP(AA69,常规材料表!$1:$1048576,10,0)</f>
        <v>3.78</v>
      </c>
      <c r="AH69" s="515">
        <f>VLOOKUP(AA69,常规材料表!$1:$1048576,11,0)+IF(AC69&gt;1200,VLOOKUP(AA69,常规材料表!$1:$1048576,16,0),0)</f>
        <v>0.65</v>
      </c>
      <c r="AI69" s="515">
        <f>(VLOOKUP(AA69,常规材料表!$1:$1048576,8,0)+VLOOKUP(AA69,常规材料表!$1:$1048576,9,0))*2/IF(ISNUMBER(SEARCH("L4040.30",AA69)),2,1)</f>
        <v>80</v>
      </c>
      <c r="AJ69" s="515">
        <f>VLOOKUP(AA69,常规材料表!$1:$1048576,6,0)</f>
        <v>3</v>
      </c>
      <c r="AK69" s="508">
        <f>VLOOKUP(AA69,常规材料表!$1:$1048576,7,0)</f>
        <v>80</v>
      </c>
      <c r="AL69" s="508" t="s">
        <v>326</v>
      </c>
      <c r="AM69" s="508" t="s">
        <v>327</v>
      </c>
      <c r="AN69" s="508">
        <v>4</v>
      </c>
      <c r="AO69" s="508">
        <v>0.5</v>
      </c>
      <c r="AP69" s="508">
        <f>AN69*AO69*IF(ISNUMBER(SEARCH("L4040.30",AA69)),0,1)</f>
        <v>0</v>
      </c>
      <c r="AQ69" s="110"/>
      <c r="AW69">
        <f>IFERROR(Y70*F68,"-")</f>
        <v>0.50114400000000003</v>
      </c>
      <c r="AX69" t="s">
        <v>156</v>
      </c>
      <c r="AY69" t="s">
        <v>246</v>
      </c>
      <c r="AZ69" t="s">
        <v>102</v>
      </c>
      <c r="BA69" t="s">
        <v>158</v>
      </c>
      <c r="BB69" t="s">
        <v>247</v>
      </c>
      <c r="BC69" t="s">
        <v>248</v>
      </c>
      <c r="BD69" t="s">
        <v>249</v>
      </c>
      <c r="BE69" t="s">
        <v>250</v>
      </c>
      <c r="BF69" t="s">
        <v>251</v>
      </c>
      <c r="BS69" s="898" t="s">
        <v>2337</v>
      </c>
      <c r="BT69" s="898" t="s">
        <v>2338</v>
      </c>
      <c r="BU69" s="898" t="s">
        <v>2339</v>
      </c>
      <c r="BZ69" t="s">
        <v>314</v>
      </c>
      <c r="CA69" s="112" t="s">
        <v>200</v>
      </c>
      <c r="CB69" t="s">
        <v>201</v>
      </c>
      <c r="CC69" t="s">
        <v>202</v>
      </c>
      <c r="CD69" t="s">
        <v>203</v>
      </c>
      <c r="CG69" s="122"/>
      <c r="CV69" s="388"/>
    </row>
    <row r="70" spans="1:100" customFormat="1" ht="30" customHeight="1" outlineLevel="1">
      <c r="A70" s="112"/>
      <c r="B70" s="418" t="s">
        <v>328</v>
      </c>
      <c r="C70" s="431" t="s">
        <v>329</v>
      </c>
      <c r="D70" s="516">
        <v>2</v>
      </c>
      <c r="E70" s="517">
        <f>D71/1000*E71*3*7.85*D70</f>
        <v>0.63585000000000003</v>
      </c>
      <c r="F70" s="380"/>
      <c r="G70" s="512" t="str">
        <f>G69</f>
        <v>喷塑</v>
      </c>
      <c r="H70" s="421"/>
      <c r="I70" s="421"/>
      <c r="J70" s="518">
        <v>0</v>
      </c>
      <c r="K70" s="54" t="s">
        <v>237</v>
      </c>
      <c r="L70" s="54"/>
      <c r="O70" s="250" t="s">
        <v>340</v>
      </c>
      <c r="P70" s="250"/>
      <c r="Q70" s="388" t="s">
        <v>330</v>
      </c>
      <c r="R70" s="420">
        <f>IFERROR(IF(AE69="预镀锌",VLOOKUP(AA69,常规材料表!$1:$1048576,5,0),AG69),0)</f>
        <v>3.78</v>
      </c>
      <c r="S70" s="420">
        <v>1.01</v>
      </c>
      <c r="T70" s="519">
        <f t="shared" si="0"/>
        <v>3.3785840707964603</v>
      </c>
      <c r="U70" s="520">
        <f>IFERROR(AH69/Y70+0.25,0)</f>
        <v>1.5470323898919272</v>
      </c>
      <c r="V70" s="520">
        <f>IF(AE69="喷塑",IF(AA69="Row.Spacer.L4040.30",AF69/1.13,AI69*AC69*AF69/1000000/1.13/Y70),AF69/1.13)</f>
        <v>0.84070796460177</v>
      </c>
      <c r="W70" s="520">
        <f>SUM(AP69:AP70)/Y70/1.13*IF(ISNUMBER(SEARCH("L4040.30",AA69)),1,0)</f>
        <v>2.8253939058231228</v>
      </c>
      <c r="X70" s="519">
        <f>(T70+U70+V70+W70)*Y70</f>
        <v>4.3056880913274345</v>
      </c>
      <c r="Y70" s="521">
        <f>AK69*AJ69*(AC69+IF(ISNUMBER(SEARCH("L4040.30",AA69)),66,0))*AD71/1000000</f>
        <v>0.50114400000000003</v>
      </c>
      <c r="Z70" s="508">
        <f>Y70*AB69</f>
        <v>0.50114400000000003</v>
      </c>
      <c r="AA70" s="506" t="s">
        <v>331</v>
      </c>
      <c r="AB70" s="507" t="s">
        <v>332</v>
      </c>
      <c r="AC70" s="507" t="s">
        <v>333</v>
      </c>
      <c r="AD70" s="509" t="s">
        <v>277</v>
      </c>
      <c r="AE70" s="418" t="s">
        <v>334</v>
      </c>
      <c r="AF70" s="509" t="s">
        <v>226</v>
      </c>
      <c r="AG70" s="508" t="s">
        <v>335</v>
      </c>
      <c r="AH70" s="508" t="s">
        <v>336</v>
      </c>
      <c r="AI70" s="507" t="s">
        <v>337</v>
      </c>
      <c r="AL70" s="508" t="s">
        <v>338</v>
      </c>
      <c r="AM70" s="508" t="str">
        <f>VLOOKUP(AA69,常规材料表!$1:$1048576,17,0)</f>
        <v>M10*110</v>
      </c>
      <c r="AN70" s="508">
        <f>VLOOKUP(AA69,常规材料表!$1:$1048576,18,0)</f>
        <v>2</v>
      </c>
      <c r="AO70" s="508">
        <f>IFERROR(VLOOKUP(AM70,标准件价格!$C:$D,2,0),0)</f>
        <v>0.8</v>
      </c>
      <c r="AP70" s="508">
        <f>AN70*AO70</f>
        <v>1.6</v>
      </c>
      <c r="AQ70" s="110"/>
      <c r="BZ70" t="s">
        <v>314</v>
      </c>
      <c r="CA70" s="112" t="s">
        <v>200</v>
      </c>
      <c r="CB70" t="s">
        <v>201</v>
      </c>
      <c r="CC70" t="s">
        <v>202</v>
      </c>
      <c r="CD70" t="s">
        <v>203</v>
      </c>
      <c r="CG70" s="122"/>
      <c r="CV70" s="388"/>
    </row>
    <row r="71" spans="1:100" customFormat="1" ht="30" customHeight="1" outlineLevel="1">
      <c r="A71" s="112"/>
      <c r="B71" s="414">
        <v>0</v>
      </c>
      <c r="C71" s="465">
        <f>报价辅助计算!$E$13</f>
        <v>0</v>
      </c>
      <c r="D71" s="522">
        <v>90</v>
      </c>
      <c r="E71" s="523">
        <f>IF(F71=50,150,120)/1000</f>
        <v>0.15</v>
      </c>
      <c r="F71" s="453">
        <v>50</v>
      </c>
      <c r="G71" s="418"/>
      <c r="H71" s="421"/>
      <c r="I71" s="421"/>
      <c r="J71" s="422"/>
      <c r="K71" s="54" t="s">
        <v>237</v>
      </c>
      <c r="L71" s="54"/>
      <c r="O71" s="250" t="s">
        <v>340</v>
      </c>
      <c r="P71" s="250"/>
      <c r="Q71" t="s">
        <v>339</v>
      </c>
      <c r="R71" s="524">
        <v>6.5</v>
      </c>
      <c r="S71" s="420">
        <v>1.01</v>
      </c>
      <c r="T71" s="519">
        <f t="shared" si="0"/>
        <v>5.8097345132743374</v>
      </c>
      <c r="U71" s="421">
        <f>IFERROR((AI71/Y71+0.25)*IF(ISNUMBER(SEARCH("L4040.30",AA69)),0,1),0)</f>
        <v>0</v>
      </c>
      <c r="V71" s="520">
        <f>AF71*AH71/IF(Y71=0,1,Y71)/1.13*IF(ISNUMBER(SEARCH("L4040.30",AA69)),0,1)</f>
        <v>0</v>
      </c>
      <c r="W71" s="520">
        <f>IFERROR(AP69/Y71/1.13*IF(ISNUMBER(SEARCH("L4040.30",AA69)),0,1),0)</f>
        <v>0</v>
      </c>
      <c r="X71" s="519">
        <f>IFERROR((T71+U71+V71+W71)*Y71,0)</f>
        <v>0</v>
      </c>
      <c r="Y71" s="521">
        <f>IF(AB71&gt;0,AB71,VLOOKUP(AA71,常规材料表!$1:$1048576,3,0))*IF(ISNUMBER(SEARCH("L4040.30",AA69)),0,1)</f>
        <v>0</v>
      </c>
      <c r="Z71" s="508">
        <f>Y71*AB69</f>
        <v>0</v>
      </c>
      <c r="AA71" s="513">
        <f>D70</f>
        <v>2</v>
      </c>
      <c r="AB71" s="525">
        <f>E70</f>
        <v>0.63585000000000003</v>
      </c>
      <c r="AC71" s="525">
        <f>J70</f>
        <v>0</v>
      </c>
      <c r="AD71" s="458">
        <v>7.85</v>
      </c>
      <c r="AE71" s="514" t="str">
        <f>G70</f>
        <v>喷塑</v>
      </c>
      <c r="AF71" s="515">
        <v>9.6999999999999993</v>
      </c>
      <c r="AG71" s="515">
        <v>0.9</v>
      </c>
      <c r="AH71" s="508">
        <f>D71/1000*0.15*2*D70</f>
        <v>5.3999999999999999E-2</v>
      </c>
      <c r="AI71" s="515">
        <v>0</v>
      </c>
      <c r="AQ71" s="110"/>
      <c r="BZ71" t="s">
        <v>314</v>
      </c>
      <c r="CA71" s="112" t="s">
        <v>200</v>
      </c>
      <c r="CB71" t="s">
        <v>201</v>
      </c>
      <c r="CC71" t="s">
        <v>202</v>
      </c>
      <c r="CD71" t="s">
        <v>203</v>
      </c>
      <c r="CG71" s="122"/>
      <c r="CV71" s="388"/>
    </row>
    <row r="72" spans="1:100" s="376" customFormat="1" ht="30" customHeight="1">
      <c r="A72" s="472"/>
      <c r="B72" s="473"/>
      <c r="C72" s="473"/>
      <c r="D72" s="473"/>
      <c r="E72" s="474"/>
      <c r="F72" s="473"/>
      <c r="G72" s="473"/>
      <c r="H72" s="421"/>
      <c r="I72" s="421"/>
      <c r="J72" s="422"/>
      <c r="K72" s="475"/>
      <c r="L72" s="475"/>
      <c r="R72" s="387"/>
      <c r="S72" s="387"/>
      <c r="T72" s="387"/>
      <c r="U72" s="387"/>
      <c r="V72" s="387"/>
      <c r="W72" s="387"/>
      <c r="X72" s="387"/>
      <c r="AQ72" s="476"/>
      <c r="BZ72" t="s">
        <v>314</v>
      </c>
      <c r="CA72" s="112" t="s">
        <v>200</v>
      </c>
      <c r="CB72" t="s">
        <v>201</v>
      </c>
      <c r="CC72" t="s">
        <v>202</v>
      </c>
      <c r="CD72" t="s">
        <v>203</v>
      </c>
      <c r="CE72"/>
      <c r="CF72"/>
      <c r="CG72" s="122"/>
    </row>
    <row r="73" spans="1:100" customFormat="1" ht="30" customHeight="1">
      <c r="A73" s="112" t="str">
        <f>IF($C$13=1,IF(K73="报价行",IF(F73&gt;0,1," ")," ")," ")</f>
        <v xml:space="preserve"> </v>
      </c>
      <c r="B73" s="414" t="str">
        <f>IF(A73=1,SUM($A$11:A73),"一字搁挡")</f>
        <v>一字搁挡</v>
      </c>
      <c r="C73" s="415" t="str">
        <f>B74&amp;IF(C76=1,CHAR(10)&amp;B75," ")</f>
        <v xml:space="preserve">Support bar </v>
      </c>
      <c r="D73" s="482" t="str">
        <f>"L"&amp;E74</f>
        <v>L900</v>
      </c>
      <c r="E73" s="488" t="str">
        <f>VLOOKUP(D74,常规材料表!$1:$1048576,28,0)</f>
        <v>HS50*30*1.5 mm,</v>
      </c>
      <c r="F73" s="431">
        <v>1</v>
      </c>
      <c r="G73" s="419">
        <f>IFERROR(Y73,"-")</f>
        <v>2.1618900000000001</v>
      </c>
      <c r="H73" s="420">
        <f>IFERROR(X73,"-")</f>
        <v>12.84373362123894</v>
      </c>
      <c r="I73" s="421" t="s">
        <v>341</v>
      </c>
      <c r="J73" s="422"/>
      <c r="K73" s="423" t="s">
        <v>217</v>
      </c>
      <c r="L73" s="54"/>
      <c r="O73" s="250" t="s">
        <v>342</v>
      </c>
      <c r="P73" s="250"/>
      <c r="R73" s="387" t="s">
        <v>219</v>
      </c>
      <c r="S73" s="426" t="s">
        <v>21</v>
      </c>
      <c r="T73" s="426">
        <f>(T75*Y75+T76*Y76)/Y73</f>
        <v>4.3118219677251437</v>
      </c>
      <c r="U73" s="426">
        <f>(U75*Y75+U76*Y76)/Y73</f>
        <v>0.85132569187146434</v>
      </c>
      <c r="V73" s="426">
        <f>(V75*Y75+V76*Y76)/Y73</f>
        <v>0.7778269604066943</v>
      </c>
      <c r="W73" s="426">
        <f>SUM(AP74:AP75)/Y73/1.13</f>
        <v>0</v>
      </c>
      <c r="X73" s="426">
        <f>SUM(T73:W73)*Y73</f>
        <v>12.84373362123894</v>
      </c>
      <c r="Y73" s="505">
        <f>SUM(Y75:Y76)</f>
        <v>2.1618900000000001</v>
      </c>
      <c r="Z73" s="505"/>
      <c r="AA73" s="506" t="s">
        <v>315</v>
      </c>
      <c r="AB73" s="507" t="s">
        <v>316</v>
      </c>
      <c r="AC73" s="507" t="s">
        <v>317</v>
      </c>
      <c r="AD73" s="508"/>
      <c r="AE73" s="418" t="s">
        <v>318</v>
      </c>
      <c r="AF73" s="509" t="s">
        <v>226</v>
      </c>
      <c r="AG73" s="509" t="s">
        <v>319</v>
      </c>
      <c r="AH73" s="509" t="s">
        <v>287</v>
      </c>
      <c r="AI73" s="507" t="s">
        <v>320</v>
      </c>
      <c r="AJ73" s="507" t="s">
        <v>321</v>
      </c>
      <c r="AK73" s="508" t="s">
        <v>322</v>
      </c>
      <c r="AL73" s="509" t="s">
        <v>231</v>
      </c>
      <c r="AM73" s="509" t="s">
        <v>232</v>
      </c>
      <c r="AN73" s="509" t="s">
        <v>102</v>
      </c>
      <c r="AO73" s="509" t="s">
        <v>74</v>
      </c>
      <c r="AP73" s="509" t="s">
        <v>21</v>
      </c>
      <c r="AQ73" s="110"/>
      <c r="AX73" t="str">
        <f>E73</f>
        <v>HS50*30*1.5 mm,</v>
      </c>
      <c r="AY73" s="494" t="str">
        <f>D73</f>
        <v>L900</v>
      </c>
      <c r="AZ73">
        <f>F73</f>
        <v>1</v>
      </c>
      <c r="BA73" s="256">
        <f>G73</f>
        <v>2.1618900000000001</v>
      </c>
      <c r="BB73">
        <f>AZ73*BA73</f>
        <v>2.1618900000000001</v>
      </c>
      <c r="BC73" s="495"/>
      <c r="BR73" t="str">
        <f>I73</f>
        <v>Orange Ral2004</v>
      </c>
      <c r="BS73">
        <f>T73*Y73</f>
        <v>9.3216847938053107</v>
      </c>
      <c r="BT73">
        <f>U73*Y73</f>
        <v>1.8404725000000002</v>
      </c>
      <c r="BU73">
        <f>(V73+W73)*Y73</f>
        <v>1.6815763274336284</v>
      </c>
      <c r="BZ73" t="s">
        <v>314</v>
      </c>
      <c r="CA73" s="112" t="s">
        <v>200</v>
      </c>
      <c r="CB73" t="s">
        <v>201</v>
      </c>
      <c r="CC73" t="s">
        <v>202</v>
      </c>
      <c r="CD73" t="s">
        <v>203</v>
      </c>
      <c r="CG73" s="122"/>
      <c r="CV73" s="388"/>
    </row>
    <row r="74" spans="1:100" customFormat="1" ht="30" customHeight="1" outlineLevel="1">
      <c r="A74" s="112"/>
      <c r="B74" s="418" t="s">
        <v>343</v>
      </c>
      <c r="C74" s="431" t="s">
        <v>324</v>
      </c>
      <c r="D74" s="510" t="s">
        <v>344</v>
      </c>
      <c r="E74" s="511">
        <v>900</v>
      </c>
      <c r="F74" s="488"/>
      <c r="G74" s="512" t="s">
        <v>236</v>
      </c>
      <c r="H74" s="421"/>
      <c r="I74" s="421"/>
      <c r="J74" s="422"/>
      <c r="K74" s="54" t="s">
        <v>237</v>
      </c>
      <c r="L74" s="54"/>
      <c r="O74" s="250" t="s">
        <v>342</v>
      </c>
      <c r="P74" s="250"/>
      <c r="R74" s="421" t="s">
        <v>238</v>
      </c>
      <c r="S74" s="420" t="s">
        <v>239</v>
      </c>
      <c r="T74" s="421" t="s">
        <v>240</v>
      </c>
      <c r="U74" s="421" t="s">
        <v>241</v>
      </c>
      <c r="V74" s="421" t="s">
        <v>242</v>
      </c>
      <c r="W74" s="420" t="s">
        <v>207</v>
      </c>
      <c r="X74" s="421" t="s">
        <v>243</v>
      </c>
      <c r="Y74" s="414" t="s">
        <v>244</v>
      </c>
      <c r="Z74" s="414" t="s">
        <v>159</v>
      </c>
      <c r="AA74" s="513" t="str">
        <f>D74</f>
        <v>HS5030.15</v>
      </c>
      <c r="AB74" s="460">
        <v>1</v>
      </c>
      <c r="AC74" s="460">
        <f>E74</f>
        <v>900</v>
      </c>
      <c r="AD74" s="508"/>
      <c r="AE74" s="514" t="str">
        <f>G74</f>
        <v>喷塑</v>
      </c>
      <c r="AF74" s="515">
        <f>IF(AE74="预镀锌",0,IF(AE74="喷塑",VLOOKUP(AA74,常规材料表!$1:$1048576,12,0),IF(AE74="热镀锌",VLOOKUP(AA74,常规材料表!$1:$1048576,13,0),IF(AE74="冷镀锌",VLOOKUP(AA74,常规材料表!$1:$1048576,15,0),0))))</f>
        <v>9.6999999999999993</v>
      </c>
      <c r="AG74" s="515">
        <f>VLOOKUP(AA74,常规材料表!$1:$1048576,10,0)</f>
        <v>4.28</v>
      </c>
      <c r="AH74" s="515">
        <f>VLOOKUP(AA74,常规材料表!$1:$1048576,11,0)+IF(AC74&gt;1200,VLOOKUP(AA74,常规材料表!$1:$1048576,16,0),0)</f>
        <v>1.3</v>
      </c>
      <c r="AI74" s="515">
        <f>(VLOOKUP(AA74,常规材料表!$1:$1048576,8,0)+VLOOKUP(AA74,常规材料表!$1:$1048576,9,0))*2/IF(ISNUMBER(SEARCH("L4040.30",AA74)),2,1)</f>
        <v>160</v>
      </c>
      <c r="AJ74" s="515">
        <f>VLOOKUP(AA74,常规材料表!$1:$1048576,6,0)</f>
        <v>1.5</v>
      </c>
      <c r="AK74" s="508">
        <f>VLOOKUP(AA74,常规材料表!$1:$1048576,7,0)</f>
        <v>154</v>
      </c>
      <c r="AL74" s="508" t="s">
        <v>326</v>
      </c>
      <c r="AM74" s="508">
        <f>VLOOKUP(AA76,常规材料表!$1:$1048576,17,0)</f>
        <v>0</v>
      </c>
      <c r="AN74" s="508">
        <f>VLOOKUP(AA76,常规材料表!$1:$1048576,18,0)</f>
        <v>0</v>
      </c>
      <c r="AO74" s="508">
        <f>IFERROR(VLOOKUP(AM74,标准件价格!$C:$D,2,0),0)</f>
        <v>0</v>
      </c>
      <c r="AP74" s="508">
        <f>AN74*AO74*IF(ISNUMBER(SEARCH("L4040.30",AA74)),0,1)</f>
        <v>0</v>
      </c>
      <c r="AQ74" s="110"/>
      <c r="AW74">
        <f>IFERROR(Y75*F73,"-")</f>
        <v>1.632015</v>
      </c>
      <c r="AX74" t="s">
        <v>156</v>
      </c>
      <c r="AY74" t="s">
        <v>246</v>
      </c>
      <c r="AZ74" t="s">
        <v>102</v>
      </c>
      <c r="BA74" t="s">
        <v>158</v>
      </c>
      <c r="BB74" t="s">
        <v>247</v>
      </c>
      <c r="BC74" t="s">
        <v>248</v>
      </c>
      <c r="BD74" t="s">
        <v>249</v>
      </c>
      <c r="BE74" t="s">
        <v>250</v>
      </c>
      <c r="BF74" t="s">
        <v>251</v>
      </c>
      <c r="BS74" s="898" t="s">
        <v>2337</v>
      </c>
      <c r="BT74" s="898" t="s">
        <v>2338</v>
      </c>
      <c r="BU74" s="898" t="s">
        <v>2339</v>
      </c>
      <c r="BZ74" t="s">
        <v>314</v>
      </c>
      <c r="CA74" s="112" t="s">
        <v>200</v>
      </c>
      <c r="CB74" t="s">
        <v>201</v>
      </c>
      <c r="CC74" t="s">
        <v>202</v>
      </c>
      <c r="CD74" t="s">
        <v>203</v>
      </c>
      <c r="CG74" s="122"/>
      <c r="CV74" s="388"/>
    </row>
    <row r="75" spans="1:100" customFormat="1" ht="30" customHeight="1" outlineLevel="1">
      <c r="A75" s="112"/>
      <c r="B75" s="415" t="s">
        <v>345</v>
      </c>
      <c r="C75" s="431" t="s">
        <v>329</v>
      </c>
      <c r="D75" s="510" t="s">
        <v>346</v>
      </c>
      <c r="E75" s="526">
        <v>0</v>
      </c>
      <c r="F75" s="489"/>
      <c r="G75" s="512" t="str">
        <f>G74</f>
        <v>喷塑</v>
      </c>
      <c r="H75" s="421"/>
      <c r="I75" s="421"/>
      <c r="J75" s="518">
        <v>0</v>
      </c>
      <c r="K75" s="54" t="s">
        <v>237</v>
      </c>
      <c r="L75" s="54"/>
      <c r="O75" s="250" t="s">
        <v>342</v>
      </c>
      <c r="P75" s="250"/>
      <c r="Q75" s="388" t="s">
        <v>330</v>
      </c>
      <c r="R75" s="420">
        <f>IFERROR(IF(AE74="预镀锌",VLOOKUP(AA74,常规材料表!$1:$1048576,5,0),AG74),0)</f>
        <v>4.28</v>
      </c>
      <c r="S75" s="420">
        <v>1.01</v>
      </c>
      <c r="T75" s="519">
        <f>R75*S75/1.13</f>
        <v>3.8254867256637173</v>
      </c>
      <c r="U75" s="520">
        <f>IFERROR(AH74/Y75+0.25,0)</f>
        <v>1.0465613061154464</v>
      </c>
      <c r="V75" s="520">
        <f>IF(AE74="喷塑",IF(AA74="Row.Spacer.L4040.30",AF74/1.13,AI74*AC74*AF74/1000000/1.13/Y75),AF74/1.13)</f>
        <v>0.75741104995374775</v>
      </c>
      <c r="W75" s="520">
        <f>SUM(AP74:AP75)/Y75/1.13*IF(ISNUMBER(SEARCH("L4040.30",AA74)),1,0)</f>
        <v>0</v>
      </c>
      <c r="X75" s="519">
        <f>(T75+U75+V75+W75)*Y75</f>
        <v>9.1873616632743378</v>
      </c>
      <c r="Y75" s="521">
        <f>AK74*AJ74*(AC74+IF(ISNUMBER(SEARCH("L4040.30",AA74)),66,0))*AD76/1000000</f>
        <v>1.632015</v>
      </c>
      <c r="Z75" s="508">
        <f>Y75*AB74</f>
        <v>1.632015</v>
      </c>
      <c r="AA75" s="506" t="s">
        <v>331</v>
      </c>
      <c r="AB75" s="507" t="s">
        <v>332</v>
      </c>
      <c r="AC75" s="507" t="s">
        <v>333</v>
      </c>
      <c r="AD75" s="509" t="s">
        <v>277</v>
      </c>
      <c r="AE75" s="418" t="s">
        <v>334</v>
      </c>
      <c r="AF75" s="509" t="s">
        <v>226</v>
      </c>
      <c r="AG75" s="508" t="s">
        <v>335</v>
      </c>
      <c r="AH75" s="508" t="s">
        <v>336</v>
      </c>
      <c r="AI75" s="507" t="s">
        <v>337</v>
      </c>
      <c r="AL75" s="508" t="s">
        <v>338</v>
      </c>
      <c r="AM75" s="508">
        <f>VLOOKUP(AA74,常规材料表!$1:$1048576,17,0)</f>
        <v>0</v>
      </c>
      <c r="AN75" s="508">
        <f>VLOOKUP(AA74,常规材料表!$1:$1048576,18,0)</f>
        <v>60</v>
      </c>
      <c r="AO75" s="508">
        <f>IFERROR(VLOOKUP(AM75,标准件价格!$C:$D,2,0),0)</f>
        <v>0</v>
      </c>
      <c r="AP75" s="508">
        <f>AN75*AO75</f>
        <v>0</v>
      </c>
      <c r="AQ75" s="110"/>
      <c r="BZ75" t="s">
        <v>314</v>
      </c>
      <c r="CA75" s="112" t="s">
        <v>200</v>
      </c>
      <c r="CB75" t="s">
        <v>201</v>
      </c>
      <c r="CC75" t="s">
        <v>202</v>
      </c>
      <c r="CD75" t="s">
        <v>203</v>
      </c>
      <c r="CG75" s="122"/>
      <c r="CV75" s="388"/>
    </row>
    <row r="76" spans="1:100" customFormat="1" ht="30" customHeight="1" outlineLevel="1">
      <c r="A76" s="112"/>
      <c r="B76" s="414">
        <v>0</v>
      </c>
      <c r="C76" s="465">
        <f>报价辅助计算!$E$13</f>
        <v>0</v>
      </c>
      <c r="D76" s="431"/>
      <c r="E76" s="938"/>
      <c r="F76" s="939"/>
      <c r="G76" s="418"/>
      <c r="H76" s="421"/>
      <c r="I76" s="421"/>
      <c r="J76" s="422"/>
      <c r="K76" s="54" t="s">
        <v>237</v>
      </c>
      <c r="L76" s="54"/>
      <c r="O76" s="250" t="s">
        <v>342</v>
      </c>
      <c r="P76" s="250"/>
      <c r="Q76" t="s">
        <v>339</v>
      </c>
      <c r="R76" s="524">
        <f>IF(AC76&gt;0,AC76,AG76)*IF(ISNUMBER(SEARCH("L4040.30",AA74)),0,1)</f>
        <v>6.5</v>
      </c>
      <c r="S76" s="420">
        <v>1.01</v>
      </c>
      <c r="T76" s="519">
        <f>R76*S76/1.13</f>
        <v>5.8097345132743374</v>
      </c>
      <c r="U76" s="421">
        <f>IFERROR((AI76/Y76+0.25)*IF(ISNUMBER(SEARCH("L4040.30",AA74)),0,1),0)</f>
        <v>0.25</v>
      </c>
      <c r="V76" s="520">
        <f>AF76/1.13*IF(ISNUMBER(SEARCH("L4040.30",AA74)),0,1)</f>
        <v>0.84070796460177</v>
      </c>
      <c r="W76" s="520">
        <f>IFERROR(AP74/Y76/1.13*IF(ISNUMBER(SEARCH("L4040.30",AA74)),0,1),0)</f>
        <v>0</v>
      </c>
      <c r="X76" s="519">
        <f>IFERROR((T76+U76+V76+W76)*Y76,0)</f>
        <v>3.6563719579646023</v>
      </c>
      <c r="Y76" s="521">
        <f>IF(AB76&gt;0,AB76,VLOOKUP(AA76,常规材料表!$1:$1048576,3,0))*IF(ISNUMBER(SEARCH("L4040.30",AA74)),0,1)</f>
        <v>0.52987499999999998</v>
      </c>
      <c r="Z76" s="508">
        <f>Y76*AB74</f>
        <v>0.52987499999999998</v>
      </c>
      <c r="AA76" s="513" t="str">
        <f>D75</f>
        <v>Pallet Support Bracket 3.0t.RAL</v>
      </c>
      <c r="AB76" s="525">
        <f>E75</f>
        <v>0</v>
      </c>
      <c r="AC76" s="525">
        <f>J75</f>
        <v>0</v>
      </c>
      <c r="AD76" s="458">
        <v>7.85</v>
      </c>
      <c r="AE76" s="514" t="str">
        <f>G75</f>
        <v>喷塑</v>
      </c>
      <c r="AF76" s="515">
        <f>IF(AE76="预镀锌",0,IF(AE76="喷塑",VLOOKUP(AA76,常规材料表!$1:$1048576,12,0),IF(AE76="热镀锌",VLOOKUP(AA76,常规材料表!$1:$1048576,13,0),IF(AE76="冷镀锌",VLOOKUP(AA76,常规材料表!$1:$1048576,15,0),0))))</f>
        <v>0.95</v>
      </c>
      <c r="AG76" s="515">
        <f>VLOOKUP(AA76,常规材料表!$1:$1048576,10,0)</f>
        <v>6.5</v>
      </c>
      <c r="AH76" s="508">
        <f>VLOOKUP(AA76,常规材料表!$1:$1048576,4,0)</f>
        <v>4.4999999999999998E-2</v>
      </c>
      <c r="AI76" s="515">
        <f>IF(AA76="预镀锌",VLOOKUP(AA76,常规材料表!$1:$1048576,11,0)+VLOOKUP(AA76,常规材料表!$1:$1048576,14,0),VLOOKUP(AA76,常规材料表!$1:$1048576,11,0))+IF(AC74&lt;8000,0,VLOOKUP(AA76,常规材料表!$1:$1048576,16,0))</f>
        <v>0</v>
      </c>
      <c r="AQ76" s="110"/>
      <c r="BZ76" t="s">
        <v>314</v>
      </c>
      <c r="CA76" s="112" t="s">
        <v>200</v>
      </c>
      <c r="CB76" t="s">
        <v>201</v>
      </c>
      <c r="CC76" t="s">
        <v>202</v>
      </c>
      <c r="CD76" t="s">
        <v>203</v>
      </c>
      <c r="CG76" s="122"/>
      <c r="CV76" s="388"/>
    </row>
    <row r="77" spans="1:100" s="376" customFormat="1" ht="30" customHeight="1">
      <c r="A77" s="472"/>
      <c r="B77" s="473"/>
      <c r="C77" s="473"/>
      <c r="D77" s="473"/>
      <c r="E77" s="474"/>
      <c r="F77" s="473"/>
      <c r="G77" s="473"/>
      <c r="H77" s="421"/>
      <c r="I77" s="421"/>
      <c r="J77" s="422"/>
      <c r="K77" s="475"/>
      <c r="L77" s="475"/>
      <c r="R77" s="387"/>
      <c r="S77" s="387"/>
      <c r="T77" s="387"/>
      <c r="U77" s="387"/>
      <c r="V77" s="387"/>
      <c r="W77" s="387"/>
      <c r="X77" s="387"/>
      <c r="AQ77" s="476"/>
      <c r="BZ77" t="s">
        <v>314</v>
      </c>
      <c r="CA77" s="112" t="s">
        <v>200</v>
      </c>
      <c r="CB77" t="s">
        <v>201</v>
      </c>
      <c r="CC77" t="s">
        <v>202</v>
      </c>
      <c r="CD77" t="s">
        <v>203</v>
      </c>
      <c r="CE77"/>
      <c r="CF77"/>
      <c r="CG77" s="122"/>
    </row>
    <row r="78" spans="1:100" customFormat="1" ht="30" customHeight="1">
      <c r="A78" s="112" t="str">
        <f>IF($C$13=1,IF(K78="报价行",IF(F78&gt;0,1," ")," ")," ")</f>
        <v xml:space="preserve"> </v>
      </c>
      <c r="B78" s="414" t="str">
        <f>IF(A78=1,SUM($A$11:A78),"井字搁挡")</f>
        <v>井字搁挡</v>
      </c>
      <c r="C78" s="415" t="str">
        <f>B79&amp;IF(C81=1,CHAR(10)&amp;B80," ")</f>
        <v xml:space="preserve">井 Support bar </v>
      </c>
      <c r="D78" s="482" t="str">
        <f>"D"&amp;E79&amp;"*W"&amp;F79</f>
        <v>D900*W1200</v>
      </c>
      <c r="E78" s="488" t="str">
        <f>VLOOKUP(D79,常规材料表!$1:$1048576,28,0)</f>
        <v>HS50*30*1.5 mm,</v>
      </c>
      <c r="F78" s="431"/>
      <c r="G78" s="419">
        <f>IFERROR(Y78,"-")</f>
        <v>8.0955479999999991</v>
      </c>
      <c r="H78" s="420">
        <f>IFERROR(X78,"-")</f>
        <v>56.916036419823016</v>
      </c>
      <c r="I78" s="421" t="s">
        <v>341</v>
      </c>
      <c r="J78" s="422"/>
      <c r="K78" s="423" t="s">
        <v>217</v>
      </c>
      <c r="L78" s="54"/>
      <c r="O78" s="250" t="s">
        <v>347</v>
      </c>
      <c r="P78" s="250"/>
      <c r="R78" s="387" t="s">
        <v>219</v>
      </c>
      <c r="S78" s="426" t="s">
        <v>21</v>
      </c>
      <c r="T78" s="426">
        <f>(T80*Y80+T81*Y81)/Y78</f>
        <v>4.0852352433576842</v>
      </c>
      <c r="U78" s="426">
        <f>(U80*Y80+U81*Y81)/Y78</f>
        <v>2.1769850540074618</v>
      </c>
      <c r="V78" s="426">
        <f>(V80*Y80+V81*Y81)/Y78</f>
        <v>0.76831505611840045</v>
      </c>
      <c r="W78" s="426">
        <f>SUM(AP79:AP80)/Y78/1.13</f>
        <v>0</v>
      </c>
      <c r="X78" s="426">
        <f>SUM(T78:W78)*Y78</f>
        <v>56.916036419823016</v>
      </c>
      <c r="Y78" s="505">
        <f>SUM(Y80:Y81)</f>
        <v>8.0955479999999991</v>
      </c>
      <c r="Z78" s="505"/>
      <c r="AA78" s="506" t="s">
        <v>315</v>
      </c>
      <c r="AB78" s="507" t="s">
        <v>316</v>
      </c>
      <c r="AC78" s="507" t="s">
        <v>317</v>
      </c>
      <c r="AD78" s="508"/>
      <c r="AE78" s="418" t="s">
        <v>318</v>
      </c>
      <c r="AF78" s="509" t="s">
        <v>226</v>
      </c>
      <c r="AG78" s="509" t="s">
        <v>319</v>
      </c>
      <c r="AH78" s="509" t="s">
        <v>287</v>
      </c>
      <c r="AI78" s="507" t="s">
        <v>320</v>
      </c>
      <c r="AJ78" s="507" t="s">
        <v>321</v>
      </c>
      <c r="AK78" s="508" t="s">
        <v>322</v>
      </c>
      <c r="AL78" s="509" t="s">
        <v>231</v>
      </c>
      <c r="AM78" s="509" t="s">
        <v>232</v>
      </c>
      <c r="AN78" s="509" t="s">
        <v>102</v>
      </c>
      <c r="AO78" s="509" t="s">
        <v>74</v>
      </c>
      <c r="AP78" s="509" t="s">
        <v>21</v>
      </c>
      <c r="AQ78" s="110"/>
      <c r="AX78" t="str">
        <f>E78</f>
        <v>HS50*30*1.5 mm,</v>
      </c>
      <c r="AY78" s="494" t="str">
        <f>D78</f>
        <v>D900*W1200</v>
      </c>
      <c r="AZ78">
        <f>F78</f>
        <v>0</v>
      </c>
      <c r="BA78" s="256">
        <f>G78</f>
        <v>8.0955479999999991</v>
      </c>
      <c r="BB78">
        <f>AZ78*BA78</f>
        <v>0</v>
      </c>
      <c r="BC78" s="495"/>
      <c r="BR78" t="str">
        <f>I78</f>
        <v>Orange Ral2004</v>
      </c>
      <c r="BS78">
        <f>T78*Y78</f>
        <v>33.072218003893809</v>
      </c>
      <c r="BT78">
        <f>U78*Y78</f>
        <v>17.623886999999996</v>
      </c>
      <c r="BU78">
        <f>(V78+W78)*Y78</f>
        <v>6.2199314159292038</v>
      </c>
      <c r="BZ78" t="s">
        <v>347</v>
      </c>
      <c r="CA78" s="112" t="s">
        <v>200</v>
      </c>
      <c r="CB78" t="s">
        <v>201</v>
      </c>
      <c r="CC78" t="s">
        <v>202</v>
      </c>
      <c r="CD78" t="s">
        <v>203</v>
      </c>
      <c r="CG78" s="122"/>
      <c r="CV78" s="388"/>
    </row>
    <row r="79" spans="1:100" customFormat="1" ht="30" customHeight="1" outlineLevel="1">
      <c r="A79" s="112"/>
      <c r="B79" s="418" t="s">
        <v>348</v>
      </c>
      <c r="C79" s="431" t="s">
        <v>324</v>
      </c>
      <c r="D79" s="510" t="s">
        <v>344</v>
      </c>
      <c r="E79" s="527">
        <v>900</v>
      </c>
      <c r="F79" s="528">
        <v>1200</v>
      </c>
      <c r="G79" s="512" t="s">
        <v>236</v>
      </c>
      <c r="H79" s="421"/>
      <c r="I79" s="421"/>
      <c r="J79" s="422"/>
      <c r="K79" s="54" t="s">
        <v>237</v>
      </c>
      <c r="L79" s="54"/>
      <c r="O79" s="250" t="s">
        <v>347</v>
      </c>
      <c r="P79" s="250"/>
      <c r="R79" s="421" t="s">
        <v>238</v>
      </c>
      <c r="S79" s="420" t="s">
        <v>239</v>
      </c>
      <c r="T79" s="421" t="s">
        <v>240</v>
      </c>
      <c r="U79" s="421" t="s">
        <v>241</v>
      </c>
      <c r="V79" s="421" t="s">
        <v>242</v>
      </c>
      <c r="W79" s="420" t="s">
        <v>207</v>
      </c>
      <c r="X79" s="421" t="s">
        <v>243</v>
      </c>
      <c r="Y79" s="414" t="s">
        <v>244</v>
      </c>
      <c r="Z79" s="414" t="s">
        <v>159</v>
      </c>
      <c r="AA79" s="513" t="str">
        <f>D79</f>
        <v>HS5030.15</v>
      </c>
      <c r="AB79" s="460">
        <v>1</v>
      </c>
      <c r="AC79" s="529">
        <f>(E79-100+F79-60)*2</f>
        <v>3880</v>
      </c>
      <c r="AD79" s="508"/>
      <c r="AE79" s="514" t="str">
        <f>G79</f>
        <v>喷塑</v>
      </c>
      <c r="AF79" s="515">
        <f>IF(AE79="预镀锌",0,IF(AE79="喷塑",VLOOKUP(AA79,常规材料表!$1:$1048576,12,0),IF(AE79="热镀锌",VLOOKUP(AA79,常规材料表!$1:$1048576,13,0),IF(AE79="冷镀锌",VLOOKUP(AA79,常规材料表!$1:$1048576,15,0),0))))</f>
        <v>9.6999999999999993</v>
      </c>
      <c r="AG79" s="515">
        <f>VLOOKUP(AA79,常规材料表!$1:$1048576,10,0)</f>
        <v>4.28</v>
      </c>
      <c r="AH79" s="515">
        <v>15.6</v>
      </c>
      <c r="AI79" s="515">
        <f>(VLOOKUP(AA79,常规材料表!$1:$1048576,8,0)+VLOOKUP(AA79,常规材料表!$1:$1048576,9,0))*2/IF(ISNUMBER(SEARCH("L4040.30",AA79)),2,1)</f>
        <v>160</v>
      </c>
      <c r="AJ79" s="515">
        <f>VLOOKUP(AA79,常规材料表!$1:$1048576,6,0)</f>
        <v>1.5</v>
      </c>
      <c r="AK79" s="508">
        <f>VLOOKUP(AA79,常规材料表!$1:$1048576,7,0)</f>
        <v>154</v>
      </c>
      <c r="AL79" s="508" t="s">
        <v>326</v>
      </c>
      <c r="AM79" s="508">
        <f>VLOOKUP(AA81,常规材料表!$1:$1048576,17,0)</f>
        <v>0</v>
      </c>
      <c r="AN79" s="508">
        <f>VLOOKUP(AA81,常规材料表!$1:$1048576,18,0)</f>
        <v>0</v>
      </c>
      <c r="AO79" s="508">
        <f>IFERROR(VLOOKUP(AM79,标准件价格!$C:$D,2,0),0)</f>
        <v>0</v>
      </c>
      <c r="AP79" s="508">
        <f>AN79*AO79*IF(ISNUMBER(SEARCH("L4040.30",AA79)),0,1)</f>
        <v>0</v>
      </c>
      <c r="AQ79" s="110"/>
      <c r="AW79">
        <f>IFERROR(Y80*F78,"-")</f>
        <v>0</v>
      </c>
      <c r="AX79" t="s">
        <v>156</v>
      </c>
      <c r="AY79" t="s">
        <v>246</v>
      </c>
      <c r="AZ79" t="s">
        <v>102</v>
      </c>
      <c r="BA79" t="s">
        <v>158</v>
      </c>
      <c r="BB79" t="s">
        <v>247</v>
      </c>
      <c r="BC79" t="s">
        <v>248</v>
      </c>
      <c r="BD79" t="s">
        <v>249</v>
      </c>
      <c r="BE79" t="s">
        <v>250</v>
      </c>
      <c r="BF79" t="s">
        <v>251</v>
      </c>
      <c r="BS79" s="898" t="s">
        <v>2337</v>
      </c>
      <c r="BT79" s="898" t="s">
        <v>2338</v>
      </c>
      <c r="BU79" s="898" t="s">
        <v>2339</v>
      </c>
      <c r="BZ79" t="s">
        <v>347</v>
      </c>
      <c r="CA79" s="112" t="s">
        <v>200</v>
      </c>
      <c r="CB79" t="s">
        <v>201</v>
      </c>
      <c r="CC79" t="s">
        <v>202</v>
      </c>
      <c r="CD79" t="s">
        <v>203</v>
      </c>
      <c r="CG79" s="122"/>
      <c r="CV79" s="388"/>
    </row>
    <row r="80" spans="1:100" customFormat="1" ht="30" customHeight="1" outlineLevel="1">
      <c r="A80" s="112"/>
      <c r="B80" s="418" t="s">
        <v>347</v>
      </c>
      <c r="C80" s="431" t="s">
        <v>329</v>
      </c>
      <c r="D80" s="510" t="s">
        <v>346</v>
      </c>
      <c r="E80" s="526">
        <v>0</v>
      </c>
      <c r="F80" s="489"/>
      <c r="G80" s="512" t="str">
        <f>G79</f>
        <v>喷塑</v>
      </c>
      <c r="H80" s="421"/>
      <c r="I80" s="421"/>
      <c r="J80" s="518">
        <v>0</v>
      </c>
      <c r="K80" s="54" t="s">
        <v>237</v>
      </c>
      <c r="L80" s="54"/>
      <c r="O80" s="250" t="s">
        <v>347</v>
      </c>
      <c r="P80" s="250"/>
      <c r="Q80" s="388" t="s">
        <v>330</v>
      </c>
      <c r="R80" s="420">
        <f>IFERROR(IF(AE79="预镀锌",VLOOKUP(AA79,常规材料表!$1:$1048576,5,0),AG79),0)</f>
        <v>4.28</v>
      </c>
      <c r="S80" s="420">
        <v>1.01</v>
      </c>
      <c r="T80" s="519">
        <f>R80*S80/1.13</f>
        <v>3.8254867256637173</v>
      </c>
      <c r="U80" s="520">
        <f>IFERROR(AH79/Y80+0.25,0)</f>
        <v>2.4672325015584584</v>
      </c>
      <c r="V80" s="520">
        <f>IF(AE79="喷塑",IF(AA79="Row.Spacer.L4040.30",AF79/1.13,AI79*AC79*AF79/1000000/1.13/Y80),AF79/1.13)</f>
        <v>0.75741104995374775</v>
      </c>
      <c r="W80" s="520">
        <f>SUM(AP79:AP80)/Y80/1.13*IF(ISNUMBER(SEARCH("L4040.30",AA79)),1,0)</f>
        <v>0</v>
      </c>
      <c r="X80" s="519">
        <f>(T80+U80+V80+W80)*Y80</f>
        <v>49.603292503893805</v>
      </c>
      <c r="Y80" s="521">
        <f>AK79*AJ79*(AC79+IF(ISNUMBER(SEARCH("L4040.30",AA79)),66,0))*AD81/1000000</f>
        <v>7.0357979999999998</v>
      </c>
      <c r="Z80" s="508">
        <f>Y80*AB79</f>
        <v>7.0357979999999998</v>
      </c>
      <c r="AA80" s="506" t="s">
        <v>331</v>
      </c>
      <c r="AB80" s="507" t="s">
        <v>332</v>
      </c>
      <c r="AC80" s="507" t="s">
        <v>333</v>
      </c>
      <c r="AD80" s="509" t="s">
        <v>277</v>
      </c>
      <c r="AE80" s="418" t="s">
        <v>334</v>
      </c>
      <c r="AF80" s="509" t="s">
        <v>226</v>
      </c>
      <c r="AG80" s="508" t="s">
        <v>335</v>
      </c>
      <c r="AH80" s="508" t="s">
        <v>336</v>
      </c>
      <c r="AI80" s="507" t="s">
        <v>337</v>
      </c>
      <c r="AL80" s="508" t="s">
        <v>338</v>
      </c>
      <c r="AM80" s="508">
        <f>VLOOKUP(AA79,常规材料表!$1:$1048576,17,0)</f>
        <v>0</v>
      </c>
      <c r="AN80" s="508">
        <f>VLOOKUP(AA79,常规材料表!$1:$1048576,18,0)</f>
        <v>60</v>
      </c>
      <c r="AO80" s="508">
        <f>IFERROR(VLOOKUP(AM80,标准件价格!$C:$D,2,0),0)</f>
        <v>0</v>
      </c>
      <c r="AP80" s="508">
        <f>AN80*AO80</f>
        <v>0</v>
      </c>
      <c r="AQ80" s="110"/>
      <c r="BZ80" t="s">
        <v>347</v>
      </c>
      <c r="CA80" s="112" t="s">
        <v>200</v>
      </c>
      <c r="CB80" t="s">
        <v>201</v>
      </c>
      <c r="CC80" t="s">
        <v>202</v>
      </c>
      <c r="CD80" t="s">
        <v>203</v>
      </c>
      <c r="CG80" s="122"/>
      <c r="CV80" s="388"/>
    </row>
    <row r="81" spans="1:100" customFormat="1" ht="30" customHeight="1" outlineLevel="1">
      <c r="A81" s="112"/>
      <c r="B81" s="414">
        <v>0</v>
      </c>
      <c r="C81" s="465">
        <f>报价辅助计算!$E$13</f>
        <v>0</v>
      </c>
      <c r="D81" s="431"/>
      <c r="E81" s="938"/>
      <c r="F81" s="939"/>
      <c r="G81" s="418"/>
      <c r="H81" s="421"/>
      <c r="I81" s="421"/>
      <c r="J81" s="422"/>
      <c r="K81" s="54" t="s">
        <v>237</v>
      </c>
      <c r="L81" s="54"/>
      <c r="O81" s="250" t="s">
        <v>347</v>
      </c>
      <c r="P81" s="250"/>
      <c r="Q81" t="s">
        <v>339</v>
      </c>
      <c r="R81" s="524">
        <f>IF(AC81&gt;0,AC81,AG81)*IF(ISNUMBER(SEARCH("L4040.30",AA79)),0,1)</f>
        <v>6.5</v>
      </c>
      <c r="S81" s="420">
        <v>1.01</v>
      </c>
      <c r="T81" s="519">
        <f>R81*S81/1.13</f>
        <v>5.8097345132743374</v>
      </c>
      <c r="U81" s="421">
        <f>IFERROR((AI81/Y81+0.25)*IF(ISNUMBER(SEARCH("L4040.30",AA79)),0,1),0)</f>
        <v>0.25</v>
      </c>
      <c r="V81" s="520">
        <f>AF81/1.13*IF(ISNUMBER(SEARCH("L4040.30",AA79)),0,1)</f>
        <v>0.84070796460177</v>
      </c>
      <c r="W81" s="520">
        <f>IFERROR(AP79/Y81/1.13*IF(ISNUMBER(SEARCH("L4040.30",AA79)),0,1),0)</f>
        <v>0</v>
      </c>
      <c r="X81" s="519">
        <f>IFERROR((T81+U81+V81+W81)*Y81,0)</f>
        <v>7.3127439159292047</v>
      </c>
      <c r="Y81" s="521">
        <f>IF(AB81&gt;0,AB81,VLOOKUP(AA81,常规材料表!$1:$1048576,3,0))*IF(ISNUMBER(SEARCH("L4040.30",AA79)),0,1)*2</f>
        <v>1.05975</v>
      </c>
      <c r="Z81" s="508">
        <f>Y81*AB79</f>
        <v>1.05975</v>
      </c>
      <c r="AA81" s="513" t="str">
        <f>D80</f>
        <v>Pallet Support Bracket 3.0t.RAL</v>
      </c>
      <c r="AB81" s="525">
        <f>E80</f>
        <v>0</v>
      </c>
      <c r="AC81" s="525">
        <f>J80</f>
        <v>0</v>
      </c>
      <c r="AD81" s="458">
        <v>7.85</v>
      </c>
      <c r="AE81" s="514" t="str">
        <f>G80</f>
        <v>喷塑</v>
      </c>
      <c r="AF81" s="515">
        <f>IF(AE81="预镀锌",0,IF(AE81="喷塑",VLOOKUP(AA81,常规材料表!$1:$1048576,12,0),IF(AE81="热镀锌",VLOOKUP(AA81,常规材料表!$1:$1048576,13,0),IF(AE81="冷镀锌",VLOOKUP(AA81,常规材料表!$1:$1048576,15,0),0))))</f>
        <v>0.95</v>
      </c>
      <c r="AG81" s="515">
        <f>VLOOKUP(AA81,常规材料表!$1:$1048576,10,0)</f>
        <v>6.5</v>
      </c>
      <c r="AH81" s="508">
        <f>VLOOKUP(AA81,常规材料表!$1:$1048576,4,0)</f>
        <v>4.4999999999999998E-2</v>
      </c>
      <c r="AI81" s="515">
        <f>IF(AA81="预镀锌",VLOOKUP(AA81,常规材料表!$1:$1048576,11,0)+VLOOKUP(AA81,常规材料表!$1:$1048576,14,0),VLOOKUP(AA81,常规材料表!$1:$1048576,11,0))+IF(AC79&lt;8000,0,VLOOKUP(AA81,常规材料表!$1:$1048576,16,0))</f>
        <v>0</v>
      </c>
      <c r="AQ81" s="110"/>
      <c r="BZ81" t="s">
        <v>347</v>
      </c>
      <c r="CA81" s="112" t="s">
        <v>200</v>
      </c>
      <c r="CB81" t="s">
        <v>201</v>
      </c>
      <c r="CC81" t="s">
        <v>202</v>
      </c>
      <c r="CD81" t="s">
        <v>203</v>
      </c>
      <c r="CG81" s="122"/>
      <c r="CV81" s="388"/>
    </row>
    <row r="82" spans="1:100" s="376" customFormat="1" ht="30" customHeight="1">
      <c r="A82" s="472"/>
      <c r="B82" s="473"/>
      <c r="C82" s="473"/>
      <c r="D82" s="473"/>
      <c r="E82" s="474"/>
      <c r="F82" s="473"/>
      <c r="G82" s="473"/>
      <c r="H82" s="421"/>
      <c r="I82" s="421"/>
      <c r="J82" s="422"/>
      <c r="K82" s="475"/>
      <c r="L82" s="475"/>
      <c r="R82" s="387"/>
      <c r="S82" s="387"/>
      <c r="T82" s="387"/>
      <c r="U82" s="387"/>
      <c r="V82" s="387"/>
      <c r="W82" s="387"/>
      <c r="X82" s="387"/>
      <c r="AQ82" s="476"/>
      <c r="BZ82" t="s">
        <v>347</v>
      </c>
      <c r="CA82" s="112" t="s">
        <v>200</v>
      </c>
      <c r="CB82" t="s">
        <v>201</v>
      </c>
      <c r="CC82" t="s">
        <v>202</v>
      </c>
      <c r="CD82" t="s">
        <v>203</v>
      </c>
      <c r="CE82"/>
      <c r="CF82"/>
      <c r="CG82" s="122"/>
    </row>
    <row r="83" spans="1:100" customFormat="1" ht="30" customHeight="1">
      <c r="A83" s="112" t="str">
        <f>IF($C$13=1,IF(K83="报价行",IF(F83&gt;0,1," ")," ")," ")</f>
        <v xml:space="preserve"> </v>
      </c>
      <c r="B83" s="414" t="str">
        <f>IF(A83=1,SUM($A$11:A83),"B横梁")</f>
        <v>B横梁</v>
      </c>
      <c r="C83" s="415" t="str">
        <f>B84&amp;IF(C86=1,CHAR(10)&amp;B85," ")</f>
        <v xml:space="preserve">Box beam </v>
      </c>
      <c r="D83" s="530">
        <f>E84</f>
        <v>2700</v>
      </c>
      <c r="E83" s="415" t="str">
        <f>VLOOKUP(D84,常规材料表!$1:$1048576,28,0)&amp;VLOOKUP(D85,常规材料表!$1:$1048576,28,0)&amp;", "&amp;IF(E85&gt;0,E85&amp;" kg/level,"," ")&amp;IF(E86&gt;0,", with "&amp;E86&amp;" L steel","")&amp;IF(E86&gt;1,"s","")</f>
        <v xml:space="preserve">B110*50*1.5 mm,pitch 75, 3 claws, H200,  </v>
      </c>
      <c r="F83" s="418">
        <v>1</v>
      </c>
      <c r="G83" s="419">
        <f>IFERROR(Y83+D86*F86/F83,"-")</f>
        <v>14.769775000000001</v>
      </c>
      <c r="H83" s="420">
        <f>IFERROR(X83+H86,"-")</f>
        <v>65.904913969026552</v>
      </c>
      <c r="I83" s="421" t="s">
        <v>341</v>
      </c>
      <c r="J83" s="422"/>
      <c r="K83" s="423" t="s">
        <v>217</v>
      </c>
      <c r="L83" s="54" cm="1">
        <f t="array" ref="L83">_xlfn._xlws.FILTER(下拉菜单!L:L,下拉菜单!M:M=D85,"无匹配")</f>
        <v>75</v>
      </c>
      <c r="O83" s="250" t="s">
        <v>349</v>
      </c>
      <c r="P83" s="250"/>
      <c r="R83" s="387" t="s">
        <v>219</v>
      </c>
      <c r="S83" s="426" t="s">
        <v>21</v>
      </c>
      <c r="T83" s="426">
        <f>(T85*Y85+T86*Y86)/Y83</f>
        <v>3.4884451432093075</v>
      </c>
      <c r="U83" s="426">
        <f>(U85*Y85+U86*Y86)/Y83</f>
        <v>0.42603517995365536</v>
      </c>
      <c r="V83" s="426">
        <f>(V85*Y85+V86*Y86)/Y83</f>
        <v>0.52609713304270644</v>
      </c>
      <c r="W83" s="426">
        <f>AP85/Y83/1.13</f>
        <v>2.1570001628085748E-2</v>
      </c>
      <c r="X83" s="426">
        <f>SUM(T83:W83)*Y83</f>
        <v>65.904913969026552</v>
      </c>
      <c r="Y83" s="505">
        <f>SUM(Y85:Y86)</f>
        <v>14.769775000000001</v>
      </c>
      <c r="Z83" s="505"/>
      <c r="AQ83" s="110"/>
      <c r="AX83" t="str">
        <f>VLOOKUP(D84,常规材料表!$1:$1048576,28,0)</f>
        <v>B110*50*1.5 mm,</v>
      </c>
      <c r="AY83" s="494">
        <f>D83</f>
        <v>2700</v>
      </c>
      <c r="AZ83">
        <f>F83</f>
        <v>1</v>
      </c>
      <c r="BA83" s="256">
        <f>G83</f>
        <v>14.769775000000001</v>
      </c>
      <c r="BB83">
        <f>AZ83*BA83</f>
        <v>14.769775000000001</v>
      </c>
      <c r="BC83" t="str">
        <f>VLOOKUP(D85,常规材料表!$1:$1048576,28,0)</f>
        <v>pitch 75, 3 claws, H200</v>
      </c>
      <c r="BE83" t="str">
        <f>"面宽"&amp;VLOOKUP(AA85,常规材料表!$1:$1048576,18,0)</f>
        <v>面宽60</v>
      </c>
      <c r="BQ83" t="str">
        <f>B86</f>
        <v>Q235</v>
      </c>
      <c r="BR83" t="str">
        <f>I83</f>
        <v>Orange Ral2004</v>
      </c>
      <c r="BS83">
        <f>T83*Y83</f>
        <v>51.523549865044252</v>
      </c>
      <c r="BT83">
        <f>U83*Y83</f>
        <v>6.2924437500000003</v>
      </c>
      <c r="BU83">
        <f>(V83+W83)*Y83</f>
        <v>8.0889203539823011</v>
      </c>
      <c r="BZ83" t="s">
        <v>350</v>
      </c>
      <c r="CA83" s="112" t="s">
        <v>200</v>
      </c>
      <c r="CB83" t="s">
        <v>201</v>
      </c>
      <c r="CC83" t="s">
        <v>202</v>
      </c>
      <c r="CG83" s="122"/>
      <c r="CV83" s="388"/>
    </row>
    <row r="84" spans="1:100" customFormat="1" ht="30" customHeight="1" outlineLevel="1">
      <c r="A84" s="112"/>
      <c r="B84" s="381" t="s">
        <v>351</v>
      </c>
      <c r="C84" s="418" t="s">
        <v>166</v>
      </c>
      <c r="D84" s="54" t="s">
        <v>352</v>
      </c>
      <c r="E84" s="531">
        <v>2700</v>
      </c>
      <c r="F84" s="418"/>
      <c r="G84" s="532" t="s">
        <v>236</v>
      </c>
      <c r="H84" s="421"/>
      <c r="I84" s="533"/>
      <c r="J84" s="534">
        <f>IFERROR(IF(B86="Q355",IFERROR(IF(G84="预镀锌",VLOOKUP(D84,常规材料表!$1:$1048576,30,0),VLOOKUP(D84,常规材料表!$1:$1048576,29,0)),0),0),0)</f>
        <v>0</v>
      </c>
      <c r="K84" s="54" t="s">
        <v>237</v>
      </c>
      <c r="L84" s="54"/>
      <c r="O84" s="250" t="s">
        <v>349</v>
      </c>
      <c r="P84" s="250"/>
      <c r="R84" s="421" t="s">
        <v>238</v>
      </c>
      <c r="S84" s="420" t="s">
        <v>239</v>
      </c>
      <c r="T84" s="421" t="s">
        <v>240</v>
      </c>
      <c r="U84" s="421" t="s">
        <v>241</v>
      </c>
      <c r="V84" s="421" t="s">
        <v>242</v>
      </c>
      <c r="W84" s="420" t="s">
        <v>207</v>
      </c>
      <c r="X84" s="420" t="s">
        <v>243</v>
      </c>
      <c r="Y84" s="429" t="s">
        <v>244</v>
      </c>
      <c r="Z84" s="429" t="s">
        <v>159</v>
      </c>
      <c r="AA84" s="506" t="s">
        <v>353</v>
      </c>
      <c r="AB84" s="507" t="s">
        <v>354</v>
      </c>
      <c r="AC84" s="507" t="s">
        <v>355</v>
      </c>
      <c r="AD84" s="448" t="s">
        <v>285</v>
      </c>
      <c r="AE84" s="418" t="s">
        <v>318</v>
      </c>
      <c r="AF84" s="509" t="s">
        <v>226</v>
      </c>
      <c r="AG84" s="509" t="s">
        <v>356</v>
      </c>
      <c r="AH84" s="509" t="s">
        <v>357</v>
      </c>
      <c r="AI84" s="507" t="s">
        <v>358</v>
      </c>
      <c r="AJ84" s="507" t="s">
        <v>359</v>
      </c>
      <c r="AK84" s="508" t="s">
        <v>360</v>
      </c>
      <c r="AL84" s="509" t="s">
        <v>231</v>
      </c>
      <c r="AM84" s="509" t="s">
        <v>232</v>
      </c>
      <c r="AN84" s="509" t="s">
        <v>102</v>
      </c>
      <c r="AO84" s="509" t="s">
        <v>74</v>
      </c>
      <c r="AP84" s="509" t="s">
        <v>21</v>
      </c>
      <c r="AQ84" s="110"/>
      <c r="AU84">
        <f>IFERROR(IF(J84&gt;0,Y85*F83,0),"-")</f>
        <v>0</v>
      </c>
      <c r="AV84">
        <f>IFERROR(IF(J84=0,Y85*F83,0),"-")</f>
        <v>13.670775000000001</v>
      </c>
      <c r="AX84" t="s">
        <v>156</v>
      </c>
      <c r="AY84" t="s">
        <v>246</v>
      </c>
      <c r="AZ84" t="s">
        <v>102</v>
      </c>
      <c r="BA84" t="s">
        <v>158</v>
      </c>
      <c r="BB84" t="s">
        <v>247</v>
      </c>
      <c r="BC84" t="s">
        <v>248</v>
      </c>
      <c r="BD84" t="s">
        <v>249</v>
      </c>
      <c r="BE84" t="s">
        <v>250</v>
      </c>
      <c r="BF84" t="s">
        <v>251</v>
      </c>
      <c r="BG84" t="s">
        <v>252</v>
      </c>
      <c r="BH84" t="s">
        <v>253</v>
      </c>
      <c r="BI84" t="s">
        <v>254</v>
      </c>
      <c r="BJ84" t="s">
        <v>255</v>
      </c>
      <c r="BK84" t="s">
        <v>256</v>
      </c>
      <c r="BL84" t="s">
        <v>257</v>
      </c>
      <c r="BM84" t="s">
        <v>258</v>
      </c>
      <c r="BQ84" t="s">
        <v>262</v>
      </c>
      <c r="BR84" t="s">
        <v>155</v>
      </c>
      <c r="BS84" s="898" t="s">
        <v>2337</v>
      </c>
      <c r="BT84" s="898" t="s">
        <v>2338</v>
      </c>
      <c r="BU84" s="898" t="s">
        <v>2339</v>
      </c>
      <c r="BZ84" t="s">
        <v>350</v>
      </c>
      <c r="CA84" s="112" t="s">
        <v>200</v>
      </c>
      <c r="CB84" t="s">
        <v>201</v>
      </c>
      <c r="CC84" t="s">
        <v>202</v>
      </c>
      <c r="CG84" s="122"/>
      <c r="CV84" s="388"/>
    </row>
    <row r="85" spans="1:100" customFormat="1" ht="30" customHeight="1" outlineLevel="1">
      <c r="A85" s="112"/>
      <c r="B85" s="418" t="s">
        <v>361</v>
      </c>
      <c r="C85" s="418" t="s">
        <v>362</v>
      </c>
      <c r="D85" s="54" t="s">
        <v>161</v>
      </c>
      <c r="E85" s="535">
        <v>0</v>
      </c>
      <c r="F85" s="418"/>
      <c r="G85" s="532" t="str">
        <f>G84</f>
        <v>喷塑</v>
      </c>
      <c r="H85" s="421"/>
      <c r="I85" s="533"/>
      <c r="J85" s="387"/>
      <c r="K85" s="54" t="s">
        <v>237</v>
      </c>
      <c r="L85" s="54"/>
      <c r="O85" s="250" t="s">
        <v>349</v>
      </c>
      <c r="P85" s="250"/>
      <c r="Q85" s="388" t="s">
        <v>350</v>
      </c>
      <c r="R85" s="422">
        <f>IF(AD85&gt;0,AD85,AG85)</f>
        <v>3.69</v>
      </c>
      <c r="S85" s="420">
        <v>1.01</v>
      </c>
      <c r="T85" s="519">
        <f>R85*S85/1.13</f>
        <v>3.2981415929203544</v>
      </c>
      <c r="U85" s="524">
        <f>AH85/Y85+0.25</f>
        <v>0.44018673045237011</v>
      </c>
      <c r="V85" s="524">
        <f>AI85*AC85*AF85/1000000/1.13/Y85</f>
        <v>0.5145528533083048</v>
      </c>
      <c r="W85" s="524"/>
      <c r="X85" s="519">
        <f>(T85+U85+V85+W85)*Y85</f>
        <v>58.140181668141601</v>
      </c>
      <c r="Y85" s="521">
        <f>AK85*AJ85*AC85*Z87*2/1000000</f>
        <v>13.670775000000001</v>
      </c>
      <c r="Z85" s="521">
        <f>Y85*AB85</f>
        <v>13.670775000000001</v>
      </c>
      <c r="AA85" s="513" t="str">
        <f>D84</f>
        <v>B11050.15</v>
      </c>
      <c r="AB85" s="460">
        <v>1</v>
      </c>
      <c r="AC85" s="536">
        <f>E84</f>
        <v>2700</v>
      </c>
      <c r="AD85" s="471">
        <f>J84</f>
        <v>0</v>
      </c>
      <c r="AE85" s="514" t="str">
        <f>G84</f>
        <v>喷塑</v>
      </c>
      <c r="AF85" s="515">
        <f>IF(AE85="预镀锌",0,IF(AE85="喷塑",VLOOKUP(AA85,常规材料表!$1:$1048576,12,0),IF(AE85="热镀锌",VLOOKUP(AA85,常规材料表!$1:$1048576,13,0),IF(AE85="冷镀锌",VLOOKUP(AA85,常规材料表!$1:$1048576,15,0),0))))</f>
        <v>9.1999999999999993</v>
      </c>
      <c r="AG85" s="515">
        <f>VLOOKUP(AA85,常规材料表!$1:$1048576,10,0)</f>
        <v>3.69</v>
      </c>
      <c r="AH85" s="515">
        <f>IF(AE85="预镀锌",VLOOKUP(AA85,常规材料表!$1:$1048576,11,0)+VLOOKUP(AA85,常规材料表!$1:$1048576,14,0),VLOOKUP(AA85,常规材料表!$1:$1048576,11,0))+IF(AC85&lt;8000,0,VLOOKUP(AA85,常规材料表!$1:$1048576,16,0))</f>
        <v>2.6</v>
      </c>
      <c r="AI85" s="515">
        <f>(VLOOKUP(AA85,常规材料表!$1:$1048576,8,0)+VLOOKUP(AA85,常规材料表!$1:$1048576,9,0))*2</f>
        <v>320</v>
      </c>
      <c r="AJ85" s="515">
        <f>VLOOKUP(AA85,常规材料表!$1:$1048576,6,0)</f>
        <v>1.5</v>
      </c>
      <c r="AK85" s="508">
        <f>VLOOKUP(AA85,常规材料表!$1:$1048576,7,0)</f>
        <v>215</v>
      </c>
      <c r="AL85" s="508" t="s">
        <v>363</v>
      </c>
      <c r="AM85" s="508" t="str">
        <f>VLOOKUP(AA87,常规材料表!$1:$1048576,17,0)</f>
        <v>S.Pin.ø7.L38</v>
      </c>
      <c r="AN85" s="508">
        <f>VLOOKUP(AA87,常规材料表!$1:$1048576,18,0)</f>
        <v>2</v>
      </c>
      <c r="AO85" s="521">
        <f>VLOOKUP(AM85,标准件价格!$C:$D,2,0)</f>
        <v>0.18</v>
      </c>
      <c r="AP85" s="508">
        <f>AN85*AO85</f>
        <v>0.36</v>
      </c>
      <c r="AQ85" s="110"/>
      <c r="BZ85" t="s">
        <v>350</v>
      </c>
      <c r="CA85" s="112" t="s">
        <v>200</v>
      </c>
      <c r="CB85" t="s">
        <v>201</v>
      </c>
      <c r="CC85" t="s">
        <v>202</v>
      </c>
      <c r="CG85" s="122"/>
      <c r="CV85" s="388"/>
    </row>
    <row r="86" spans="1:100" customFormat="1" ht="30" customHeight="1" outlineLevel="1">
      <c r="A86" s="112"/>
      <c r="B86" s="112" t="s">
        <v>8</v>
      </c>
      <c r="C86" s="418" t="s">
        <v>364</v>
      </c>
      <c r="D86" s="537">
        <f>IF(E86&gt;0,E87*(E84*E86+90)/1000,0)</f>
        <v>0</v>
      </c>
      <c r="E86" s="538">
        <v>0</v>
      </c>
      <c r="F86" s="539">
        <f>IF(D86&gt;0,F83,0)</f>
        <v>0</v>
      </c>
      <c r="G86" s="418"/>
      <c r="H86" s="421">
        <f>IFERROR(D86*(I86*1.02+J87+J86*1.13)/1.13*F86/F83,0)</f>
        <v>0</v>
      </c>
      <c r="I86" s="540">
        <f>4.24</f>
        <v>4.24</v>
      </c>
      <c r="J86" s="541">
        <f>IFERROR(((0.8*E86+0.4)*D83/1000+0.4)/D86,0)</f>
        <v>0</v>
      </c>
      <c r="K86" s="54" t="s">
        <v>237</v>
      </c>
      <c r="L86" s="54"/>
      <c r="O86" s="250" t="s">
        <v>349</v>
      </c>
      <c r="P86" s="250"/>
      <c r="Q86" t="s">
        <v>362</v>
      </c>
      <c r="R86" s="422">
        <f>AG87</f>
        <v>6.5514103730664202</v>
      </c>
      <c r="S86" s="420">
        <v>1.01</v>
      </c>
      <c r="T86" s="519">
        <f>R86*S86/1.13</f>
        <v>5.8556853776965356</v>
      </c>
      <c r="U86" s="422">
        <v>0.25</v>
      </c>
      <c r="V86" s="524">
        <f>AH87*AF87/Y86</f>
        <v>0.66969972702456781</v>
      </c>
      <c r="W86" s="524">
        <f>SUM(AP85)/1.13/Y86</f>
        <v>0.28988541473745238</v>
      </c>
      <c r="X86" s="519">
        <f>(T86+U86+V86+W86)*Y86</f>
        <v>7.7647323008849529</v>
      </c>
      <c r="Y86" s="521">
        <f>VLOOKUP(AA87,常规材料表!$1:$1048576,3,0)</f>
        <v>1.099</v>
      </c>
      <c r="Z86" s="521">
        <f>Y86*AB85</f>
        <v>1.099</v>
      </c>
      <c r="AA86" s="506" t="s">
        <v>365</v>
      </c>
      <c r="AE86" s="418" t="s">
        <v>334</v>
      </c>
      <c r="AF86" s="509" t="s">
        <v>226</v>
      </c>
      <c r="AG86" s="508" t="s">
        <v>366</v>
      </c>
      <c r="AH86" s="508" t="s">
        <v>336</v>
      </c>
      <c r="AQ86" s="110"/>
      <c r="BZ86" t="s">
        <v>350</v>
      </c>
      <c r="CA86" s="112" t="s">
        <v>200</v>
      </c>
      <c r="CB86" t="s">
        <v>201</v>
      </c>
      <c r="CC86" t="s">
        <v>202</v>
      </c>
      <c r="CG86" s="122"/>
      <c r="CV86" s="388"/>
    </row>
    <row r="87" spans="1:100" customFormat="1" ht="30" customHeight="1" outlineLevel="1">
      <c r="A87" s="112"/>
      <c r="B87" s="414">
        <v>0</v>
      </c>
      <c r="C87" s="465">
        <f>报价辅助计算!$E$13</f>
        <v>0</v>
      </c>
      <c r="D87" s="112"/>
      <c r="E87" s="542">
        <v>1.85</v>
      </c>
      <c r="F87" s="418"/>
      <c r="G87" s="418"/>
      <c r="H87" s="543" t="s">
        <v>367</v>
      </c>
      <c r="I87" s="421"/>
      <c r="J87" s="544">
        <v>0.95</v>
      </c>
      <c r="K87" s="54" t="s">
        <v>237</v>
      </c>
      <c r="L87" s="54"/>
      <c r="O87" s="250" t="s">
        <v>349</v>
      </c>
      <c r="P87" s="250"/>
      <c r="R87" s="420"/>
      <c r="S87" s="420"/>
      <c r="T87" s="420"/>
      <c r="U87" s="420"/>
      <c r="V87" s="422"/>
      <c r="W87" s="421"/>
      <c r="X87" s="520"/>
      <c r="Y87" s="509" t="s">
        <v>277</v>
      </c>
      <c r="Z87" s="458">
        <v>7.85</v>
      </c>
      <c r="AA87" s="513" t="str">
        <f>D85</f>
        <v>Bracket.DE75-3H+pin</v>
      </c>
      <c r="AE87" s="514" t="str">
        <f>G85</f>
        <v>喷塑</v>
      </c>
      <c r="AF87" s="515">
        <f>IF(AE87="预镀锌",0,IF(AE87="喷塑",VLOOKUP(AA87,常规材料表!$1:$1048576,12,0),IF(AE87="热镀锌",VLOOKUP(AA87,常规材料表!$1:$1048576,13,0),IF(AE87="冷镀锌",VLOOKUP(AA87,常规材料表!$1:$1048576,15,0),0))))</f>
        <v>9.1999999999999993</v>
      </c>
      <c r="AG87" s="515">
        <f>VLOOKUP(AA87,常规材料表!$1:$1048576,10,0)</f>
        <v>6.5514103730664202</v>
      </c>
      <c r="AH87" s="508">
        <f>VLOOKUP(AA87,常规材料表!$1:$1048576,4,0)</f>
        <v>0.08</v>
      </c>
      <c r="AQ87" s="110"/>
      <c r="BZ87" t="s">
        <v>350</v>
      </c>
      <c r="CA87" s="112" t="s">
        <v>200</v>
      </c>
      <c r="CB87" t="s">
        <v>201</v>
      </c>
      <c r="CC87" t="s">
        <v>202</v>
      </c>
      <c r="CG87" s="122"/>
      <c r="CV87" s="388"/>
    </row>
    <row r="88" spans="1:100" s="376" customFormat="1" ht="30" customHeight="1">
      <c r="A88" s="472"/>
      <c r="B88" s="473"/>
      <c r="C88" s="473"/>
      <c r="D88" s="473"/>
      <c r="E88" s="474"/>
      <c r="F88" s="473"/>
      <c r="G88" s="473"/>
      <c r="H88" s="421"/>
      <c r="I88" s="421"/>
      <c r="J88" s="422"/>
      <c r="K88" s="475"/>
      <c r="L88" s="475"/>
      <c r="R88" s="387"/>
      <c r="S88" s="387"/>
      <c r="T88" s="387"/>
      <c r="U88" s="387"/>
      <c r="V88" s="387"/>
      <c r="W88" s="387"/>
      <c r="X88" s="387"/>
      <c r="AQ88" s="476"/>
      <c r="BZ88" t="s">
        <v>350</v>
      </c>
      <c r="CA88" s="112" t="s">
        <v>200</v>
      </c>
      <c r="CB88" t="s">
        <v>201</v>
      </c>
      <c r="CC88" t="s">
        <v>202</v>
      </c>
      <c r="CD88"/>
      <c r="CE88"/>
      <c r="CF88"/>
      <c r="CG88" s="122"/>
    </row>
    <row r="89" spans="1:100" customFormat="1" ht="30" customHeight="1">
      <c r="A89" s="112" t="str">
        <f>IF($C$13=1,IF(K89="报价行",IF(F89&gt;0,1," ")," ")," ")</f>
        <v xml:space="preserve"> </v>
      </c>
      <c r="B89" s="414" t="str">
        <f>IF(A89=1,SUM($A$11:A89),"HS梁")</f>
        <v>HS梁</v>
      </c>
      <c r="C89" s="415" t="str">
        <f>B90&amp;IF(C93=1,CHAR(10)&amp;B91," ")</f>
        <v xml:space="preserve">HS Beam </v>
      </c>
      <c r="D89" s="530">
        <f>E90</f>
        <v>1000</v>
      </c>
      <c r="E89" s="415" t="str">
        <f>VLOOKUP(D90,常规材料表!$1:$1048576,28,0)&amp;VLOOKUP(D91,常规材料表!$1:$1048576,28,0)&amp;", "&amp;IF(E91&gt;0,E91&amp;" kg/level,"," ")&amp;IF(E92&gt;0,", with "&amp;E92&amp;" L steel","")&amp;IF(E92&gt;1,"s","")</f>
        <v>HS60*40*1.5 mm,pitch 75, 3 claws, H200, 1000 kg/level,</v>
      </c>
      <c r="F89" s="418"/>
      <c r="G89" s="429" t="str">
        <f>IFERROR(Y89+D92*F92/F89,"-")</f>
        <v>-</v>
      </c>
      <c r="H89" s="420">
        <f>IFERROR(X89+H92,"-")</f>
        <v>20.091384561946896</v>
      </c>
      <c r="I89" s="421" t="s">
        <v>341</v>
      </c>
      <c r="J89" s="422"/>
      <c r="K89" s="423" t="s">
        <v>217</v>
      </c>
      <c r="L89" s="54" cm="1">
        <f t="array" ref="L89">_xlfn._xlws.FILTER(下拉菜单!L:L,下拉菜单!M:M=D91,"无匹配")</f>
        <v>75</v>
      </c>
      <c r="O89" s="250" t="s">
        <v>368</v>
      </c>
      <c r="P89" s="250"/>
      <c r="R89" s="387" t="s">
        <v>219</v>
      </c>
      <c r="S89" s="426" t="s">
        <v>21</v>
      </c>
      <c r="T89" s="426">
        <f>(T91*Y91+T92*Y92)/Y89</f>
        <v>4.4849480047463022</v>
      </c>
      <c r="U89" s="426">
        <f>(U91*Y91+U92*Y92)/Y89</f>
        <v>0.63423456042088455</v>
      </c>
      <c r="V89" s="426">
        <f>(V91*Y91+V92*Y92)/Y89</f>
        <v>0.72496613099207463</v>
      </c>
      <c r="W89" s="426">
        <f>AP91/Y89/1.13</f>
        <v>9.41623156919799E-2</v>
      </c>
      <c r="X89" s="426">
        <f>SUM(T89:W89)*Y89</f>
        <v>20.091384561946896</v>
      </c>
      <c r="Y89" s="505">
        <f>SUM(Y91:Y92)</f>
        <v>3.3833500000000001</v>
      </c>
      <c r="Z89" s="505"/>
      <c r="AA89" t="s">
        <v>325</v>
      </c>
      <c r="AQ89" s="110"/>
      <c r="AX89" t="str">
        <f>VLOOKUP(D90,常规材料表!$1:$1048576,28,0)</f>
        <v>HS60*40*1.5 mm,</v>
      </c>
      <c r="AY89" s="494">
        <f>D89</f>
        <v>1000</v>
      </c>
      <c r="AZ89">
        <f>F89</f>
        <v>0</v>
      </c>
      <c r="BA89" s="256" t="str">
        <f>G89</f>
        <v>-</v>
      </c>
      <c r="BB89" t="e">
        <f>AZ89*BA89</f>
        <v>#VALUE!</v>
      </c>
      <c r="BC89" t="str">
        <f>VLOOKUP(D91,常规材料表!$1:$1048576,28,0)</f>
        <v>pitch 75, 3 claws, H200</v>
      </c>
      <c r="BE89" t="str">
        <f>"面宽"&amp;VLOOKUP(AA91,常规材料表!$1:$1048576,18,0)</f>
        <v>面宽60</v>
      </c>
      <c r="BR89" t="str">
        <f>I89</f>
        <v>Orange Ral2004</v>
      </c>
      <c r="BS89">
        <f>T89*Y89</f>
        <v>15.174148831858401</v>
      </c>
      <c r="BT89">
        <f>U89*Y89</f>
        <v>2.1458374999999998</v>
      </c>
      <c r="BU89">
        <f>(V89+W89)*Y89</f>
        <v>2.7713982300884958</v>
      </c>
      <c r="BZ89" t="s">
        <v>369</v>
      </c>
      <c r="CA89" s="112" t="s">
        <v>200</v>
      </c>
      <c r="CB89" t="s">
        <v>201</v>
      </c>
      <c r="CC89" t="s">
        <v>202</v>
      </c>
      <c r="CD89" t="s">
        <v>203</v>
      </c>
      <c r="CG89" s="122"/>
      <c r="CV89" s="388"/>
    </row>
    <row r="90" spans="1:100" customFormat="1" ht="30" customHeight="1" outlineLevel="1">
      <c r="A90" s="112"/>
      <c r="B90" s="545" t="s">
        <v>370</v>
      </c>
      <c r="C90" s="418" t="s">
        <v>166</v>
      </c>
      <c r="D90" s="54" t="s">
        <v>371</v>
      </c>
      <c r="E90" s="531">
        <v>1000</v>
      </c>
      <c r="F90" s="418"/>
      <c r="G90" s="532" t="s">
        <v>236</v>
      </c>
      <c r="H90" s="421"/>
      <c r="I90" s="421"/>
      <c r="J90" s="422"/>
      <c r="K90" s="54" t="s">
        <v>237</v>
      </c>
      <c r="L90" s="54"/>
      <c r="O90" s="250" t="s">
        <v>368</v>
      </c>
      <c r="P90" s="250"/>
      <c r="R90" s="421" t="s">
        <v>238</v>
      </c>
      <c r="S90" s="420" t="s">
        <v>239</v>
      </c>
      <c r="T90" s="421" t="s">
        <v>240</v>
      </c>
      <c r="U90" s="421" t="s">
        <v>241</v>
      </c>
      <c r="V90" s="421" t="s">
        <v>242</v>
      </c>
      <c r="W90" s="420" t="s">
        <v>207</v>
      </c>
      <c r="X90" s="421" t="s">
        <v>243</v>
      </c>
      <c r="Y90" s="414" t="s">
        <v>244</v>
      </c>
      <c r="Z90" s="414" t="s">
        <v>159</v>
      </c>
      <c r="AA90" s="506" t="s">
        <v>353</v>
      </c>
      <c r="AB90" s="507" t="s">
        <v>354</v>
      </c>
      <c r="AC90" s="507" t="s">
        <v>355</v>
      </c>
      <c r="AD90" s="508"/>
      <c r="AE90" s="418" t="s">
        <v>318</v>
      </c>
      <c r="AF90" s="509" t="s">
        <v>226</v>
      </c>
      <c r="AG90" s="509" t="s">
        <v>356</v>
      </c>
      <c r="AH90" s="509" t="s">
        <v>357</v>
      </c>
      <c r="AI90" s="507" t="s">
        <v>358</v>
      </c>
      <c r="AJ90" s="507" t="s">
        <v>359</v>
      </c>
      <c r="AK90" s="508" t="s">
        <v>360</v>
      </c>
      <c r="AL90" s="509" t="s">
        <v>231</v>
      </c>
      <c r="AM90" s="509" t="s">
        <v>232</v>
      </c>
      <c r="AN90" s="509" t="s">
        <v>102</v>
      </c>
      <c r="AO90" s="509" t="s">
        <v>74</v>
      </c>
      <c r="AP90" s="509" t="s">
        <v>21</v>
      </c>
      <c r="AQ90" s="110"/>
      <c r="AW90">
        <f>IFERROR(Y91*F89,"-")</f>
        <v>0</v>
      </c>
      <c r="AX90" t="s">
        <v>156</v>
      </c>
      <c r="AY90" t="s">
        <v>246</v>
      </c>
      <c r="AZ90" t="s">
        <v>102</v>
      </c>
      <c r="BA90" t="s">
        <v>158</v>
      </c>
      <c r="BB90" t="s">
        <v>247</v>
      </c>
      <c r="BC90" t="s">
        <v>248</v>
      </c>
      <c r="BD90" t="s">
        <v>249</v>
      </c>
      <c r="BE90" t="s">
        <v>250</v>
      </c>
      <c r="BF90" t="s">
        <v>251</v>
      </c>
      <c r="BG90" t="s">
        <v>252</v>
      </c>
      <c r="BH90" t="s">
        <v>253</v>
      </c>
      <c r="BI90" t="s">
        <v>254</v>
      </c>
      <c r="BJ90" t="s">
        <v>255</v>
      </c>
      <c r="BK90" t="s">
        <v>256</v>
      </c>
      <c r="BL90" t="s">
        <v>257</v>
      </c>
      <c r="BM90" t="s">
        <v>258</v>
      </c>
      <c r="BS90" s="898" t="s">
        <v>2337</v>
      </c>
      <c r="BT90" s="898" t="s">
        <v>2338</v>
      </c>
      <c r="BU90" s="898" t="s">
        <v>2339</v>
      </c>
      <c r="BZ90" t="s">
        <v>369</v>
      </c>
      <c r="CA90" s="112" t="s">
        <v>200</v>
      </c>
      <c r="CB90" t="s">
        <v>201</v>
      </c>
      <c r="CC90" t="s">
        <v>202</v>
      </c>
      <c r="CD90" t="s">
        <v>203</v>
      </c>
      <c r="CG90" s="122"/>
      <c r="CV90" s="388"/>
    </row>
    <row r="91" spans="1:100" customFormat="1" ht="30" customHeight="1" outlineLevel="1">
      <c r="A91" s="112"/>
      <c r="B91" s="418" t="s">
        <v>372</v>
      </c>
      <c r="C91" s="418" t="s">
        <v>362</v>
      </c>
      <c r="D91" s="54" t="s">
        <v>161</v>
      </c>
      <c r="E91" s="535">
        <v>1000</v>
      </c>
      <c r="F91" s="418"/>
      <c r="G91" s="532" t="str">
        <f>G90</f>
        <v>喷塑</v>
      </c>
      <c r="H91" s="421"/>
      <c r="I91" s="421"/>
      <c r="J91" s="422"/>
      <c r="K91" s="54" t="s">
        <v>237</v>
      </c>
      <c r="L91" s="54"/>
      <c r="O91" s="250" t="s">
        <v>368</v>
      </c>
      <c r="P91" s="250"/>
      <c r="Q91" s="388" t="s">
        <v>330</v>
      </c>
      <c r="R91" s="422">
        <f>AG91</f>
        <v>4.28</v>
      </c>
      <c r="S91" s="420">
        <v>1.01</v>
      </c>
      <c r="T91" s="519">
        <f>R91*S91/1.13</f>
        <v>3.8254867256637173</v>
      </c>
      <c r="U91" s="520">
        <f>AH91/Y91+0.25</f>
        <v>0.81908967540000444</v>
      </c>
      <c r="V91" s="520">
        <f>IF(AE91="喷塑",AI91*AC91*AF91/1000000/1.13/Y91,AF91/1.13)</f>
        <v>0.75155477894895073</v>
      </c>
      <c r="W91" s="520"/>
      <c r="X91" s="519">
        <f>(T91+U91+V91)*Y91</f>
        <v>12.326652261061946</v>
      </c>
      <c r="Y91" s="521">
        <f>AK91*AJ91*AC91*Z93/1000000</f>
        <v>2.2843499999999999</v>
      </c>
      <c r="Z91" s="508">
        <f>Y91*AB91</f>
        <v>2.2843499999999999</v>
      </c>
      <c r="AA91" s="513" t="str">
        <f>D90</f>
        <v>HS6040.15</v>
      </c>
      <c r="AB91" s="460">
        <v>1</v>
      </c>
      <c r="AC91" s="460">
        <f>E90</f>
        <v>1000</v>
      </c>
      <c r="AD91" s="508"/>
      <c r="AE91" s="514" t="str">
        <f>G90</f>
        <v>喷塑</v>
      </c>
      <c r="AF91" s="515">
        <f>IF(AE91="预镀锌",0,IF(AE91="喷塑",VLOOKUP(AA91,常规材料表!$1:$1048576,12,0),IF(AE91="热镀锌",VLOOKUP(AA91,常规材料表!$1:$1048576,13,0),IF(AE91="冷镀锌",VLOOKUP(AA91,常规材料表!$1:$1048576,15,0),0))))</f>
        <v>9.6999999999999993</v>
      </c>
      <c r="AG91" s="515">
        <f>VLOOKUP(AA91,常规材料表!$1:$1048576,10,0)</f>
        <v>4.28</v>
      </c>
      <c r="AH91" s="515">
        <f>IF(AE91="预镀锌",VLOOKUP(AA91,常规材料表!$1:$1048576,11,0)+VLOOKUP(AA91,常规材料表!$1:$1048576,14,0),VLOOKUP(AA91,常规材料表!$1:$1048576,11,0))+IF(AC91&lt;8000,0,VLOOKUP(AA91,常规材料表!$1:$1048576,16,0))+IF(AC91&gt;1200,VLOOKUP(AA91,常规材料表!$1:$1048576,16,0),0)</f>
        <v>1.3</v>
      </c>
      <c r="AI91" s="515">
        <f>2*IF(ISNUMBER(SEARCH("B",AA91)),AK91,(VLOOKUP(AA91,常规材料表!$1:$1048576,8,0)+VLOOKUP(AA91,常规材料表!$1:$1048576,9,0)))</f>
        <v>200</v>
      </c>
      <c r="AJ91" s="515">
        <f>VLOOKUP(AA91,常规材料表!$1:$1048576,6,0)</f>
        <v>1.5</v>
      </c>
      <c r="AK91" s="508">
        <f>VLOOKUP(AA91,常规材料表!$1:$1048576,7,0)</f>
        <v>194</v>
      </c>
      <c r="AL91" s="508" t="s">
        <v>363</v>
      </c>
      <c r="AM91" s="508" t="str">
        <f>VLOOKUP(AA93,常规材料表!$1:$1048576,17,0)</f>
        <v>S.Pin.ø7.L38</v>
      </c>
      <c r="AN91" s="508">
        <f>VLOOKUP(AA93,常规材料表!$1:$1048576,18,0)</f>
        <v>2</v>
      </c>
      <c r="AO91" s="508">
        <f>VLOOKUP(AM91,标准件价格!$C:$D,2,0)</f>
        <v>0.18</v>
      </c>
      <c r="AP91" s="508">
        <f>AN91*AO91</f>
        <v>0.36</v>
      </c>
      <c r="AQ91" s="110"/>
      <c r="BZ91" t="s">
        <v>369</v>
      </c>
      <c r="CA91" s="112" t="s">
        <v>200</v>
      </c>
      <c r="CB91" t="s">
        <v>201</v>
      </c>
      <c r="CC91" t="s">
        <v>202</v>
      </c>
      <c r="CD91" t="s">
        <v>203</v>
      </c>
      <c r="CG91" s="122"/>
      <c r="CV91" s="388"/>
    </row>
    <row r="92" spans="1:100" customFormat="1" ht="30" customHeight="1" outlineLevel="1">
      <c r="A92" s="112"/>
      <c r="B92" s="418"/>
      <c r="C92" s="418" t="s">
        <v>364</v>
      </c>
      <c r="D92" s="537">
        <f>IF(E92&gt;0,E93*(E90*E92+90)/1000,0)</f>
        <v>0</v>
      </c>
      <c r="E92" s="538">
        <v>0</v>
      </c>
      <c r="F92" s="539">
        <f>IF(D92&gt;0,F89,0)</f>
        <v>0</v>
      </c>
      <c r="G92" s="418"/>
      <c r="H92" s="421">
        <f>IFERROR(D92*(I92*1.02+J93+J92*1.13)/1.13*F92/F89,0)</f>
        <v>0</v>
      </c>
      <c r="I92" s="540">
        <f>4.24</f>
        <v>4.24</v>
      </c>
      <c r="J92" s="541">
        <f>IFERROR(((0.8*E92+0.4)*D89/1000+0.4)/D92,0)</f>
        <v>0</v>
      </c>
      <c r="K92" s="54" t="s">
        <v>237</v>
      </c>
      <c r="L92" s="54"/>
      <c r="O92" s="250" t="s">
        <v>368</v>
      </c>
      <c r="P92" s="250"/>
      <c r="Q92" t="s">
        <v>362</v>
      </c>
      <c r="R92" s="524">
        <f>IFERROR(AG93,0)</f>
        <v>6.5514103730664202</v>
      </c>
      <c r="S92" s="420">
        <v>1.01</v>
      </c>
      <c r="T92" s="519">
        <f>R92*S92/1.13</f>
        <v>5.8556853776965356</v>
      </c>
      <c r="U92" s="421">
        <v>0.25</v>
      </c>
      <c r="V92" s="520">
        <f>IFERROR(IF(AE93="喷塑",AH93*AF93/Y92,AF93/1.13),0)</f>
        <v>0.66969972702456781</v>
      </c>
      <c r="W92" s="520">
        <f>IFERROR(AP91/Y92/1.13,0)</f>
        <v>0.28988541473745244</v>
      </c>
      <c r="X92" s="519">
        <f>IFERROR((T92+U92+V92+W92)*Y92,0)</f>
        <v>7.7647323008849529</v>
      </c>
      <c r="Y92" s="521">
        <f>IFERROR(VLOOKUP(AA93,常规材料表!$1:$1048576,3,0),0)</f>
        <v>1.099</v>
      </c>
      <c r="Z92" s="508">
        <f>Y92*AB91</f>
        <v>1.099</v>
      </c>
      <c r="AA92" s="506" t="s">
        <v>365</v>
      </c>
      <c r="AE92" s="418" t="s">
        <v>334</v>
      </c>
      <c r="AF92" s="509" t="s">
        <v>226</v>
      </c>
      <c r="AG92" s="508" t="s">
        <v>366</v>
      </c>
      <c r="AH92" s="508" t="s">
        <v>336</v>
      </c>
      <c r="AQ92" s="110"/>
      <c r="BZ92" t="s">
        <v>369</v>
      </c>
      <c r="CA92" s="112" t="s">
        <v>200</v>
      </c>
      <c r="CB92" t="s">
        <v>201</v>
      </c>
      <c r="CC92" t="s">
        <v>202</v>
      </c>
      <c r="CD92" t="s">
        <v>203</v>
      </c>
      <c r="CG92" s="122"/>
      <c r="CV92" s="388"/>
    </row>
    <row r="93" spans="1:100" customFormat="1" ht="30" customHeight="1" outlineLevel="1">
      <c r="A93" s="112"/>
      <c r="B93" s="414">
        <v>0</v>
      </c>
      <c r="C93" s="465">
        <f>报价辅助计算!$E$13</f>
        <v>0</v>
      </c>
      <c r="D93" s="112"/>
      <c r="E93" s="542">
        <v>1.85</v>
      </c>
      <c r="F93" s="463"/>
      <c r="G93" s="418"/>
      <c r="H93" s="421"/>
      <c r="I93" s="421"/>
      <c r="J93" s="544">
        <v>0.95</v>
      </c>
      <c r="K93" s="54" t="s">
        <v>237</v>
      </c>
      <c r="L93" s="54"/>
      <c r="O93" s="250" t="s">
        <v>368</v>
      </c>
      <c r="P93" s="250"/>
      <c r="R93" s="421"/>
      <c r="S93" s="420"/>
      <c r="T93" s="421"/>
      <c r="U93" s="420"/>
      <c r="V93" s="546"/>
      <c r="W93" s="421"/>
      <c r="X93" s="520"/>
      <c r="Y93" s="509" t="s">
        <v>277</v>
      </c>
      <c r="Z93" s="458">
        <v>7.85</v>
      </c>
      <c r="AA93" s="513" t="str">
        <f>D91</f>
        <v>Bracket.DE75-3H+pin</v>
      </c>
      <c r="AE93" s="514" t="str">
        <f>G91</f>
        <v>喷塑</v>
      </c>
      <c r="AF93" s="515">
        <f>IF(AE93="预镀锌",0,IF(AE93="喷塑",VLOOKUP(AA93,常规材料表!$1:$1048576,12,0),IF(AE93="热镀锌",VLOOKUP(AA93,常规材料表!$1:$1048576,13,0),IF(AE93="冷镀锌",VLOOKUP(AA93,常规材料表!$1:$1048576,15,0),0))))</f>
        <v>9.1999999999999993</v>
      </c>
      <c r="AG93" s="515">
        <f>VLOOKUP(AA93,常规材料表!$1:$1048576,10,0)</f>
        <v>6.5514103730664202</v>
      </c>
      <c r="AH93" s="508">
        <f>VLOOKUP(AA93,常规材料表!$1:$1048576,4,0)</f>
        <v>0.08</v>
      </c>
      <c r="AQ93" s="110"/>
      <c r="BZ93" t="s">
        <v>369</v>
      </c>
      <c r="CA93" s="112" t="s">
        <v>200</v>
      </c>
      <c r="CB93" t="s">
        <v>201</v>
      </c>
      <c r="CC93" t="s">
        <v>202</v>
      </c>
      <c r="CD93" t="s">
        <v>203</v>
      </c>
      <c r="CG93" s="122"/>
      <c r="CV93" s="388"/>
    </row>
    <row r="94" spans="1:100" s="376" customFormat="1" ht="30" customHeight="1">
      <c r="A94" s="472"/>
      <c r="B94" s="473"/>
      <c r="C94" s="473"/>
      <c r="D94" s="473"/>
      <c r="E94" s="474"/>
      <c r="F94" s="473"/>
      <c r="G94" s="473"/>
      <c r="H94" s="421"/>
      <c r="I94" s="421"/>
      <c r="J94" s="422"/>
      <c r="K94" s="475"/>
      <c r="L94" s="475"/>
      <c r="R94" s="387"/>
      <c r="S94" s="387"/>
      <c r="T94" s="387"/>
      <c r="U94" s="387"/>
      <c r="V94" s="387"/>
      <c r="W94" s="387"/>
      <c r="X94" s="387"/>
      <c r="AQ94" s="476"/>
      <c r="BZ94" t="s">
        <v>369</v>
      </c>
      <c r="CA94" s="112" t="s">
        <v>200</v>
      </c>
      <c r="CB94" t="s">
        <v>201</v>
      </c>
      <c r="CC94" t="s">
        <v>202</v>
      </c>
      <c r="CD94" t="s">
        <v>203</v>
      </c>
      <c r="CE94"/>
      <c r="CF94"/>
      <c r="CG94" s="122"/>
    </row>
    <row r="95" spans="1:100" customFormat="1" ht="30" customHeight="1">
      <c r="A95" s="112" t="str">
        <f>IF($C$13=1,IF(K95="报价行",IF(F95&gt;0,1," ")," ")," ")</f>
        <v xml:space="preserve"> </v>
      </c>
      <c r="B95" s="414" t="str">
        <f>IF(A95=1,SUM($A$11:A95),"中型HS梁")</f>
        <v>中型HS梁</v>
      </c>
      <c r="C95" s="415" t="str">
        <f>B96&amp;IF(C99=1,CHAR(10)&amp;B97," ")</f>
        <v xml:space="preserve">HS Beam </v>
      </c>
      <c r="D95" s="530">
        <f>E96</f>
        <v>1000</v>
      </c>
      <c r="E95" s="415" t="str">
        <f>VLOOKUP(D96,常规材料表!$1:$1048576,28,0)&amp;VLOOKUP(D97,常规材料表!$1:$1048576,28,0)&amp;", "&amp;IF(E97&gt;0,E97&amp;" kg/level,"," ")&amp;IF(E98&gt;0,", with "&amp;E98&amp;" L steel","")&amp;IF(E98&gt;1,"s","")</f>
        <v>HS60*40*1.5 mm,with L55A，H145, 1000 kg/level,</v>
      </c>
      <c r="F95" s="418"/>
      <c r="G95" s="429" t="str">
        <f>IFERROR(Y95+D98*F98/F95,"-")</f>
        <v>-</v>
      </c>
      <c r="H95" s="420">
        <f>IFERROR(X95+H98,"-")</f>
        <v>16.597870400442478</v>
      </c>
      <c r="I95" s="421" t="s">
        <v>341</v>
      </c>
      <c r="J95" s="422"/>
      <c r="K95" s="423" t="s">
        <v>217</v>
      </c>
      <c r="L95" s="54" cm="1">
        <f t="array" ref="L95">_xlfn._xlws.FILTER(下拉菜单!L:L,下拉菜单!M:M=D97,"无匹配")</f>
        <v>50</v>
      </c>
      <c r="O95" s="250" t="s">
        <v>373</v>
      </c>
      <c r="P95" s="250"/>
      <c r="R95" s="387" t="s">
        <v>219</v>
      </c>
      <c r="S95" s="426" t="s">
        <v>21</v>
      </c>
      <c r="T95" s="426">
        <f>(T97*Y97+T98*Y98)/Y95</f>
        <v>4.5323861115608368</v>
      </c>
      <c r="U95" s="426">
        <f>(U97*Y97+U98*Y98)/Y95</f>
        <v>0.72848915209881904</v>
      </c>
      <c r="V95" s="426">
        <f>(V97*Y97+V98*Y98)/Y95</f>
        <v>0.7831344202246453</v>
      </c>
      <c r="W95" s="426">
        <f>AP97/Y95/1.13</f>
        <v>6.5144881157089066E-2</v>
      </c>
      <c r="X95" s="426">
        <f>SUM(T95:W95)*Y95</f>
        <v>16.597870400442478</v>
      </c>
      <c r="Y95" s="505">
        <f>SUM(Y97:Y98)</f>
        <v>2.716885</v>
      </c>
      <c r="Z95" s="505"/>
      <c r="AA95" t="s">
        <v>325</v>
      </c>
      <c r="AQ95" s="110"/>
      <c r="AX95" t="str">
        <f>VLOOKUP(D96,常规材料表!$1:$1048576,28,0)</f>
        <v>HS60*40*1.5 mm,</v>
      </c>
      <c r="AY95" s="494">
        <f>D95</f>
        <v>1000</v>
      </c>
      <c r="AZ95">
        <f>F95</f>
        <v>0</v>
      </c>
      <c r="BA95" s="256" t="str">
        <f>G95</f>
        <v>-</v>
      </c>
      <c r="BB95" t="e">
        <f>AZ95*BA95</f>
        <v>#VALUE!</v>
      </c>
      <c r="BC95" t="str">
        <f>VLOOKUP(D97,常规材料表!$1:$1048576,28,0)</f>
        <v>with L55A，H145</v>
      </c>
      <c r="BE95" t="str">
        <f>"面宽"&amp;VLOOKUP(AA97,常规材料表!$1:$1048576,18,0)</f>
        <v>面宽60</v>
      </c>
      <c r="BR95" t="str">
        <f>I95</f>
        <v>Orange Ral2004</v>
      </c>
      <c r="BS95">
        <f>T95*Y95</f>
        <v>12.313971840707964</v>
      </c>
      <c r="BT95">
        <f>U95*Y95</f>
        <v>1.9792212499999999</v>
      </c>
      <c r="BU95">
        <f>(V95+W95)*Y95</f>
        <v>2.3046773097345135</v>
      </c>
      <c r="BZ95" t="s">
        <v>369</v>
      </c>
      <c r="CA95" s="112" t="s">
        <v>200</v>
      </c>
      <c r="CB95" t="s">
        <v>201</v>
      </c>
      <c r="CC95" t="s">
        <v>202</v>
      </c>
      <c r="CD95" t="s">
        <v>203</v>
      </c>
      <c r="CG95" s="122"/>
      <c r="CV95" s="388"/>
    </row>
    <row r="96" spans="1:100" customFormat="1" ht="30" customHeight="1" outlineLevel="1">
      <c r="A96" s="112"/>
      <c r="B96" s="545" t="s">
        <v>370</v>
      </c>
      <c r="C96" s="418" t="s">
        <v>166</v>
      </c>
      <c r="D96" s="54" t="s">
        <v>371</v>
      </c>
      <c r="E96" s="531">
        <v>1000</v>
      </c>
      <c r="F96" s="418"/>
      <c r="G96" s="532" t="s">
        <v>236</v>
      </c>
      <c r="H96" s="421"/>
      <c r="I96" s="421"/>
      <c r="J96" s="422"/>
      <c r="K96" s="54" t="s">
        <v>237</v>
      </c>
      <c r="L96" s="54"/>
      <c r="O96" s="250" t="s">
        <v>373</v>
      </c>
      <c r="P96" s="250"/>
      <c r="R96" s="421" t="s">
        <v>238</v>
      </c>
      <c r="S96" s="420" t="s">
        <v>239</v>
      </c>
      <c r="T96" s="421" t="s">
        <v>240</v>
      </c>
      <c r="U96" s="421" t="s">
        <v>241</v>
      </c>
      <c r="V96" s="421" t="s">
        <v>242</v>
      </c>
      <c r="W96" s="420" t="s">
        <v>207</v>
      </c>
      <c r="X96" s="421" t="s">
        <v>243</v>
      </c>
      <c r="Y96" s="414" t="s">
        <v>244</v>
      </c>
      <c r="Z96" s="414" t="s">
        <v>159</v>
      </c>
      <c r="AA96" s="506" t="s">
        <v>353</v>
      </c>
      <c r="AB96" s="507" t="s">
        <v>354</v>
      </c>
      <c r="AC96" s="507" t="s">
        <v>355</v>
      </c>
      <c r="AD96" s="508"/>
      <c r="AE96" s="418" t="s">
        <v>318</v>
      </c>
      <c r="AF96" s="509" t="s">
        <v>226</v>
      </c>
      <c r="AG96" s="509" t="s">
        <v>356</v>
      </c>
      <c r="AH96" s="509" t="s">
        <v>357</v>
      </c>
      <c r="AI96" s="507" t="s">
        <v>358</v>
      </c>
      <c r="AJ96" s="507" t="s">
        <v>359</v>
      </c>
      <c r="AK96" s="508" t="s">
        <v>360</v>
      </c>
      <c r="AL96" s="509" t="s">
        <v>231</v>
      </c>
      <c r="AM96" s="509" t="s">
        <v>232</v>
      </c>
      <c r="AN96" s="509" t="s">
        <v>102</v>
      </c>
      <c r="AO96" s="509" t="s">
        <v>74</v>
      </c>
      <c r="AP96" s="509" t="s">
        <v>21</v>
      </c>
      <c r="AQ96" s="110"/>
      <c r="AW96">
        <f>IFERROR(Y97*F95,"-")</f>
        <v>0</v>
      </c>
      <c r="AX96" t="s">
        <v>156</v>
      </c>
      <c r="AY96" t="s">
        <v>246</v>
      </c>
      <c r="AZ96" t="s">
        <v>102</v>
      </c>
      <c r="BA96" t="s">
        <v>158</v>
      </c>
      <c r="BB96" t="s">
        <v>247</v>
      </c>
      <c r="BC96" t="s">
        <v>248</v>
      </c>
      <c r="BD96" t="s">
        <v>249</v>
      </c>
      <c r="BE96" t="s">
        <v>250</v>
      </c>
      <c r="BF96" t="s">
        <v>251</v>
      </c>
      <c r="BG96" t="s">
        <v>252</v>
      </c>
      <c r="BH96" t="s">
        <v>253</v>
      </c>
      <c r="BI96" t="s">
        <v>254</v>
      </c>
      <c r="BJ96" t="s">
        <v>255</v>
      </c>
      <c r="BK96" t="s">
        <v>256</v>
      </c>
      <c r="BL96" t="s">
        <v>257</v>
      </c>
      <c r="BM96" t="s">
        <v>258</v>
      </c>
      <c r="BS96" s="898" t="s">
        <v>2337</v>
      </c>
      <c r="BT96" s="898" t="s">
        <v>2338</v>
      </c>
      <c r="BU96" s="898" t="s">
        <v>2339</v>
      </c>
      <c r="BZ96" t="s">
        <v>369</v>
      </c>
      <c r="CA96" s="112" t="s">
        <v>200</v>
      </c>
      <c r="CB96" t="s">
        <v>201</v>
      </c>
      <c r="CC96" t="s">
        <v>202</v>
      </c>
      <c r="CD96" t="s">
        <v>203</v>
      </c>
      <c r="CG96" s="122"/>
      <c r="CV96" s="388"/>
    </row>
    <row r="97" spans="1:100" customFormat="1" ht="30" customHeight="1" outlineLevel="1">
      <c r="A97" s="112"/>
      <c r="B97" s="418" t="s">
        <v>372</v>
      </c>
      <c r="C97" s="418" t="s">
        <v>362</v>
      </c>
      <c r="D97" s="54" t="s">
        <v>374</v>
      </c>
      <c r="E97" s="535">
        <v>1000</v>
      </c>
      <c r="F97" s="418"/>
      <c r="G97" s="532" t="str">
        <f>G96</f>
        <v>喷塑</v>
      </c>
      <c r="H97" s="421"/>
      <c r="I97" s="421"/>
      <c r="J97" s="422"/>
      <c r="K97" s="54" t="s">
        <v>237</v>
      </c>
      <c r="L97" s="54"/>
      <c r="O97" s="250" t="s">
        <v>373</v>
      </c>
      <c r="P97" s="250"/>
      <c r="Q97" s="388" t="s">
        <v>330</v>
      </c>
      <c r="R97" s="422">
        <f>AG97</f>
        <v>4.28</v>
      </c>
      <c r="S97" s="420">
        <v>1.01</v>
      </c>
      <c r="T97" s="519">
        <f>R97*S97/1.13</f>
        <v>3.8254867256637173</v>
      </c>
      <c r="U97" s="520">
        <f>AH97/Y97+0.25</f>
        <v>0.81908967540000444</v>
      </c>
      <c r="V97" s="520">
        <f>IF(AE97="喷塑",AI97*AC97*AF97/1000000/1.13/Y97,AF97/1.13)</f>
        <v>0.75155477894895073</v>
      </c>
      <c r="W97" s="520"/>
      <c r="X97" s="519">
        <f>(T97+U97+V97)*Y97</f>
        <v>12.326652261061946</v>
      </c>
      <c r="Y97" s="521">
        <f>AK97*AJ97*AC97*Z99/1000000</f>
        <v>2.2843499999999999</v>
      </c>
      <c r="Z97" s="508">
        <f>Y97*AB97</f>
        <v>2.2843499999999999</v>
      </c>
      <c r="AA97" s="513" t="str">
        <f>D96</f>
        <v>HS6040.15</v>
      </c>
      <c r="AB97" s="460">
        <v>1</v>
      </c>
      <c r="AC97" s="460">
        <f>E96</f>
        <v>1000</v>
      </c>
      <c r="AD97" s="508"/>
      <c r="AE97" s="514" t="str">
        <f>G96</f>
        <v>喷塑</v>
      </c>
      <c r="AF97" s="515">
        <f>IF(AE97="预镀锌",0,IF(AE97="喷塑",VLOOKUP(AA97,常规材料表!$1:$1048576,12,0),IF(AE97="热镀锌",VLOOKUP(AA97,常规材料表!$1:$1048576,13,0),IF(AE97="冷镀锌",VLOOKUP(AA97,常规材料表!$1:$1048576,15,0),0))))</f>
        <v>9.6999999999999993</v>
      </c>
      <c r="AG97" s="515">
        <f>VLOOKUP(AA97,常规材料表!$1:$1048576,10,0)</f>
        <v>4.28</v>
      </c>
      <c r="AH97" s="515">
        <f>IF(AE97="预镀锌",VLOOKUP(AA97,常规材料表!$1:$1048576,11,0)+VLOOKUP(AA97,常规材料表!$1:$1048576,14,0),VLOOKUP(AA97,常规材料表!$1:$1048576,11,0))+IF(AC97&lt;8000,0,VLOOKUP(AA97,常规材料表!$1:$1048576,16,0))+IF(AC97&gt;1200,VLOOKUP(AA97,常规材料表!$1:$1048576,16,0),0)</f>
        <v>1.3</v>
      </c>
      <c r="AI97" s="515">
        <f>2*IF(ISNUMBER(SEARCH("B",AA97)),AK97,(VLOOKUP(AA97,常规材料表!$1:$1048576,8,0)+VLOOKUP(AA97,常规材料表!$1:$1048576,9,0)))</f>
        <v>200</v>
      </c>
      <c r="AJ97" s="515">
        <f>VLOOKUP(AA97,常规材料表!$1:$1048576,6,0)</f>
        <v>1.5</v>
      </c>
      <c r="AK97" s="508">
        <f>VLOOKUP(AA97,常规材料表!$1:$1048576,7,0)</f>
        <v>194</v>
      </c>
      <c r="AL97" s="508" t="s">
        <v>363</v>
      </c>
      <c r="AM97" s="508" t="str">
        <f>VLOOKUP(AA99,常规材料表!$1:$1048576,17,0)</f>
        <v>S.Pin.L55AB.ø6.L38</v>
      </c>
      <c r="AN97" s="508">
        <f>VLOOKUP(AA99,常规材料表!$1:$1048576,18,0)</f>
        <v>2</v>
      </c>
      <c r="AO97" s="508">
        <f>VLOOKUP(AM97,标准件价格!$C:$D,2,0)</f>
        <v>0.1</v>
      </c>
      <c r="AP97" s="508">
        <f>AN97*AO97</f>
        <v>0.2</v>
      </c>
      <c r="AQ97" s="110"/>
      <c r="BZ97" t="s">
        <v>369</v>
      </c>
      <c r="CA97" s="112" t="s">
        <v>200</v>
      </c>
      <c r="CB97" t="s">
        <v>201</v>
      </c>
      <c r="CC97" t="s">
        <v>202</v>
      </c>
      <c r="CD97" t="s">
        <v>203</v>
      </c>
      <c r="CG97" s="122"/>
      <c r="CV97" s="388"/>
    </row>
    <row r="98" spans="1:100" customFormat="1" ht="30" customHeight="1" outlineLevel="1">
      <c r="A98" s="112"/>
      <c r="B98" s="418"/>
      <c r="C98" s="418" t="s">
        <v>364</v>
      </c>
      <c r="D98" s="537">
        <f>IF(E98&gt;0,E99*(E96*E98+90)/1000,0)</f>
        <v>0</v>
      </c>
      <c r="E98" s="538">
        <v>0</v>
      </c>
      <c r="F98" s="539">
        <f>IF(D98&gt;0,F95,0)</f>
        <v>0</v>
      </c>
      <c r="G98" s="418"/>
      <c r="H98" s="421">
        <f>IFERROR(D98*(I98*1.02+J99+J98*1.13)/1.13*F98/F95,0)</f>
        <v>0</v>
      </c>
      <c r="I98" s="540">
        <f>4.24</f>
        <v>4.24</v>
      </c>
      <c r="J98" s="541">
        <f>IFERROR(((0.8*E98+0.4)*D95/1000+0.4)/D98,0)</f>
        <v>0</v>
      </c>
      <c r="K98" s="54" t="s">
        <v>237</v>
      </c>
      <c r="L98" s="54"/>
      <c r="O98" s="250" t="s">
        <v>373</v>
      </c>
      <c r="P98" s="250"/>
      <c r="Q98" t="s">
        <v>362</v>
      </c>
      <c r="R98" s="524">
        <f>IFERROR(AG99,0)</f>
        <v>9.2478065358872694</v>
      </c>
      <c r="S98" s="420">
        <v>1.01</v>
      </c>
      <c r="T98" s="519">
        <f>R98*S98/1.13</f>
        <v>8.2657385851735778</v>
      </c>
      <c r="U98" s="421">
        <v>0.25</v>
      </c>
      <c r="V98" s="520">
        <f>IFERROR(IF(AE99="喷塑",AH99*AF99/Y98,AF99/1.13),0)</f>
        <v>0.94991619175326847</v>
      </c>
      <c r="W98" s="520">
        <f>IFERROR(AP97/Y98/1.13,0)</f>
        <v>0.40919497946403854</v>
      </c>
      <c r="X98" s="519">
        <f>IFERROR((T98+U98+V98+W98)*Y98,0)</f>
        <v>4.2712181393805313</v>
      </c>
      <c r="Y98" s="521">
        <f>IFERROR(VLOOKUP(AA99,常规材料表!$1:$1048576,3,0),0)</f>
        <v>0.432535</v>
      </c>
      <c r="Z98" s="508">
        <f>Y98*AB97</f>
        <v>0.432535</v>
      </c>
      <c r="AA98" s="506" t="s">
        <v>365</v>
      </c>
      <c r="AE98" s="418" t="s">
        <v>334</v>
      </c>
      <c r="AF98" s="509" t="s">
        <v>226</v>
      </c>
      <c r="AG98" s="508" t="s">
        <v>366</v>
      </c>
      <c r="AH98" s="508" t="s">
        <v>336</v>
      </c>
      <c r="AQ98" s="110"/>
      <c r="BZ98" t="s">
        <v>369</v>
      </c>
      <c r="CA98" s="112" t="s">
        <v>200</v>
      </c>
      <c r="CB98" t="s">
        <v>201</v>
      </c>
      <c r="CC98" t="s">
        <v>202</v>
      </c>
      <c r="CD98" t="s">
        <v>203</v>
      </c>
      <c r="CG98" s="122"/>
      <c r="CV98" s="388"/>
    </row>
    <row r="99" spans="1:100" customFormat="1" ht="30" customHeight="1" outlineLevel="1">
      <c r="A99" s="112"/>
      <c r="B99" s="414">
        <v>0</v>
      </c>
      <c r="C99" s="465">
        <f>报价辅助计算!$E$13</f>
        <v>0</v>
      </c>
      <c r="D99" s="112"/>
      <c r="E99" s="542">
        <v>1.85</v>
      </c>
      <c r="F99" s="463"/>
      <c r="G99" s="418"/>
      <c r="H99" s="421"/>
      <c r="I99" s="421"/>
      <c r="J99" s="544">
        <v>0.95</v>
      </c>
      <c r="K99" s="54" t="s">
        <v>237</v>
      </c>
      <c r="L99" s="54"/>
      <c r="O99" s="250" t="s">
        <v>373</v>
      </c>
      <c r="P99" s="250"/>
      <c r="R99" s="421"/>
      <c r="S99" s="420"/>
      <c r="T99" s="421"/>
      <c r="U99" s="420"/>
      <c r="V99" s="546"/>
      <c r="W99" s="421"/>
      <c r="X99" s="520"/>
      <c r="Y99" s="509" t="s">
        <v>277</v>
      </c>
      <c r="Z99" s="458">
        <v>7.85</v>
      </c>
      <c r="AA99" s="513" t="str">
        <f>D97</f>
        <v>L55A-Brk+pin</v>
      </c>
      <c r="AE99" s="514" t="str">
        <f>G97</f>
        <v>喷塑</v>
      </c>
      <c r="AF99" s="515">
        <f>IF(AE99="预镀锌",0,IF(AE99="喷塑",VLOOKUP(AA99,常规材料表!$1:$1048576,12,0),IF(AE99="热镀锌",VLOOKUP(AA99,常规材料表!$1:$1048576,13,0),IF(AE99="冷镀锌",VLOOKUP(AA99,常规材料表!$1:$1048576,15,0),0))))</f>
        <v>9.1999999999999993</v>
      </c>
      <c r="AG99" s="515">
        <f>VLOOKUP(AA99,常规材料表!$1:$1048576,10,0)</f>
        <v>9.2478065358872694</v>
      </c>
      <c r="AH99" s="508">
        <f>VLOOKUP(AA99,常规材料表!$1:$1048576,4,0)</f>
        <v>4.4659999999999998E-2</v>
      </c>
      <c r="AQ99" s="110"/>
      <c r="BZ99" t="s">
        <v>369</v>
      </c>
      <c r="CA99" s="112" t="s">
        <v>200</v>
      </c>
      <c r="CB99" t="s">
        <v>201</v>
      </c>
      <c r="CC99" t="s">
        <v>202</v>
      </c>
      <c r="CD99" t="s">
        <v>203</v>
      </c>
      <c r="CG99" s="122"/>
      <c r="CV99" s="388"/>
    </row>
    <row r="100" spans="1:100" s="376" customFormat="1" ht="30" customHeight="1">
      <c r="A100" s="472"/>
      <c r="B100" s="473"/>
      <c r="C100" s="473"/>
      <c r="D100" s="473"/>
      <c r="E100" s="474"/>
      <c r="F100" s="473"/>
      <c r="G100" s="473"/>
      <c r="H100" s="421"/>
      <c r="I100" s="421"/>
      <c r="J100" s="422"/>
      <c r="K100" s="475"/>
      <c r="L100" s="475"/>
      <c r="R100" s="387"/>
      <c r="S100" s="387"/>
      <c r="T100" s="387"/>
      <c r="U100" s="387"/>
      <c r="V100" s="387"/>
      <c r="W100" s="387"/>
      <c r="X100" s="387"/>
      <c r="AQ100" s="476"/>
      <c r="BZ100" t="s">
        <v>369</v>
      </c>
      <c r="CA100" s="112" t="s">
        <v>200</v>
      </c>
      <c r="CB100" t="s">
        <v>201</v>
      </c>
      <c r="CC100" t="s">
        <v>202</v>
      </c>
      <c r="CD100" t="s">
        <v>203</v>
      </c>
      <c r="CE100"/>
      <c r="CF100"/>
      <c r="CG100" s="122"/>
    </row>
    <row r="101" spans="1:100" customFormat="1" ht="30" customHeight="1">
      <c r="A101" s="112" t="str">
        <f>IF($C$13=1,IF(K101="报价行",IF(F101&gt;0,1," ")," ")," ")</f>
        <v xml:space="preserve"> </v>
      </c>
      <c r="B101" s="414" t="str">
        <f>IF(A101=1,SUM($A$11:A101),"P梁")</f>
        <v>P梁</v>
      </c>
      <c r="C101" s="415" t="str">
        <f>B102&amp;IF(C105=1,CHAR(10)&amp;B103," ")</f>
        <v xml:space="preserve">Step Beam </v>
      </c>
      <c r="D101" s="530">
        <f>E102</f>
        <v>1000</v>
      </c>
      <c r="E101" s="415" t="str">
        <f>VLOOKUP(D102,常规材料表!$1:$1048576,28,0)&amp;VLOOKUP(D103,常规材料表!$1:$1048576,28,0)&amp;", "&amp;IF(E103&gt;0,E103&amp;" kg/level,"," ")&amp;IF(E104&gt;0,", with "&amp;E104&amp;" L steel","")&amp;IF(E104&gt;1,"s","")</f>
        <v>P50*30*1.5 mm,pitch 75, 3 claws, H200, 1000 kg/level,</v>
      </c>
      <c r="F101" s="418"/>
      <c r="G101" s="429" t="str">
        <f>IFERROR(Y101+D104*F104/F101,"-")</f>
        <v>-</v>
      </c>
      <c r="H101" s="420">
        <f>IFERROR(X101+H104,"-")</f>
        <v>18.577090938053097</v>
      </c>
      <c r="I101" s="421" t="s">
        <v>341</v>
      </c>
      <c r="J101" s="422"/>
      <c r="K101" s="423" t="s">
        <v>217</v>
      </c>
      <c r="L101" s="54" cm="1">
        <f t="array" ref="L101">_xlfn._xlws.FILTER(下拉菜单!L:L,下拉菜单!M:M=D103,"无匹配")</f>
        <v>75</v>
      </c>
      <c r="O101" s="250" t="s">
        <v>375</v>
      </c>
      <c r="P101" s="250"/>
      <c r="R101" s="387" t="s">
        <v>219</v>
      </c>
      <c r="S101" s="426" t="s">
        <v>21</v>
      </c>
      <c r="T101" s="426">
        <f>(T103*Y103+T104*Y104)/Y101</f>
        <v>4.6082950331598216</v>
      </c>
      <c r="U101" s="426">
        <f>(U103*Y103+U104*Y104)/Y101</f>
        <v>0.93673064707195219</v>
      </c>
      <c r="V101" s="426">
        <f>(V103*Y103+V104*Y104)/Y101</f>
        <v>0.72431243752764218</v>
      </c>
      <c r="W101" s="426">
        <f>AP103/Y101/1.13</f>
        <v>0.10939072254243487</v>
      </c>
      <c r="X101" s="426">
        <f>SUM(T101:W101)*Y101</f>
        <v>18.577090938053097</v>
      </c>
      <c r="Y101" s="505">
        <f>SUM(Y103:Y104)</f>
        <v>2.91235</v>
      </c>
      <c r="Z101" s="505"/>
      <c r="AA101" t="s">
        <v>325</v>
      </c>
      <c r="AQ101" s="110"/>
      <c r="AX101" t="str">
        <f>VLOOKUP(D102,常规材料表!$1:$1048576,28,0)</f>
        <v>P50*30*1.5 mm,</v>
      </c>
      <c r="AY101" s="494">
        <f>D101</f>
        <v>1000</v>
      </c>
      <c r="AZ101">
        <f>F101</f>
        <v>0</v>
      </c>
      <c r="BA101" s="256" t="str">
        <f>G101</f>
        <v>-</v>
      </c>
      <c r="BB101" t="e">
        <f>AZ101*BA101</f>
        <v>#VALUE!</v>
      </c>
      <c r="BC101" t="str">
        <f>VLOOKUP(D103,常规材料表!$1:$1048576,28,0)</f>
        <v>pitch 75, 3 claws, H200</v>
      </c>
      <c r="BE101" t="str">
        <f>"面宽"&amp;VLOOKUP(AA103,常规材料表!$1:$1048576,18,0)</f>
        <v>面宽50/60</v>
      </c>
      <c r="BR101" t="str">
        <f>I101</f>
        <v>Orange Ral2004</v>
      </c>
      <c r="BS101">
        <f>T101*Y101</f>
        <v>13.420968039823006</v>
      </c>
      <c r="BT101">
        <f>U101*Y101</f>
        <v>2.7280875</v>
      </c>
      <c r="BU101">
        <f>(V101+W101)*Y101</f>
        <v>2.4280353982300888</v>
      </c>
      <c r="BZ101" t="s">
        <v>369</v>
      </c>
      <c r="CA101" s="112" t="s">
        <v>200</v>
      </c>
      <c r="CB101" t="s">
        <v>201</v>
      </c>
      <c r="CC101" t="s">
        <v>202</v>
      </c>
      <c r="CD101" t="s">
        <v>203</v>
      </c>
      <c r="CG101" s="122"/>
      <c r="CV101" s="388"/>
    </row>
    <row r="102" spans="1:100" customFormat="1" ht="30" customHeight="1" outlineLevel="1">
      <c r="A102" s="112"/>
      <c r="B102" s="545" t="s">
        <v>376</v>
      </c>
      <c r="C102" s="418" t="s">
        <v>166</v>
      </c>
      <c r="D102" s="54" t="s">
        <v>377</v>
      </c>
      <c r="E102" s="531">
        <v>1000</v>
      </c>
      <c r="F102" s="418"/>
      <c r="G102" s="532" t="s">
        <v>236</v>
      </c>
      <c r="H102" s="421"/>
      <c r="I102" s="421"/>
      <c r="J102" s="422"/>
      <c r="K102" s="54" t="s">
        <v>237</v>
      </c>
      <c r="L102" s="54"/>
      <c r="O102" s="250" t="s">
        <v>375</v>
      </c>
      <c r="P102" s="250"/>
      <c r="R102" s="421" t="s">
        <v>238</v>
      </c>
      <c r="S102" s="420" t="s">
        <v>239</v>
      </c>
      <c r="T102" s="421" t="s">
        <v>240</v>
      </c>
      <c r="U102" s="421" t="s">
        <v>241</v>
      </c>
      <c r="V102" s="421" t="s">
        <v>242</v>
      </c>
      <c r="W102" s="420" t="s">
        <v>207</v>
      </c>
      <c r="X102" s="421" t="s">
        <v>243</v>
      </c>
      <c r="Y102" s="414" t="s">
        <v>244</v>
      </c>
      <c r="Z102" s="414" t="s">
        <v>159</v>
      </c>
      <c r="AA102" s="506" t="s">
        <v>353</v>
      </c>
      <c r="AB102" s="507" t="s">
        <v>354</v>
      </c>
      <c r="AC102" s="507" t="s">
        <v>355</v>
      </c>
      <c r="AD102" s="508"/>
      <c r="AE102" s="418" t="s">
        <v>318</v>
      </c>
      <c r="AF102" s="509" t="s">
        <v>226</v>
      </c>
      <c r="AG102" s="509" t="s">
        <v>356</v>
      </c>
      <c r="AH102" s="509" t="s">
        <v>357</v>
      </c>
      <c r="AI102" s="507" t="s">
        <v>358</v>
      </c>
      <c r="AJ102" s="507" t="s">
        <v>359</v>
      </c>
      <c r="AK102" s="508" t="s">
        <v>360</v>
      </c>
      <c r="AL102" s="509" t="s">
        <v>231</v>
      </c>
      <c r="AM102" s="509" t="s">
        <v>232</v>
      </c>
      <c r="AN102" s="509" t="s">
        <v>102</v>
      </c>
      <c r="AO102" s="509" t="s">
        <v>74</v>
      </c>
      <c r="AP102" s="509" t="s">
        <v>21</v>
      </c>
      <c r="AQ102" s="110"/>
      <c r="AW102">
        <f>IFERROR(Y103*F101,"-")</f>
        <v>0</v>
      </c>
      <c r="AX102" t="s">
        <v>156</v>
      </c>
      <c r="AY102" t="s">
        <v>246</v>
      </c>
      <c r="AZ102" t="s">
        <v>102</v>
      </c>
      <c r="BA102" t="s">
        <v>158</v>
      </c>
      <c r="BB102" t="s">
        <v>247</v>
      </c>
      <c r="BC102" t="s">
        <v>248</v>
      </c>
      <c r="BD102" t="s">
        <v>249</v>
      </c>
      <c r="BE102" t="s">
        <v>250</v>
      </c>
      <c r="BF102" t="s">
        <v>251</v>
      </c>
      <c r="BG102" t="s">
        <v>252</v>
      </c>
      <c r="BH102" t="s">
        <v>253</v>
      </c>
      <c r="BI102" t="s">
        <v>254</v>
      </c>
      <c r="BJ102" t="s">
        <v>255</v>
      </c>
      <c r="BK102" t="s">
        <v>256</v>
      </c>
      <c r="BL102" t="s">
        <v>257</v>
      </c>
      <c r="BM102" t="s">
        <v>258</v>
      </c>
      <c r="BS102" s="898" t="s">
        <v>2337</v>
      </c>
      <c r="BT102" s="898" t="s">
        <v>2338</v>
      </c>
      <c r="BU102" s="898" t="s">
        <v>2339</v>
      </c>
      <c r="BZ102" t="s">
        <v>369</v>
      </c>
      <c r="CA102" s="112" t="s">
        <v>200</v>
      </c>
      <c r="CB102" t="s">
        <v>201</v>
      </c>
      <c r="CC102" t="s">
        <v>202</v>
      </c>
      <c r="CD102" t="s">
        <v>203</v>
      </c>
      <c r="CG102" s="122"/>
      <c r="CV102" s="388"/>
    </row>
    <row r="103" spans="1:100" customFormat="1" ht="30" customHeight="1" outlineLevel="1">
      <c r="A103" s="112"/>
      <c r="B103" s="418" t="s">
        <v>375</v>
      </c>
      <c r="C103" s="418" t="s">
        <v>362</v>
      </c>
      <c r="D103" s="54" t="s">
        <v>161</v>
      </c>
      <c r="E103" s="535">
        <v>1000</v>
      </c>
      <c r="F103" s="418"/>
      <c r="G103" s="532" t="str">
        <f>G102</f>
        <v>喷塑</v>
      </c>
      <c r="H103" s="421"/>
      <c r="I103" s="421"/>
      <c r="J103" s="422"/>
      <c r="K103" s="54" t="s">
        <v>237</v>
      </c>
      <c r="L103" s="54"/>
      <c r="O103" s="250" t="s">
        <v>375</v>
      </c>
      <c r="P103" s="250"/>
      <c r="Q103" s="388" t="s">
        <v>330</v>
      </c>
      <c r="R103" s="422">
        <f>AG103</f>
        <v>4.3099999999999996</v>
      </c>
      <c r="S103" s="420">
        <v>1.01</v>
      </c>
      <c r="T103" s="519">
        <f>R103*S103/1.13</f>
        <v>3.8523008849557523</v>
      </c>
      <c r="U103" s="520">
        <f>AH103/Y103+0.25</f>
        <v>1.3529310392367717</v>
      </c>
      <c r="V103" s="520">
        <f>IF(AE103="喷塑",AI103*AC103*AF103/1000000/1.13/Y103,AF103/1.13)</f>
        <v>0.75741104995374775</v>
      </c>
      <c r="W103" s="520"/>
      <c r="X103" s="519">
        <f>(T103+U103+V103)*Y103</f>
        <v>10.812358637168142</v>
      </c>
      <c r="Y103" s="521">
        <f>AK103*AJ103*AC103*Z105/1000000</f>
        <v>1.81335</v>
      </c>
      <c r="Z103" s="508">
        <f>Y103*AB103</f>
        <v>1.81335</v>
      </c>
      <c r="AA103" s="513" t="str">
        <f>D102</f>
        <v>P5030/25.15</v>
      </c>
      <c r="AB103" s="460">
        <v>1</v>
      </c>
      <c r="AC103" s="460">
        <f>E102</f>
        <v>1000</v>
      </c>
      <c r="AD103" s="508"/>
      <c r="AE103" s="514" t="str">
        <f>G102</f>
        <v>喷塑</v>
      </c>
      <c r="AF103" s="515">
        <f>IF(AE103="预镀锌",0,IF(AE103="喷塑",VLOOKUP(AA103,常规材料表!$1:$1048576,12,0),IF(AE103="热镀锌",VLOOKUP(AA103,常规材料表!$1:$1048576,13,0),IF(AE103="冷镀锌",VLOOKUP(AA103,常规材料表!$1:$1048576,15,0),0))))</f>
        <v>9.6999999999999993</v>
      </c>
      <c r="AG103" s="515">
        <f>VLOOKUP(AA103,常规材料表!$1:$1048576,10,0)</f>
        <v>4.3099999999999996</v>
      </c>
      <c r="AH103" s="515">
        <f>IF(AE103="预镀锌",VLOOKUP(AA103,常规材料表!$1:$1048576,11,0)+VLOOKUP(AA103,常规材料表!$1:$1048576,14,0),VLOOKUP(AA103,常规材料表!$1:$1048576,11,0))+IF(AC103&lt;8000,0,VLOOKUP(AA103,常规材料表!$1:$1048576,16,0))+IF(AC103&gt;1200,VLOOKUP(AA103,常规材料表!$1:$1048576,16,0),0)</f>
        <v>2</v>
      </c>
      <c r="AI103" s="515">
        <f>2*IF(ISNUMBER(SEARCH("B",AA103)),AK103,(VLOOKUP(AA103,常规材料表!$1:$1048576,8,0)+VLOOKUP(AA103,常规材料表!$1:$1048576,9,0)))</f>
        <v>160</v>
      </c>
      <c r="AJ103" s="515">
        <f>VLOOKUP(AA103,常规材料表!$1:$1048576,6,0)</f>
        <v>1.5</v>
      </c>
      <c r="AK103" s="508">
        <f>VLOOKUP(AA103,常规材料表!$1:$1048576,7,0)</f>
        <v>154</v>
      </c>
      <c r="AL103" s="508" t="s">
        <v>363</v>
      </c>
      <c r="AM103" s="508" t="str">
        <f>VLOOKUP(AA105,常规材料表!$1:$1048576,17,0)</f>
        <v>S.Pin.ø7.L38</v>
      </c>
      <c r="AN103" s="508">
        <f>VLOOKUP(AA105,常规材料表!$1:$1048576,18,0)</f>
        <v>2</v>
      </c>
      <c r="AO103" s="508">
        <f>VLOOKUP(AM103,标准件价格!$C:$D,2,0)</f>
        <v>0.18</v>
      </c>
      <c r="AP103" s="508">
        <f>AN103*AO103</f>
        <v>0.36</v>
      </c>
      <c r="AQ103" s="110"/>
      <c r="BZ103" t="s">
        <v>369</v>
      </c>
      <c r="CA103" s="112" t="s">
        <v>200</v>
      </c>
      <c r="CB103" t="s">
        <v>201</v>
      </c>
      <c r="CC103" t="s">
        <v>202</v>
      </c>
      <c r="CD103" t="s">
        <v>203</v>
      </c>
      <c r="CG103" s="122"/>
      <c r="CV103" s="388"/>
    </row>
    <row r="104" spans="1:100" customFormat="1" ht="30" customHeight="1" outlineLevel="1">
      <c r="A104" s="112"/>
      <c r="B104" s="418"/>
      <c r="C104" s="418" t="s">
        <v>364</v>
      </c>
      <c r="D104" s="537">
        <f>IF(E104&gt;0,E105*(E102*E104+90)/1000,0)</f>
        <v>0</v>
      </c>
      <c r="E104" s="538">
        <v>0</v>
      </c>
      <c r="F104" s="539">
        <f>IF(D104&gt;0,F101,0)</f>
        <v>0</v>
      </c>
      <c r="G104" s="418"/>
      <c r="H104" s="421">
        <f>IFERROR(D104*(I104*1.02+J105+J104*1.13)/1.13*F104/F101,0)</f>
        <v>0</v>
      </c>
      <c r="I104" s="547">
        <f>4.24</f>
        <v>4.24</v>
      </c>
      <c r="J104" s="460">
        <f>IFERROR(((0.8*E104+0.4)*D101/1000+0.4)/D104,0)</f>
        <v>0</v>
      </c>
      <c r="K104" s="54" t="s">
        <v>237</v>
      </c>
      <c r="L104" s="54"/>
      <c r="O104" s="250" t="s">
        <v>375</v>
      </c>
      <c r="P104" s="250"/>
      <c r="Q104" t="s">
        <v>362</v>
      </c>
      <c r="R104" s="524">
        <f>IFERROR(AG105,0)</f>
        <v>6.5514103730664202</v>
      </c>
      <c r="S104" s="420">
        <v>1.01</v>
      </c>
      <c r="T104" s="519">
        <f>R104*S104/1.13</f>
        <v>5.8556853776965356</v>
      </c>
      <c r="U104" s="421">
        <v>0.25</v>
      </c>
      <c r="V104" s="520">
        <f>IFERROR(IF(AE105="喷塑",AH105*AF105/Y104,AF105/1.13),0)</f>
        <v>0.66969972702456781</v>
      </c>
      <c r="W104" s="520">
        <f>IFERROR(AP103/Y104/1.13,0)</f>
        <v>0.28988541473745244</v>
      </c>
      <c r="X104" s="519">
        <f>IFERROR((T104+U104+V104+W104)*Y104,0)</f>
        <v>7.7647323008849529</v>
      </c>
      <c r="Y104" s="521">
        <f>IFERROR(VLOOKUP(AA105,常规材料表!$1:$1048576,3,0),0)</f>
        <v>1.099</v>
      </c>
      <c r="Z104" s="508">
        <f>Y104*AB103</f>
        <v>1.099</v>
      </c>
      <c r="AA104" s="506" t="s">
        <v>365</v>
      </c>
      <c r="AE104" s="418" t="s">
        <v>334</v>
      </c>
      <c r="AF104" s="509" t="s">
        <v>226</v>
      </c>
      <c r="AG104" s="508" t="s">
        <v>366</v>
      </c>
      <c r="AH104" s="508" t="s">
        <v>336</v>
      </c>
      <c r="AQ104" s="110"/>
      <c r="BZ104" t="s">
        <v>369</v>
      </c>
      <c r="CA104" s="112" t="s">
        <v>200</v>
      </c>
      <c r="CB104" t="s">
        <v>201</v>
      </c>
      <c r="CC104" t="s">
        <v>202</v>
      </c>
      <c r="CD104" t="s">
        <v>203</v>
      </c>
      <c r="CG104" s="122"/>
      <c r="CV104" s="388"/>
    </row>
    <row r="105" spans="1:100" customFormat="1" ht="30" customHeight="1" outlineLevel="1">
      <c r="A105" s="112"/>
      <c r="B105" s="414">
        <v>0</v>
      </c>
      <c r="C105" s="465">
        <f>报价辅助计算!$E$13</f>
        <v>0</v>
      </c>
      <c r="D105" s="112"/>
      <c r="E105" s="542">
        <v>1.85</v>
      </c>
      <c r="F105" s="463"/>
      <c r="G105" s="418"/>
      <c r="H105" s="382"/>
      <c r="I105" s="421"/>
      <c r="J105" s="460">
        <v>0.95</v>
      </c>
      <c r="K105" s="54" t="s">
        <v>237</v>
      </c>
      <c r="L105" s="54"/>
      <c r="O105" s="250" t="s">
        <v>375</v>
      </c>
      <c r="P105" s="250"/>
      <c r="R105" s="421"/>
      <c r="S105" s="420"/>
      <c r="T105" s="421"/>
      <c r="U105" s="420"/>
      <c r="V105" s="546"/>
      <c r="W105" s="421"/>
      <c r="X105" s="520"/>
      <c r="Y105" s="509" t="s">
        <v>277</v>
      </c>
      <c r="Z105" s="458">
        <v>7.85</v>
      </c>
      <c r="AA105" s="513" t="str">
        <f>D103</f>
        <v>Bracket.DE75-3H+pin</v>
      </c>
      <c r="AE105" s="514" t="str">
        <f>G103</f>
        <v>喷塑</v>
      </c>
      <c r="AF105" s="515">
        <f>IF(AE105="预镀锌",0,IF(AE105="喷塑",VLOOKUP(AA105,常规材料表!$1:$1048576,12,0),IF(AE105="热镀锌",VLOOKUP(AA105,常规材料表!$1:$1048576,13,0),IF(AE105="冷镀锌",VLOOKUP(AA105,常规材料表!$1:$1048576,15,0),0))))</f>
        <v>9.1999999999999993</v>
      </c>
      <c r="AG105" s="515">
        <f>VLOOKUP(AA105,常规材料表!$1:$1048576,10,0)</f>
        <v>6.5514103730664202</v>
      </c>
      <c r="AH105" s="508">
        <f>VLOOKUP(AA105,常规材料表!$1:$1048576,4,0)</f>
        <v>0.08</v>
      </c>
      <c r="AQ105" s="110"/>
      <c r="BZ105" t="s">
        <v>369</v>
      </c>
      <c r="CA105" s="112" t="s">
        <v>200</v>
      </c>
      <c r="CB105" t="s">
        <v>201</v>
      </c>
      <c r="CC105" t="s">
        <v>202</v>
      </c>
      <c r="CD105" t="s">
        <v>203</v>
      </c>
      <c r="CG105" s="122"/>
      <c r="CV105" s="388"/>
    </row>
    <row r="106" spans="1:100" s="376" customFormat="1" ht="30" customHeight="1">
      <c r="A106" s="472"/>
      <c r="B106" s="473"/>
      <c r="C106" s="473"/>
      <c r="D106" s="473"/>
      <c r="E106" s="474"/>
      <c r="F106" s="473"/>
      <c r="G106" s="473"/>
      <c r="H106" s="421"/>
      <c r="I106" s="421"/>
      <c r="J106" s="422"/>
      <c r="K106" s="475"/>
      <c r="L106" s="475"/>
      <c r="R106" s="387"/>
      <c r="S106" s="387"/>
      <c r="T106" s="387"/>
      <c r="U106" s="387"/>
      <c r="V106" s="387"/>
      <c r="W106" s="387"/>
      <c r="X106" s="387"/>
      <c r="AQ106" s="476"/>
      <c r="BZ106" t="s">
        <v>369</v>
      </c>
      <c r="CA106" s="112" t="s">
        <v>200</v>
      </c>
      <c r="CB106" t="s">
        <v>201</v>
      </c>
      <c r="CC106" t="s">
        <v>202</v>
      </c>
      <c r="CD106" t="s">
        <v>203</v>
      </c>
      <c r="CE106"/>
      <c r="CF106"/>
      <c r="CG106" s="122"/>
    </row>
    <row r="107" spans="1:100" customFormat="1" ht="30" customHeight="1">
      <c r="A107" s="112" t="str">
        <f>IF($C$13=1,IF(K107="报价行",IF(F107&gt;0,1," ")," ")," ")</f>
        <v xml:space="preserve"> </v>
      </c>
      <c r="B107" s="414" t="str">
        <f>IF(A107=1,SUM($A$11:A107),"中型P梁")</f>
        <v>中型P梁</v>
      </c>
      <c r="C107" s="415" t="str">
        <f>B108&amp;IF(C111=1,CHAR(10)&amp;B109," ")</f>
        <v xml:space="preserve">Step Beam </v>
      </c>
      <c r="D107" s="530">
        <f>E108</f>
        <v>1000</v>
      </c>
      <c r="E107" s="415" t="str">
        <f>VLOOKUP(D108,常规材料表!$1:$1048576,28,0)&amp;VLOOKUP(D109,常规材料表!$1:$1048576,28,0)&amp;", "&amp;IF(E109&gt;0,E109&amp;" kg/level,"," ")</f>
        <v>P50*30*1.5 mm,with L55A，H145, 1000 kg/level,</v>
      </c>
      <c r="F107" s="418"/>
      <c r="G107" s="429" t="str">
        <f>IFERROR(Y107+D110*F110/F107,"-")</f>
        <v>-</v>
      </c>
      <c r="H107" s="420">
        <f>IFERROR(X107+H110,"-")</f>
        <v>15.083576776548673</v>
      </c>
      <c r="I107" s="421" t="s">
        <v>341</v>
      </c>
      <c r="J107" s="422"/>
      <c r="K107" s="423" t="s">
        <v>217</v>
      </c>
      <c r="L107" s="54" cm="1">
        <f t="array" ref="L107">_xlfn._xlws.FILTER(下拉菜单!L:L,下拉菜单!M:M=D109,"无匹配")</f>
        <v>50</v>
      </c>
      <c r="O107" s="250" t="s">
        <v>378</v>
      </c>
      <c r="P107" s="250"/>
      <c r="R107" s="387" t="s">
        <v>219</v>
      </c>
      <c r="S107" s="426" t="s">
        <v>21</v>
      </c>
      <c r="T107" s="426">
        <f>(T109*Y109+T110*Y110)/Y107</f>
        <v>4.7022848670669095</v>
      </c>
      <c r="U107" s="426">
        <f>(U109*Y109+U110*Y110)/Y107</f>
        <v>1.1405175465351076</v>
      </c>
      <c r="V107" s="426">
        <f>(V109*Y109+V110*Y110)/Y107</f>
        <v>0.79448561588577704</v>
      </c>
      <c r="W107" s="426">
        <f>AP109/Y107/1.13</f>
        <v>7.8806862525230767E-2</v>
      </c>
      <c r="X107" s="426">
        <f>SUM(T107:W107)*Y107</f>
        <v>15.083576776548673</v>
      </c>
      <c r="Y107" s="505">
        <f>SUM(Y109:Y110)</f>
        <v>2.2458849999999999</v>
      </c>
      <c r="Z107" s="505"/>
      <c r="AA107" t="s">
        <v>325</v>
      </c>
      <c r="AQ107" s="110"/>
      <c r="AX107" t="str">
        <f>VLOOKUP(D108,常规材料表!$1:$1048576,28,0)</f>
        <v>P50*30*1.5 mm,</v>
      </c>
      <c r="AY107" s="494">
        <f>D107</f>
        <v>1000</v>
      </c>
      <c r="AZ107">
        <f>F107</f>
        <v>0</v>
      </c>
      <c r="BA107" s="256" t="str">
        <f>G107</f>
        <v>-</v>
      </c>
      <c r="BB107" t="e">
        <f>AZ107*BA107</f>
        <v>#VALUE!</v>
      </c>
      <c r="BC107" t="str">
        <f>VLOOKUP(D109,常规材料表!$1:$1048576,28,0)</f>
        <v>with L55A，H145</v>
      </c>
      <c r="BE107" t="str">
        <f>"面宽"&amp;VLOOKUP(AA109,常规材料表!$1:$1048576,18,0)</f>
        <v>面宽50/60</v>
      </c>
      <c r="BR107" t="str">
        <f>I107</f>
        <v>Orange Ral2004</v>
      </c>
      <c r="BS107">
        <f>T107*Y107</f>
        <v>10.560791048672566</v>
      </c>
      <c r="BT107">
        <f>U107*Y107</f>
        <v>2.5614712499999999</v>
      </c>
      <c r="BU107">
        <f>(V107+W107)*Y107</f>
        <v>1.961314477876106</v>
      </c>
      <c r="BZ107" t="s">
        <v>369</v>
      </c>
      <c r="CA107" s="112" t="s">
        <v>200</v>
      </c>
      <c r="CB107" t="s">
        <v>201</v>
      </c>
      <c r="CC107" t="s">
        <v>202</v>
      </c>
      <c r="CD107" t="s">
        <v>203</v>
      </c>
      <c r="CG107" s="122"/>
      <c r="CV107" s="388"/>
    </row>
    <row r="108" spans="1:100" customFormat="1" ht="30" customHeight="1" outlineLevel="1">
      <c r="A108" s="112"/>
      <c r="B108" s="545" t="s">
        <v>376</v>
      </c>
      <c r="C108" s="418" t="s">
        <v>166</v>
      </c>
      <c r="D108" s="54" t="s">
        <v>377</v>
      </c>
      <c r="E108" s="531">
        <v>1000</v>
      </c>
      <c r="F108" s="418"/>
      <c r="G108" s="532" t="s">
        <v>236</v>
      </c>
      <c r="H108" s="421"/>
      <c r="I108" s="421"/>
      <c r="J108" s="422"/>
      <c r="K108" s="54" t="s">
        <v>237</v>
      </c>
      <c r="L108" s="54"/>
      <c r="O108" s="250" t="s">
        <v>378</v>
      </c>
      <c r="P108" s="250"/>
      <c r="R108" s="421" t="s">
        <v>238</v>
      </c>
      <c r="S108" s="420" t="s">
        <v>239</v>
      </c>
      <c r="T108" s="421" t="s">
        <v>240</v>
      </c>
      <c r="U108" s="421" t="s">
        <v>241</v>
      </c>
      <c r="V108" s="421" t="s">
        <v>242</v>
      </c>
      <c r="W108" s="420" t="s">
        <v>207</v>
      </c>
      <c r="X108" s="421" t="s">
        <v>243</v>
      </c>
      <c r="Y108" s="414" t="s">
        <v>244</v>
      </c>
      <c r="Z108" s="414" t="s">
        <v>159</v>
      </c>
      <c r="AA108" s="506" t="s">
        <v>353</v>
      </c>
      <c r="AB108" s="507" t="s">
        <v>354</v>
      </c>
      <c r="AC108" s="507" t="s">
        <v>355</v>
      </c>
      <c r="AD108" s="508"/>
      <c r="AE108" s="418" t="s">
        <v>318</v>
      </c>
      <c r="AF108" s="509" t="s">
        <v>226</v>
      </c>
      <c r="AG108" s="509" t="s">
        <v>356</v>
      </c>
      <c r="AH108" s="509" t="s">
        <v>357</v>
      </c>
      <c r="AI108" s="507" t="s">
        <v>358</v>
      </c>
      <c r="AJ108" s="507" t="s">
        <v>359</v>
      </c>
      <c r="AK108" s="508" t="s">
        <v>360</v>
      </c>
      <c r="AL108" s="509" t="s">
        <v>231</v>
      </c>
      <c r="AM108" s="509" t="s">
        <v>232</v>
      </c>
      <c r="AN108" s="509" t="s">
        <v>102</v>
      </c>
      <c r="AO108" s="509" t="s">
        <v>74</v>
      </c>
      <c r="AP108" s="509" t="s">
        <v>21</v>
      </c>
      <c r="AQ108" s="110"/>
      <c r="AW108">
        <f>IFERROR(Y109*F107,"-")</f>
        <v>0</v>
      </c>
      <c r="AX108" t="s">
        <v>156</v>
      </c>
      <c r="AY108" t="s">
        <v>246</v>
      </c>
      <c r="AZ108" t="s">
        <v>102</v>
      </c>
      <c r="BA108" t="s">
        <v>158</v>
      </c>
      <c r="BB108" t="s">
        <v>247</v>
      </c>
      <c r="BC108" t="s">
        <v>248</v>
      </c>
      <c r="BD108" t="s">
        <v>249</v>
      </c>
      <c r="BE108" t="s">
        <v>250</v>
      </c>
      <c r="BF108" t="s">
        <v>251</v>
      </c>
      <c r="BG108" t="s">
        <v>252</v>
      </c>
      <c r="BH108" t="s">
        <v>253</v>
      </c>
      <c r="BI108" t="s">
        <v>254</v>
      </c>
      <c r="BJ108" t="s">
        <v>255</v>
      </c>
      <c r="BK108" t="s">
        <v>256</v>
      </c>
      <c r="BL108" t="s">
        <v>257</v>
      </c>
      <c r="BM108" t="s">
        <v>258</v>
      </c>
      <c r="BS108" s="898" t="s">
        <v>2337</v>
      </c>
      <c r="BT108" s="898" t="s">
        <v>2338</v>
      </c>
      <c r="BU108" s="898" t="s">
        <v>2339</v>
      </c>
      <c r="BZ108" t="s">
        <v>369</v>
      </c>
      <c r="CA108" s="112" t="s">
        <v>200</v>
      </c>
      <c r="CB108" t="s">
        <v>201</v>
      </c>
      <c r="CC108" t="s">
        <v>202</v>
      </c>
      <c r="CD108" t="s">
        <v>203</v>
      </c>
      <c r="CG108" s="122"/>
      <c r="CV108" s="388"/>
    </row>
    <row r="109" spans="1:100" customFormat="1" ht="30" customHeight="1" outlineLevel="1">
      <c r="A109" s="112"/>
      <c r="B109" s="418" t="s">
        <v>375</v>
      </c>
      <c r="C109" s="418" t="s">
        <v>362</v>
      </c>
      <c r="D109" s="54" t="s">
        <v>374</v>
      </c>
      <c r="E109" s="535">
        <v>1000</v>
      </c>
      <c r="F109" s="418"/>
      <c r="G109" s="532" t="str">
        <f>G108</f>
        <v>喷塑</v>
      </c>
      <c r="H109" s="421"/>
      <c r="I109" s="421"/>
      <c r="J109" s="422"/>
      <c r="K109" s="54" t="s">
        <v>237</v>
      </c>
      <c r="L109" s="54"/>
      <c r="O109" s="250" t="s">
        <v>378</v>
      </c>
      <c r="P109" s="250"/>
      <c r="Q109" s="388" t="s">
        <v>330</v>
      </c>
      <c r="R109" s="422">
        <f>AG109</f>
        <v>4.3099999999999996</v>
      </c>
      <c r="S109" s="420">
        <v>1.01</v>
      </c>
      <c r="T109" s="519">
        <f>R109*S109/1.13</f>
        <v>3.8523008849557523</v>
      </c>
      <c r="U109" s="520">
        <f>AH109/Y109+0.25</f>
        <v>1.3529310392367717</v>
      </c>
      <c r="V109" s="520">
        <f>IF(AE109="喷塑",AI109*AC109*AF109/1000000/1.13/Y109,AF109/1.13)</f>
        <v>0.75741104995374775</v>
      </c>
      <c r="W109" s="520"/>
      <c r="X109" s="519">
        <f>(T109+U109+V109)*Y109</f>
        <v>10.812358637168142</v>
      </c>
      <c r="Y109" s="521">
        <f>AK109*AJ109*AC109*Z111/1000000</f>
        <v>1.81335</v>
      </c>
      <c r="Z109" s="508">
        <f>Y109*AB109</f>
        <v>1.81335</v>
      </c>
      <c r="AA109" s="513" t="str">
        <f>D108</f>
        <v>P5030/25.15</v>
      </c>
      <c r="AB109" s="460">
        <v>1</v>
      </c>
      <c r="AC109" s="460">
        <f>E108</f>
        <v>1000</v>
      </c>
      <c r="AD109" s="508"/>
      <c r="AE109" s="514" t="str">
        <f>G108</f>
        <v>喷塑</v>
      </c>
      <c r="AF109" s="515">
        <f>IF(AE109="预镀锌",0,IF(AE109="喷塑",VLOOKUP(AA109,常规材料表!$1:$1048576,12,0),IF(AE109="热镀锌",VLOOKUP(AA109,常规材料表!$1:$1048576,13,0),IF(AE109="冷镀锌",VLOOKUP(AA109,常规材料表!$1:$1048576,15,0),0))))</f>
        <v>9.6999999999999993</v>
      </c>
      <c r="AG109" s="515">
        <f>VLOOKUP(AA109,常规材料表!$1:$1048576,10,0)</f>
        <v>4.3099999999999996</v>
      </c>
      <c r="AH109" s="515">
        <f>IF(AE109="预镀锌",VLOOKUP(AA109,常规材料表!$1:$1048576,11,0)+VLOOKUP(AA109,常规材料表!$1:$1048576,14,0),VLOOKUP(AA109,常规材料表!$1:$1048576,11,0))+IF(AC109&lt;8000,0,VLOOKUP(AA109,常规材料表!$1:$1048576,16,0))+IF(AC109&gt;1200,VLOOKUP(AA109,常规材料表!$1:$1048576,16,0),0)</f>
        <v>2</v>
      </c>
      <c r="AI109" s="515">
        <f>2*IF(ISNUMBER(SEARCH("B",AA109)),AK109,(VLOOKUP(AA109,常规材料表!$1:$1048576,8,0)+VLOOKUP(AA109,常规材料表!$1:$1048576,9,0)))</f>
        <v>160</v>
      </c>
      <c r="AJ109" s="515">
        <f>VLOOKUP(AA109,常规材料表!$1:$1048576,6,0)</f>
        <v>1.5</v>
      </c>
      <c r="AK109" s="508">
        <f>VLOOKUP(AA109,常规材料表!$1:$1048576,7,0)</f>
        <v>154</v>
      </c>
      <c r="AL109" s="508" t="s">
        <v>363</v>
      </c>
      <c r="AM109" s="508" t="str">
        <f>VLOOKUP(AA111,常规材料表!$1:$1048576,17,0)</f>
        <v>S.Pin.L55AB.ø6.L38</v>
      </c>
      <c r="AN109" s="508">
        <f>VLOOKUP(AA111,常规材料表!$1:$1048576,18,0)</f>
        <v>2</v>
      </c>
      <c r="AO109" s="508">
        <f>VLOOKUP(AM109,标准件价格!$C:$D,2,0)</f>
        <v>0.1</v>
      </c>
      <c r="AP109" s="508">
        <f>AN109*AO109</f>
        <v>0.2</v>
      </c>
      <c r="AQ109" s="110"/>
      <c r="BZ109" t="s">
        <v>369</v>
      </c>
      <c r="CA109" s="112" t="s">
        <v>200</v>
      </c>
      <c r="CB109" t="s">
        <v>201</v>
      </c>
      <c r="CC109" t="s">
        <v>202</v>
      </c>
      <c r="CD109" t="s">
        <v>203</v>
      </c>
      <c r="CG109" s="122"/>
      <c r="CV109" s="388"/>
    </row>
    <row r="110" spans="1:100" customFormat="1" ht="30" customHeight="1" outlineLevel="1">
      <c r="A110" s="112"/>
      <c r="B110" s="418"/>
      <c r="C110" s="418" t="s">
        <v>364</v>
      </c>
      <c r="D110" s="463"/>
      <c r="E110" s="538"/>
      <c r="F110" s="539">
        <f>IF(D110&gt;0,F107,0)</f>
        <v>0</v>
      </c>
      <c r="G110" s="418"/>
      <c r="H110" s="421">
        <f>IFERROR(D110*(I110*1.02+J111+J110*1.13)/1.13*F110/F107,0)</f>
        <v>0</v>
      </c>
      <c r="I110" s="547">
        <f>4.24</f>
        <v>4.24</v>
      </c>
      <c r="J110" s="460">
        <f>IFERROR(((0.8*E110+0.4)*D107/1000+0.4)/D110,0)</f>
        <v>0</v>
      </c>
      <c r="K110" s="54" t="s">
        <v>237</v>
      </c>
      <c r="L110" s="54"/>
      <c r="O110" s="250" t="s">
        <v>378</v>
      </c>
      <c r="P110" s="250"/>
      <c r="Q110" t="s">
        <v>362</v>
      </c>
      <c r="R110" s="524">
        <f>IFERROR(AG111,0)</f>
        <v>9.2478065358872694</v>
      </c>
      <c r="S110" s="420">
        <v>1.01</v>
      </c>
      <c r="T110" s="519">
        <f>R110*S110/1.13</f>
        <v>8.2657385851735778</v>
      </c>
      <c r="U110" s="421">
        <v>0.25</v>
      </c>
      <c r="V110" s="520">
        <f>IFERROR(IF(AE111="喷塑",AH111*AF111/Y110,AF111/1.13),0)</f>
        <v>0.94991619175326847</v>
      </c>
      <c r="W110" s="520">
        <f>IFERROR(AP109/Y110/1.13,0)</f>
        <v>0.40919497946403854</v>
      </c>
      <c r="X110" s="519">
        <f>IFERROR((T110+U110+V110+W110)*Y110,0)</f>
        <v>4.2712181393805313</v>
      </c>
      <c r="Y110" s="521">
        <f>IFERROR(VLOOKUP(AA111,常规材料表!$1:$1048576,3,0),0)</f>
        <v>0.432535</v>
      </c>
      <c r="Z110" s="508">
        <f>Y110*AB109</f>
        <v>0.432535</v>
      </c>
      <c r="AA110" s="506" t="s">
        <v>365</v>
      </c>
      <c r="AE110" s="418" t="s">
        <v>334</v>
      </c>
      <c r="AF110" s="509" t="s">
        <v>226</v>
      </c>
      <c r="AG110" s="508" t="s">
        <v>366</v>
      </c>
      <c r="AH110" s="508" t="s">
        <v>336</v>
      </c>
      <c r="AQ110" s="110"/>
      <c r="BZ110" t="s">
        <v>369</v>
      </c>
      <c r="CA110" s="112" t="s">
        <v>200</v>
      </c>
      <c r="CB110" t="s">
        <v>201</v>
      </c>
      <c r="CC110" t="s">
        <v>202</v>
      </c>
      <c r="CD110" t="s">
        <v>203</v>
      </c>
      <c r="CG110" s="122"/>
      <c r="CV110" s="388"/>
    </row>
    <row r="111" spans="1:100" customFormat="1" ht="30" customHeight="1" outlineLevel="1">
      <c r="A111" s="112"/>
      <c r="B111" s="414">
        <v>0</v>
      </c>
      <c r="C111" s="465">
        <f>报价辅助计算!$E$13</f>
        <v>0</v>
      </c>
      <c r="D111" s="112"/>
      <c r="E111" s="542"/>
      <c r="F111" s="463"/>
      <c r="G111" s="418"/>
      <c r="H111" s="382"/>
      <c r="I111" s="421"/>
      <c r="J111" s="460">
        <v>0.95</v>
      </c>
      <c r="K111" s="54" t="s">
        <v>237</v>
      </c>
      <c r="L111" s="54"/>
      <c r="O111" s="250" t="s">
        <v>378</v>
      </c>
      <c r="P111" s="250"/>
      <c r="R111" s="421"/>
      <c r="S111" s="420"/>
      <c r="T111" s="421"/>
      <c r="U111" s="420"/>
      <c r="V111" s="546"/>
      <c r="W111" s="421"/>
      <c r="X111" s="520"/>
      <c r="Y111" s="509" t="s">
        <v>277</v>
      </c>
      <c r="Z111" s="458">
        <v>7.85</v>
      </c>
      <c r="AA111" s="513" t="str">
        <f>D109</f>
        <v>L55A-Brk+pin</v>
      </c>
      <c r="AE111" s="514" t="str">
        <f>G109</f>
        <v>喷塑</v>
      </c>
      <c r="AF111" s="515">
        <f>IF(AE111="预镀锌",0,IF(AE111="喷塑",VLOOKUP(AA111,常规材料表!$1:$1048576,12,0),IF(AE111="热镀锌",VLOOKUP(AA111,常规材料表!$1:$1048576,13,0),IF(AE111="冷镀锌",VLOOKUP(AA111,常规材料表!$1:$1048576,15,0),0))))</f>
        <v>9.1999999999999993</v>
      </c>
      <c r="AG111" s="515">
        <f>VLOOKUP(AA111,常规材料表!$1:$1048576,10,0)</f>
        <v>9.2478065358872694</v>
      </c>
      <c r="AH111" s="508">
        <f>VLOOKUP(AA111,常规材料表!$1:$1048576,4,0)</f>
        <v>4.4659999999999998E-2</v>
      </c>
      <c r="AQ111" s="110"/>
      <c r="BZ111" t="s">
        <v>369</v>
      </c>
      <c r="CA111" s="112" t="s">
        <v>200</v>
      </c>
      <c r="CB111" t="s">
        <v>201</v>
      </c>
      <c r="CC111" t="s">
        <v>202</v>
      </c>
      <c r="CD111" t="s">
        <v>203</v>
      </c>
      <c r="CG111" s="122"/>
      <c r="CV111" s="388"/>
    </row>
    <row r="112" spans="1:100" s="376" customFormat="1" ht="30" customHeight="1">
      <c r="A112" s="472"/>
      <c r="B112" s="473"/>
      <c r="C112" s="473"/>
      <c r="D112" s="473"/>
      <c r="E112" s="474"/>
      <c r="F112" s="473"/>
      <c r="G112" s="473"/>
      <c r="H112" s="421"/>
      <c r="I112" s="421"/>
      <c r="J112" s="422"/>
      <c r="K112" s="475"/>
      <c r="L112" s="475"/>
      <c r="R112" s="387"/>
      <c r="S112" s="387"/>
      <c r="T112" s="387"/>
      <c r="U112" s="387"/>
      <c r="V112" s="387"/>
      <c r="W112" s="387"/>
      <c r="X112" s="387"/>
      <c r="AQ112" s="476"/>
      <c r="BZ112" t="s">
        <v>369</v>
      </c>
      <c r="CA112" s="112" t="s">
        <v>200</v>
      </c>
      <c r="CB112" t="s">
        <v>201</v>
      </c>
      <c r="CC112" t="s">
        <v>202</v>
      </c>
      <c r="CD112" t="s">
        <v>203</v>
      </c>
      <c r="CE112"/>
      <c r="CF112"/>
      <c r="CG112" s="122"/>
    </row>
    <row r="113" spans="1:100" customFormat="1" ht="30" customHeight="1">
      <c r="A113" s="112" t="str">
        <f>IF($C$13=1,IF(K113="报价行",IF(F113&gt;0,1," ")," ")," ")</f>
        <v xml:space="preserve"> </v>
      </c>
      <c r="B113" s="414" t="str">
        <f>IF(A113=1,SUM($A$11:A113),"C型梁")</f>
        <v>C型梁</v>
      </c>
      <c r="C113" s="415" t="str">
        <f>B114&amp;IF(C118=1,CHAR(10)&amp;B115," ")</f>
        <v xml:space="preserve">C Beam </v>
      </c>
      <c r="D113" s="530">
        <f>E114</f>
        <v>1000</v>
      </c>
      <c r="E113" s="415" t="str">
        <f>"Half of "&amp;VLOOKUP(D114,常规材料表!$1:$1048576,28,0)&amp;VLOOKUP(D115,常规材料表!$1:$1048576,28,0)&amp;", "&amp;IF(E115&gt;0,E115&amp;" kg/level,"," ")&amp;IF(E116&gt;0,", with "&amp;E116&amp;" L steel","")&amp;IF(E116&gt;1,"s","")</f>
        <v>Half of B80*50*1.5 mm,pitch 75, 3 claws, H200, 1000 kg/level,</v>
      </c>
      <c r="F113" s="418"/>
      <c r="G113" s="429" t="str">
        <f>IFERROR(Y113+D116*F116/F113,"-")</f>
        <v>-</v>
      </c>
      <c r="H113" s="420">
        <f>IFERROR(X113+H116,"-")</f>
        <v>20.990179517699111</v>
      </c>
      <c r="I113" s="421" t="s">
        <v>341</v>
      </c>
      <c r="J113" s="422"/>
      <c r="K113" s="423" t="s">
        <v>217</v>
      </c>
      <c r="L113" s="54" cm="1">
        <f t="array" ref="L113">_xlfn._xlws.FILTER(下拉菜单!L:L,下拉菜单!M:M=D115,"无匹配")</f>
        <v>75</v>
      </c>
      <c r="O113" s="250" t="s">
        <v>379</v>
      </c>
      <c r="P113" s="250"/>
      <c r="R113" s="387" t="s">
        <v>219</v>
      </c>
      <c r="S113" s="426" t="s">
        <v>21</v>
      </c>
      <c r="T113" s="426">
        <f>(T115*Y115+T116*Y116)/Y113</f>
        <v>4.1619682029774481</v>
      </c>
      <c r="U113" s="426">
        <f>(U115*Y115+U116*Y116)/Y113</f>
        <v>1.0490595683541677</v>
      </c>
      <c r="V113" s="426">
        <f>(V115*Y115+V116*Y116)/Y113</f>
        <v>1.1419861267430047</v>
      </c>
      <c r="W113" s="426">
        <f>AP115/Y113/1.13</f>
        <v>9.7910634651974277E-2</v>
      </c>
      <c r="X113" s="426">
        <f>SUM(T113:W113)*Y113</f>
        <v>20.990179517699111</v>
      </c>
      <c r="Y113" s="505">
        <f>SUM(Y115:Y116)</f>
        <v>3.253825</v>
      </c>
      <c r="Z113" s="505"/>
      <c r="AA113" t="s">
        <v>325</v>
      </c>
      <c r="AQ113" s="110"/>
      <c r="AX113" t="str">
        <f>VLOOKUP(D114,常规材料表!$1:$1048576,28,0)</f>
        <v>B80*50*1.5 mm,</v>
      </c>
      <c r="AY113" s="494">
        <f>D113</f>
        <v>1000</v>
      </c>
      <c r="AZ113">
        <f>F113</f>
        <v>0</v>
      </c>
      <c r="BA113" s="256" t="str">
        <f>G113</f>
        <v>-</v>
      </c>
      <c r="BB113" t="e">
        <f>AZ113*BA113</f>
        <v>#VALUE!</v>
      </c>
      <c r="BC113" t="str">
        <f>VLOOKUP(D115,常规材料表!$1:$1048576,28,0)</f>
        <v>pitch 75, 3 claws, H200</v>
      </c>
      <c r="BE113" t="str">
        <f>"面宽"&amp;VLOOKUP(AA115,常规材料表!$1:$1048576,18,0)</f>
        <v>面宽60</v>
      </c>
      <c r="BR113" t="str">
        <f>I113</f>
        <v>Orange Ral2004</v>
      </c>
      <c r="BS113">
        <f>T113*Y113</f>
        <v>13.542316188053094</v>
      </c>
      <c r="BT113">
        <f>U113*Y113</f>
        <v>3.4134562499999999</v>
      </c>
      <c r="BU113">
        <f>(V113+W113)*Y113</f>
        <v>4.0344070796460176</v>
      </c>
      <c r="BZ113" t="s">
        <v>369</v>
      </c>
      <c r="CA113" s="112" t="s">
        <v>200</v>
      </c>
      <c r="CB113" t="s">
        <v>201</v>
      </c>
      <c r="CC113" t="s">
        <v>202</v>
      </c>
      <c r="CD113" t="s">
        <v>203</v>
      </c>
      <c r="CG113" s="122"/>
      <c r="CV113" s="388"/>
    </row>
    <row r="114" spans="1:100" customFormat="1" ht="30" customHeight="1" outlineLevel="1">
      <c r="A114" s="112"/>
      <c r="B114" s="545" t="s">
        <v>380</v>
      </c>
      <c r="C114" s="418" t="s">
        <v>166</v>
      </c>
      <c r="D114" s="54" t="s">
        <v>381</v>
      </c>
      <c r="E114" s="531">
        <v>1000</v>
      </c>
      <c r="F114" s="418"/>
      <c r="G114" s="532" t="s">
        <v>236</v>
      </c>
      <c r="H114" s="421"/>
      <c r="I114" s="421"/>
      <c r="J114" s="422"/>
      <c r="K114" s="54" t="s">
        <v>237</v>
      </c>
      <c r="L114" s="54"/>
      <c r="O114" s="250" t="s">
        <v>379</v>
      </c>
      <c r="P114" s="250"/>
      <c r="R114" s="421" t="s">
        <v>238</v>
      </c>
      <c r="S114" s="420" t="s">
        <v>239</v>
      </c>
      <c r="T114" s="421" t="s">
        <v>240</v>
      </c>
      <c r="U114" s="421" t="s">
        <v>241</v>
      </c>
      <c r="V114" s="421" t="s">
        <v>242</v>
      </c>
      <c r="W114" s="420" t="s">
        <v>207</v>
      </c>
      <c r="X114" s="421" t="s">
        <v>243</v>
      </c>
      <c r="Y114" s="414" t="s">
        <v>244</v>
      </c>
      <c r="Z114" s="414" t="s">
        <v>159</v>
      </c>
      <c r="AA114" s="506" t="s">
        <v>353</v>
      </c>
      <c r="AB114" s="507" t="s">
        <v>354</v>
      </c>
      <c r="AC114" s="507" t="s">
        <v>355</v>
      </c>
      <c r="AD114" s="508"/>
      <c r="AE114" s="418" t="s">
        <v>318</v>
      </c>
      <c r="AF114" s="509" t="s">
        <v>226</v>
      </c>
      <c r="AG114" s="509" t="s">
        <v>356</v>
      </c>
      <c r="AH114" s="509" t="s">
        <v>357</v>
      </c>
      <c r="AI114" s="507" t="s">
        <v>358</v>
      </c>
      <c r="AJ114" s="507" t="s">
        <v>359</v>
      </c>
      <c r="AK114" s="508" t="s">
        <v>360</v>
      </c>
      <c r="AL114" s="509" t="s">
        <v>231</v>
      </c>
      <c r="AM114" s="509" t="s">
        <v>232</v>
      </c>
      <c r="AN114" s="509" t="s">
        <v>102</v>
      </c>
      <c r="AO114" s="509" t="s">
        <v>74</v>
      </c>
      <c r="AP114" s="509" t="s">
        <v>21</v>
      </c>
      <c r="AQ114" s="110"/>
      <c r="AW114">
        <f>IFERROR(Y115*F113,"-")</f>
        <v>0</v>
      </c>
      <c r="AX114" t="s">
        <v>156</v>
      </c>
      <c r="AY114" t="s">
        <v>246</v>
      </c>
      <c r="AZ114" t="s">
        <v>102</v>
      </c>
      <c r="BA114" t="s">
        <v>158</v>
      </c>
      <c r="BB114" t="s">
        <v>247</v>
      </c>
      <c r="BC114" t="s">
        <v>248</v>
      </c>
      <c r="BD114" t="s">
        <v>249</v>
      </c>
      <c r="BE114" t="s">
        <v>250</v>
      </c>
      <c r="BF114" t="s">
        <v>251</v>
      </c>
      <c r="BG114" t="s">
        <v>252</v>
      </c>
      <c r="BH114" t="s">
        <v>253</v>
      </c>
      <c r="BI114" t="s">
        <v>254</v>
      </c>
      <c r="BJ114" t="s">
        <v>255</v>
      </c>
      <c r="BK114" t="s">
        <v>256</v>
      </c>
      <c r="BL114" t="s">
        <v>257</v>
      </c>
      <c r="BM114" t="s">
        <v>258</v>
      </c>
      <c r="BS114" s="898" t="s">
        <v>2337</v>
      </c>
      <c r="BT114" s="898" t="s">
        <v>2338</v>
      </c>
      <c r="BU114" s="898" t="s">
        <v>2339</v>
      </c>
      <c r="BZ114" t="s">
        <v>369</v>
      </c>
      <c r="CA114" s="112" t="s">
        <v>200</v>
      </c>
      <c r="CB114" t="s">
        <v>201</v>
      </c>
      <c r="CC114" t="s">
        <v>202</v>
      </c>
      <c r="CD114" t="s">
        <v>203</v>
      </c>
      <c r="CG114" s="122"/>
      <c r="CV114" s="388"/>
    </row>
    <row r="115" spans="1:100" customFormat="1" ht="30" customHeight="1" outlineLevel="1">
      <c r="A115" s="112"/>
      <c r="B115" s="418" t="s">
        <v>379</v>
      </c>
      <c r="C115" s="418" t="s">
        <v>362</v>
      </c>
      <c r="D115" s="54" t="s">
        <v>161</v>
      </c>
      <c r="E115" s="535">
        <v>1000</v>
      </c>
      <c r="F115" s="418"/>
      <c r="G115" s="532" t="str">
        <f>G114</f>
        <v>喷塑</v>
      </c>
      <c r="H115" s="421"/>
      <c r="I115" s="421"/>
      <c r="J115" s="422"/>
      <c r="K115" s="54" t="s">
        <v>237</v>
      </c>
      <c r="L115" s="54"/>
      <c r="O115" s="250" t="s">
        <v>379</v>
      </c>
      <c r="P115" s="250"/>
      <c r="Q115" s="388" t="s">
        <v>330</v>
      </c>
      <c r="R115" s="422">
        <f>AG115</f>
        <v>3.69</v>
      </c>
      <c r="S115" s="420">
        <v>1.01</v>
      </c>
      <c r="T115" s="519">
        <f>R115*S115/1.13</f>
        <v>3.2981415929203544</v>
      </c>
      <c r="U115" s="520">
        <f>AH115/Y115+0.25</f>
        <v>1.4565945030338889</v>
      </c>
      <c r="V115" s="520">
        <f>IF(AE115="喷塑",AI115*AC115*AF115/1000000/1.13/Y115,AF115/1.13)</f>
        <v>1.3828607932660688</v>
      </c>
      <c r="W115" s="520"/>
      <c r="X115" s="519">
        <f>(T115+U115+V115)*Y115</f>
        <v>13.22544721681416</v>
      </c>
      <c r="Y115" s="521">
        <f>AK115*AJ115*AC115*Z117/1000000</f>
        <v>2.1548250000000002</v>
      </c>
      <c r="Z115" s="508">
        <f>Y115*AB115</f>
        <v>2.1548250000000002</v>
      </c>
      <c r="AA115" s="513" t="str">
        <f>D114</f>
        <v>B8050.15</v>
      </c>
      <c r="AB115" s="460">
        <v>1</v>
      </c>
      <c r="AC115" s="460">
        <f>E114</f>
        <v>1000</v>
      </c>
      <c r="AD115" s="508"/>
      <c r="AE115" s="514" t="str">
        <f>G114</f>
        <v>喷塑</v>
      </c>
      <c r="AF115" s="515">
        <f>IF(AE115="预镀锌",0,IF(AE115="喷塑",VLOOKUP(AA115,常规材料表!$1:$1048576,12,0),IF(AE115="热镀锌",VLOOKUP(AA115,常规材料表!$1:$1048576,13,0),IF(AE115="冷镀锌",VLOOKUP(AA115,常规材料表!$1:$1048576,15,0),0))))</f>
        <v>9.1999999999999993</v>
      </c>
      <c r="AG115" s="515">
        <f>VLOOKUP(AA115,常规材料表!$1:$1048576,10,0)</f>
        <v>3.69</v>
      </c>
      <c r="AH115" s="515">
        <f>IF(AE115="预镀锌",VLOOKUP(AA115,常规材料表!$1:$1048576,11,0)+VLOOKUP(AA115,常规材料表!$1:$1048576,14,0),VLOOKUP(AA115,常规材料表!$1:$1048576,11,0))+IF(AC115&lt;8000,0,VLOOKUP(AA115,常规材料表!$1:$1048576,16,0))+IF(AC115&gt;1200,VLOOKUP(AA115,常规材料表!$1:$1048576,16,0),0)</f>
        <v>2.6</v>
      </c>
      <c r="AI115" s="515">
        <f>2*IF(ISNUMBER(SEARCH("B",AA115)),AK115,(VLOOKUP(AA115,常规材料表!$1:$1048576,8,0)+VLOOKUP(AA115,常规材料表!$1:$1048576,9,0)))</f>
        <v>366</v>
      </c>
      <c r="AJ115" s="515">
        <f>VLOOKUP(AA115,常规材料表!$1:$1048576,6,0)</f>
        <v>1.5</v>
      </c>
      <c r="AK115" s="508">
        <f>VLOOKUP(AA115,常规材料表!$1:$1048576,7,0)</f>
        <v>183</v>
      </c>
      <c r="AL115" s="508" t="s">
        <v>363</v>
      </c>
      <c r="AM115" s="508" t="str">
        <f>VLOOKUP(AA117,常规材料表!$1:$1048576,17,0)</f>
        <v>S.Pin.ø7.L38</v>
      </c>
      <c r="AN115" s="508">
        <f>VLOOKUP(AA117,常规材料表!$1:$1048576,18,0)</f>
        <v>2</v>
      </c>
      <c r="AO115" s="508">
        <f>VLOOKUP(AM115,标准件价格!$C:$D,2,0)</f>
        <v>0.18</v>
      </c>
      <c r="AP115" s="508">
        <f>AN115*AO115</f>
        <v>0.36</v>
      </c>
      <c r="AQ115" s="110"/>
      <c r="BZ115" t="s">
        <v>369</v>
      </c>
      <c r="CA115" s="112" t="s">
        <v>200</v>
      </c>
      <c r="CB115" t="s">
        <v>201</v>
      </c>
      <c r="CC115" t="s">
        <v>202</v>
      </c>
      <c r="CD115" t="s">
        <v>203</v>
      </c>
      <c r="CG115" s="122"/>
      <c r="CV115" s="388"/>
    </row>
    <row r="116" spans="1:100" customFormat="1" ht="30" customHeight="1" outlineLevel="1">
      <c r="A116" s="112"/>
      <c r="B116" s="418"/>
      <c r="C116" s="418" t="s">
        <v>364</v>
      </c>
      <c r="D116" s="537">
        <f>IF(E116&gt;0,E117*(E114*E116+90)/1000,0)</f>
        <v>0</v>
      </c>
      <c r="E116" s="538">
        <v>0</v>
      </c>
      <c r="F116" s="539">
        <f>IF(D116&gt;0,F113,0)</f>
        <v>0</v>
      </c>
      <c r="G116" s="418"/>
      <c r="H116" s="421">
        <f>IFERROR(D116*(I116*1.02+J117+J116*1.13)/1.13*F116/F113,0)</f>
        <v>0</v>
      </c>
      <c r="I116" s="547">
        <f>4.24</f>
        <v>4.24</v>
      </c>
      <c r="J116" s="460">
        <f>IFERROR(((0.8*E116+0.4)*D113/1000+0.4)/D116,0)</f>
        <v>0</v>
      </c>
      <c r="K116" s="54" t="s">
        <v>237</v>
      </c>
      <c r="L116" s="54"/>
      <c r="O116" s="250" t="s">
        <v>379</v>
      </c>
      <c r="P116" s="250"/>
      <c r="Q116" t="s">
        <v>362</v>
      </c>
      <c r="R116" s="524">
        <f>IFERROR(AG117,0)</f>
        <v>6.5514103730664202</v>
      </c>
      <c r="S116" s="420">
        <v>1.01</v>
      </c>
      <c r="T116" s="519">
        <f>R116*S116/1.13</f>
        <v>5.8556853776965356</v>
      </c>
      <c r="U116" s="421">
        <v>0.25</v>
      </c>
      <c r="V116" s="520">
        <f>IFERROR(IF(AE117="喷塑",AH117*AF117/Y116,AF117/1.13),0)</f>
        <v>0.66969972702456781</v>
      </c>
      <c r="W116" s="520">
        <f>IFERROR(AP115/Y116/1.13,0)</f>
        <v>0.28988541473745244</v>
      </c>
      <c r="X116" s="519">
        <f>IFERROR((T116+U116+V116+W116)*Y116,0)</f>
        <v>7.7647323008849529</v>
      </c>
      <c r="Y116" s="521">
        <f>IFERROR(VLOOKUP(AA117,常规材料表!$1:$1048576,3,0),0)</f>
        <v>1.099</v>
      </c>
      <c r="Z116" s="508">
        <f>Y116*AB115</f>
        <v>1.099</v>
      </c>
      <c r="AA116" s="506" t="s">
        <v>365</v>
      </c>
      <c r="AE116" s="418" t="s">
        <v>334</v>
      </c>
      <c r="AF116" s="509" t="s">
        <v>226</v>
      </c>
      <c r="AG116" s="508" t="s">
        <v>366</v>
      </c>
      <c r="AH116" s="508" t="s">
        <v>336</v>
      </c>
      <c r="AQ116" s="110"/>
      <c r="BZ116" t="s">
        <v>369</v>
      </c>
      <c r="CA116" s="112" t="s">
        <v>200</v>
      </c>
      <c r="CB116" t="s">
        <v>201</v>
      </c>
      <c r="CC116" t="s">
        <v>202</v>
      </c>
      <c r="CD116" t="s">
        <v>203</v>
      </c>
      <c r="CG116" s="122"/>
      <c r="CV116" s="388"/>
    </row>
    <row r="117" spans="1:100" customFormat="1" ht="30" customHeight="1" outlineLevel="1">
      <c r="A117" s="112"/>
      <c r="B117" s="414">
        <v>0</v>
      </c>
      <c r="C117" s="465">
        <f>报价辅助计算!$E$13</f>
        <v>0</v>
      </c>
      <c r="D117" s="112"/>
      <c r="E117" s="542">
        <v>1.85</v>
      </c>
      <c r="F117" s="463"/>
      <c r="G117" s="418"/>
      <c r="H117" s="382"/>
      <c r="I117" s="421"/>
      <c r="J117" s="460">
        <v>0.95</v>
      </c>
      <c r="K117" s="54" t="s">
        <v>237</v>
      </c>
      <c r="L117" s="54"/>
      <c r="O117" s="250" t="s">
        <v>379</v>
      </c>
      <c r="P117" s="250"/>
      <c r="R117" s="421"/>
      <c r="S117" s="420"/>
      <c r="T117" s="421"/>
      <c r="U117" s="420"/>
      <c r="V117" s="546"/>
      <c r="W117" s="421"/>
      <c r="X117" s="520"/>
      <c r="Y117" s="509" t="s">
        <v>277</v>
      </c>
      <c r="Z117" s="458">
        <v>7.85</v>
      </c>
      <c r="AA117" s="513" t="str">
        <f>D115</f>
        <v>Bracket.DE75-3H+pin</v>
      </c>
      <c r="AE117" s="514" t="str">
        <f>G115</f>
        <v>喷塑</v>
      </c>
      <c r="AF117" s="515">
        <f>IF(AE117="预镀锌",0,IF(AE117="喷塑",VLOOKUP(AA117,常规材料表!$1:$1048576,12,0),IF(AE117="热镀锌",VLOOKUP(AA117,常规材料表!$1:$1048576,13,0),IF(AE117="冷镀锌",VLOOKUP(AA117,常规材料表!$1:$1048576,15,0),0))))</f>
        <v>9.1999999999999993</v>
      </c>
      <c r="AG117" s="515">
        <f>VLOOKUP(AA117,常规材料表!$1:$1048576,10,0)</f>
        <v>6.5514103730664202</v>
      </c>
      <c r="AH117" s="508">
        <f>VLOOKUP(AA117,常规材料表!$1:$1048576,4,0)</f>
        <v>0.08</v>
      </c>
      <c r="AQ117" s="110"/>
      <c r="BZ117" t="s">
        <v>369</v>
      </c>
      <c r="CA117" s="112" t="s">
        <v>200</v>
      </c>
      <c r="CB117" t="s">
        <v>201</v>
      </c>
      <c r="CC117" t="s">
        <v>202</v>
      </c>
      <c r="CD117" t="s">
        <v>203</v>
      </c>
      <c r="CG117" s="122"/>
      <c r="CV117" s="388"/>
    </row>
    <row r="118" spans="1:100" s="376" customFormat="1" ht="30" customHeight="1">
      <c r="A118" s="472"/>
      <c r="B118" s="473"/>
      <c r="C118" s="473"/>
      <c r="D118" s="473"/>
      <c r="E118" s="474"/>
      <c r="F118" s="473"/>
      <c r="G118" s="473"/>
      <c r="H118" s="421"/>
      <c r="I118" s="421"/>
      <c r="J118" s="422"/>
      <c r="K118" s="475"/>
      <c r="L118" s="475"/>
      <c r="R118" s="387"/>
      <c r="S118" s="387"/>
      <c r="T118" s="387"/>
      <c r="U118" s="387"/>
      <c r="V118" s="387"/>
      <c r="W118" s="387"/>
      <c r="X118" s="387"/>
      <c r="AQ118" s="476"/>
      <c r="BZ118" t="s">
        <v>369</v>
      </c>
      <c r="CA118" s="112" t="s">
        <v>200</v>
      </c>
      <c r="CB118" t="s">
        <v>201</v>
      </c>
      <c r="CC118" t="s">
        <v>202</v>
      </c>
      <c r="CD118" t="s">
        <v>203</v>
      </c>
      <c r="CE118"/>
      <c r="CF118"/>
      <c r="CG118" s="122"/>
    </row>
    <row r="119" spans="1:100" customFormat="1" ht="30" customHeight="1">
      <c r="A119" s="112" t="str">
        <f>IF($C$13=1,IF(K119="报价行",IF(F119&gt;0,1," ")," ")," ")</f>
        <v xml:space="preserve"> </v>
      </c>
      <c r="B119" s="414" t="str">
        <f>IF(A119=1,SUM($A$11:A119),"B楼板梁")</f>
        <v>B楼板梁</v>
      </c>
      <c r="C119" s="415" t="str">
        <f>B120&amp;IF(C122=1,CHAR(10)&amp;B121," ")</f>
        <v xml:space="preserve">Floor beam </v>
      </c>
      <c r="D119" s="530">
        <f>E120</f>
        <v>1615</v>
      </c>
      <c r="E119" s="415" t="str">
        <f>VLOOKUP(D120,常规材料表!$1:$1048576,28,0)&amp;IF(D122&gt;0,", with "&amp;E122&amp;" L steel","")&amp;IF(E122&gt;1,"s","")</f>
        <v>B110*50*1.5 mm,, with 1 L steel</v>
      </c>
      <c r="F119" s="418"/>
      <c r="G119" s="419" t="str">
        <f>IFERROR(Y119+D122*F122/F119,"-")</f>
        <v>-</v>
      </c>
      <c r="H119" s="420">
        <f>IFERROR(X119+H122,"-")</f>
        <v>43.585989113495572</v>
      </c>
      <c r="I119" s="421" t="s">
        <v>341</v>
      </c>
      <c r="J119" s="422"/>
      <c r="K119" s="423" t="s">
        <v>217</v>
      </c>
      <c r="L119" s="54"/>
      <c r="O119" s="250" t="s">
        <v>382</v>
      </c>
      <c r="P119" s="250"/>
      <c r="R119" s="387" t="s">
        <v>219</v>
      </c>
      <c r="S119" s="426" t="s">
        <v>21</v>
      </c>
      <c r="T119" s="426">
        <f>(T121*Y121+T122*Y122)/Y119</f>
        <v>3.601148874845304</v>
      </c>
      <c r="U119" s="426">
        <f>(U121*Y121+U122*Y122)/Y119</f>
        <v>0.53028873512835817</v>
      </c>
      <c r="V119" s="426">
        <f>(V121*Y121+V122*Y122)/Y119</f>
        <v>0.53293401760498271</v>
      </c>
      <c r="W119" s="426">
        <f>AP121/Y119/1.13</f>
        <v>3.4344433167531961E-2</v>
      </c>
      <c r="X119" s="426">
        <f>SUM(T119:W119)*Y119</f>
        <v>43.585989113495572</v>
      </c>
      <c r="Y119" s="505">
        <f>SUM(Y121:Y122)</f>
        <v>9.2761487500000008</v>
      </c>
      <c r="Z119" s="505"/>
      <c r="AQ119" s="110"/>
      <c r="AX119" t="str">
        <f>VLOOKUP(D120,常规材料表!$1:$1048576,28,0)</f>
        <v>B110*50*1.5 mm,</v>
      </c>
      <c r="AY119" s="494">
        <f>D119</f>
        <v>1615</v>
      </c>
      <c r="AZ119">
        <f>F119</f>
        <v>0</v>
      </c>
      <c r="BA119" s="256" t="str">
        <f>G119</f>
        <v>-</v>
      </c>
      <c r="BB119" t="e">
        <f>AZ119*BA119</f>
        <v>#VALUE!</v>
      </c>
      <c r="BC119" t="str">
        <f>VLOOKUP(D121,常规材料表!$1:$1048576,28,0)</f>
        <v>pitch 75, 3 claws, H200</v>
      </c>
      <c r="BE119" t="str">
        <f>"面宽"&amp;VLOOKUP(AA121,常规材料表!$1:$1048576,18,0)</f>
        <v>面宽60</v>
      </c>
      <c r="BQ119" t="str">
        <f>B122</f>
        <v>Q235</v>
      </c>
      <c r="BR119" t="str">
        <f>I119</f>
        <v>Orange Ral2004</v>
      </c>
      <c r="BS119">
        <f>T119*Y119</f>
        <v>33.404792633960177</v>
      </c>
      <c r="BT119">
        <f>U119*Y119</f>
        <v>4.9190371875000007</v>
      </c>
      <c r="BU119">
        <f>(V119+W119)*Y119</f>
        <v>5.262159292035399</v>
      </c>
      <c r="BZ119" t="s">
        <v>350</v>
      </c>
      <c r="CA119" s="112" t="s">
        <v>200</v>
      </c>
      <c r="CB119" t="s">
        <v>201</v>
      </c>
      <c r="CC119" t="s">
        <v>202</v>
      </c>
      <c r="CG119" s="122"/>
      <c r="CV119" s="388"/>
    </row>
    <row r="120" spans="1:100" customFormat="1" ht="30" customHeight="1" outlineLevel="1">
      <c r="A120" s="112"/>
      <c r="B120" s="381" t="s">
        <v>383</v>
      </c>
      <c r="C120" s="418" t="s">
        <v>166</v>
      </c>
      <c r="D120" s="54" t="s">
        <v>352</v>
      </c>
      <c r="E120" s="531">
        <v>1615</v>
      </c>
      <c r="F120" s="418"/>
      <c r="G120" s="532" t="s">
        <v>236</v>
      </c>
      <c r="H120" s="421"/>
      <c r="I120" s="533"/>
      <c r="J120" s="534">
        <f>IFERROR(IF(B122="Q355",IFERROR(IF(G120="预镀锌",VLOOKUP(D120,常规材料表!$1:$1048576,30,0),VLOOKUP(D120,常规材料表!$1:$1048576,29,0)),0),0),0)</f>
        <v>0</v>
      </c>
      <c r="K120" s="54" t="s">
        <v>237</v>
      </c>
      <c r="L120" s="54"/>
      <c r="O120" s="250" t="s">
        <v>382</v>
      </c>
      <c r="P120" s="250"/>
      <c r="R120" s="421" t="s">
        <v>238</v>
      </c>
      <c r="S120" s="420" t="s">
        <v>239</v>
      </c>
      <c r="T120" s="421" t="s">
        <v>240</v>
      </c>
      <c r="U120" s="421" t="s">
        <v>241</v>
      </c>
      <c r="V120" s="421" t="s">
        <v>242</v>
      </c>
      <c r="W120" s="420" t="s">
        <v>207</v>
      </c>
      <c r="X120" s="420" t="s">
        <v>243</v>
      </c>
      <c r="Y120" s="429" t="s">
        <v>244</v>
      </c>
      <c r="Z120" s="429" t="s">
        <v>159</v>
      </c>
      <c r="AA120" s="506" t="s">
        <v>353</v>
      </c>
      <c r="AB120" s="507" t="s">
        <v>354</v>
      </c>
      <c r="AC120" s="507" t="s">
        <v>355</v>
      </c>
      <c r="AD120" s="448" t="s">
        <v>285</v>
      </c>
      <c r="AE120" s="418" t="s">
        <v>318</v>
      </c>
      <c r="AF120" s="509" t="s">
        <v>226</v>
      </c>
      <c r="AG120" s="509" t="s">
        <v>356</v>
      </c>
      <c r="AH120" s="509" t="s">
        <v>357</v>
      </c>
      <c r="AI120" s="507" t="s">
        <v>358</v>
      </c>
      <c r="AJ120" s="507" t="s">
        <v>359</v>
      </c>
      <c r="AK120" s="508" t="s">
        <v>360</v>
      </c>
      <c r="AL120" s="509" t="s">
        <v>231</v>
      </c>
      <c r="AM120" s="509" t="s">
        <v>232</v>
      </c>
      <c r="AN120" s="509" t="s">
        <v>102</v>
      </c>
      <c r="AO120" s="509" t="s">
        <v>74</v>
      </c>
      <c r="AP120" s="509" t="s">
        <v>21</v>
      </c>
      <c r="AQ120" s="110"/>
      <c r="AU120">
        <f>IFERROR(IF(J120&gt;0,Y121*F119,0),"-")</f>
        <v>0</v>
      </c>
      <c r="AV120">
        <f>IFERROR(IF(J120=0,Y121*F119,0),"-")</f>
        <v>0</v>
      </c>
      <c r="AX120" t="s">
        <v>156</v>
      </c>
      <c r="AY120" t="s">
        <v>246</v>
      </c>
      <c r="AZ120" t="s">
        <v>102</v>
      </c>
      <c r="BA120" t="s">
        <v>158</v>
      </c>
      <c r="BB120" t="s">
        <v>247</v>
      </c>
      <c r="BC120" t="s">
        <v>248</v>
      </c>
      <c r="BD120" t="s">
        <v>249</v>
      </c>
      <c r="BE120" t="s">
        <v>250</v>
      </c>
      <c r="BF120" t="s">
        <v>251</v>
      </c>
      <c r="BG120" t="s">
        <v>252</v>
      </c>
      <c r="BH120" t="s">
        <v>253</v>
      </c>
      <c r="BI120" t="s">
        <v>254</v>
      </c>
      <c r="BJ120" t="s">
        <v>255</v>
      </c>
      <c r="BK120" t="s">
        <v>256</v>
      </c>
      <c r="BL120" t="s">
        <v>257</v>
      </c>
      <c r="BM120" t="s">
        <v>258</v>
      </c>
      <c r="BQ120" t="s">
        <v>262</v>
      </c>
      <c r="BR120" t="s">
        <v>155</v>
      </c>
      <c r="BS120" s="898" t="s">
        <v>2337</v>
      </c>
      <c r="BT120" s="898" t="s">
        <v>2338</v>
      </c>
      <c r="BU120" s="898" t="s">
        <v>2339</v>
      </c>
      <c r="BZ120" t="s">
        <v>350</v>
      </c>
      <c r="CA120" s="112" t="s">
        <v>200</v>
      </c>
      <c r="CB120" t="s">
        <v>201</v>
      </c>
      <c r="CC120" t="s">
        <v>202</v>
      </c>
      <c r="CG120" s="122"/>
      <c r="CV120" s="388"/>
    </row>
    <row r="121" spans="1:100" customFormat="1" ht="30" customHeight="1" outlineLevel="1">
      <c r="A121" s="112"/>
      <c r="B121" s="418" t="s">
        <v>361</v>
      </c>
      <c r="C121" s="418" t="s">
        <v>362</v>
      </c>
      <c r="D121" s="54" t="s">
        <v>161</v>
      </c>
      <c r="E121" s="548">
        <v>0</v>
      </c>
      <c r="F121" s="418"/>
      <c r="G121" s="532" t="str">
        <f>G120</f>
        <v>喷塑</v>
      </c>
      <c r="H121" s="421"/>
      <c r="I121" s="533"/>
      <c r="J121" s="387"/>
      <c r="K121" s="54" t="s">
        <v>237</v>
      </c>
      <c r="L121" s="54"/>
      <c r="O121" s="250" t="s">
        <v>382</v>
      </c>
      <c r="P121" s="250"/>
      <c r="Q121" s="388" t="s">
        <v>350</v>
      </c>
      <c r="R121" s="422">
        <f>IF(AD121&gt;0,AD121,AG121)</f>
        <v>3.69</v>
      </c>
      <c r="S121" s="420">
        <v>1.01</v>
      </c>
      <c r="T121" s="519">
        <f>R121*S121/1.13</f>
        <v>3.2981415929203544</v>
      </c>
      <c r="U121" s="524">
        <f>AH121/Y121+0.25</f>
        <v>0.56795923976557239</v>
      </c>
      <c r="V121" s="524">
        <f>AI121*AC121*AF121/1000000/1.13/Y121</f>
        <v>0.5145528533083048</v>
      </c>
      <c r="W121" s="524"/>
      <c r="X121" s="519">
        <f>(T121+U121+V121+W121)*Y121</f>
        <v>35.821256812610628</v>
      </c>
      <c r="Y121" s="521">
        <f>AK121*AJ121*AC121*Z123*2/1000000</f>
        <v>8.1771487500000006</v>
      </c>
      <c r="Z121" s="521">
        <f>Y121*AB121</f>
        <v>8.1771487500000006</v>
      </c>
      <c r="AA121" s="513" t="str">
        <f>D120</f>
        <v>B11050.15</v>
      </c>
      <c r="AB121" s="460">
        <v>1</v>
      </c>
      <c r="AC121" s="536">
        <f>E120</f>
        <v>1615</v>
      </c>
      <c r="AD121" s="471">
        <f>J120</f>
        <v>0</v>
      </c>
      <c r="AE121" s="514" t="str">
        <f>G120</f>
        <v>喷塑</v>
      </c>
      <c r="AF121" s="515">
        <f>IF(AE121="预镀锌",0,IF(AE121="喷塑",VLOOKUP(AA121,常规材料表!$1:$1048576,12,0),IF(AE121="热镀锌",VLOOKUP(AA121,常规材料表!$1:$1048576,13,0),IF(AE121="冷镀锌",VLOOKUP(AA121,常规材料表!$1:$1048576,15,0),0))))</f>
        <v>9.1999999999999993</v>
      </c>
      <c r="AG121" s="515">
        <f>VLOOKUP(AA121,常规材料表!$1:$1048576,10,0)</f>
        <v>3.69</v>
      </c>
      <c r="AH121" s="515">
        <f>IF(AE121="预镀锌",VLOOKUP(AA121,常规材料表!$1:$1048576,11,0)+VLOOKUP(AA121,常规材料表!$1:$1048576,14,0),VLOOKUP(AA121,常规材料表!$1:$1048576,11,0))+IF(AC121&lt;8000,0,VLOOKUP(AA121,常规材料表!$1:$1048576,16,0))</f>
        <v>2.6</v>
      </c>
      <c r="AI121" s="515">
        <f>(VLOOKUP(AA121,常规材料表!$1:$1048576,8,0)+VLOOKUP(AA121,常规材料表!$1:$1048576,9,0))*2</f>
        <v>320</v>
      </c>
      <c r="AJ121" s="515">
        <f>VLOOKUP(AA121,常规材料表!$1:$1048576,6,0)</f>
        <v>1.5</v>
      </c>
      <c r="AK121" s="508">
        <f>VLOOKUP(AA121,常规材料表!$1:$1048576,7,0)</f>
        <v>215</v>
      </c>
      <c r="AL121" s="508" t="s">
        <v>363</v>
      </c>
      <c r="AM121" s="508" t="str">
        <f>VLOOKUP(AA123,常规材料表!$1:$1048576,17,0)</f>
        <v>S.Pin.ø7.L38</v>
      </c>
      <c r="AN121" s="508">
        <f>VLOOKUP(AA123,常规材料表!$1:$1048576,18,0)</f>
        <v>2</v>
      </c>
      <c r="AO121" s="521">
        <f>VLOOKUP(AM121,标准件价格!$C:$D,2,0)</f>
        <v>0.18</v>
      </c>
      <c r="AP121" s="508">
        <f>AN121*AO121</f>
        <v>0.36</v>
      </c>
      <c r="AQ121" s="110"/>
      <c r="BZ121" t="s">
        <v>350</v>
      </c>
      <c r="CA121" s="112" t="s">
        <v>200</v>
      </c>
      <c r="CB121" t="s">
        <v>201</v>
      </c>
      <c r="CC121" t="s">
        <v>202</v>
      </c>
      <c r="CG121" s="122"/>
      <c r="CV121" s="388"/>
    </row>
    <row r="122" spans="1:100" customFormat="1" ht="30" customHeight="1" outlineLevel="1">
      <c r="A122" s="112"/>
      <c r="B122" s="112" t="s">
        <v>8</v>
      </c>
      <c r="C122" s="418" t="s">
        <v>364</v>
      </c>
      <c r="D122" s="537">
        <f>IF(E122&gt;0,E123*(E120*E122+90)/1000,0)</f>
        <v>3.1542500000000002</v>
      </c>
      <c r="E122" s="538">
        <v>1</v>
      </c>
      <c r="F122" s="539">
        <f>IF(D122&gt;0,F119,0)</f>
        <v>0</v>
      </c>
      <c r="G122" s="418"/>
      <c r="H122" s="421">
        <f>IFERROR(D122*(I122*1.02+J123+J122*1.13)/1.13*F122/F119,0)</f>
        <v>0</v>
      </c>
      <c r="I122" s="540">
        <f>4.24</f>
        <v>4.24</v>
      </c>
      <c r="J122" s="541">
        <f>IFERROR(((0.8*E122+0.4)*D119/1000+0.4)/D122,0)</f>
        <v>0.7412221605769993</v>
      </c>
      <c r="K122" s="54" t="s">
        <v>237</v>
      </c>
      <c r="L122" s="54"/>
      <c r="O122" s="250" t="s">
        <v>382</v>
      </c>
      <c r="P122" s="250"/>
      <c r="Q122" t="s">
        <v>362</v>
      </c>
      <c r="R122" s="422">
        <f>AG123</f>
        <v>6.5514103730664202</v>
      </c>
      <c r="S122" s="420">
        <v>1.01</v>
      </c>
      <c r="T122" s="519">
        <f>R122*S122/1.13</f>
        <v>5.8556853776965356</v>
      </c>
      <c r="U122" s="422">
        <v>0.25</v>
      </c>
      <c r="V122" s="524">
        <f>AH123*AF123/Y122</f>
        <v>0.66969972702456781</v>
      </c>
      <c r="W122" s="524">
        <f>SUM(AP121)/1.13/Y122</f>
        <v>0.28988541473745238</v>
      </c>
      <c r="X122" s="519">
        <f>(T122+U122+V122+W122)*Y122</f>
        <v>7.7647323008849529</v>
      </c>
      <c r="Y122" s="521">
        <f>VLOOKUP(AA123,常规材料表!$1:$1048576,3,0)</f>
        <v>1.099</v>
      </c>
      <c r="Z122" s="521">
        <f>Y122*AB121</f>
        <v>1.099</v>
      </c>
      <c r="AA122" s="506" t="s">
        <v>365</v>
      </c>
      <c r="AE122" s="418" t="s">
        <v>334</v>
      </c>
      <c r="AF122" s="509" t="s">
        <v>226</v>
      </c>
      <c r="AG122" s="508" t="s">
        <v>366</v>
      </c>
      <c r="AH122" s="508" t="s">
        <v>336</v>
      </c>
      <c r="AQ122" s="110"/>
      <c r="BZ122" t="s">
        <v>350</v>
      </c>
      <c r="CA122" s="112" t="s">
        <v>200</v>
      </c>
      <c r="CB122" t="s">
        <v>201</v>
      </c>
      <c r="CC122" t="s">
        <v>202</v>
      </c>
      <c r="CG122" s="122"/>
      <c r="CV122" s="388"/>
    </row>
    <row r="123" spans="1:100" customFormat="1" ht="30" customHeight="1" outlineLevel="1">
      <c r="A123" s="112"/>
      <c r="B123" s="414">
        <v>0</v>
      </c>
      <c r="C123" s="465">
        <f>报价辅助计算!$E$13</f>
        <v>0</v>
      </c>
      <c r="D123" s="112"/>
      <c r="E123" s="542">
        <v>1.85</v>
      </c>
      <c r="F123" s="418"/>
      <c r="G123" s="418"/>
      <c r="H123" s="543" t="s">
        <v>367</v>
      </c>
      <c r="I123" s="421"/>
      <c r="J123" s="544">
        <v>0.95</v>
      </c>
      <c r="K123" s="54" t="s">
        <v>237</v>
      </c>
      <c r="L123" s="54"/>
      <c r="O123" s="250" t="s">
        <v>382</v>
      </c>
      <c r="P123" s="250"/>
      <c r="R123" s="420"/>
      <c r="S123" s="420"/>
      <c r="T123" s="420"/>
      <c r="U123" s="420"/>
      <c r="V123" s="422"/>
      <c r="W123" s="421"/>
      <c r="X123" s="520"/>
      <c r="Y123" s="509" t="s">
        <v>277</v>
      </c>
      <c r="Z123" s="458">
        <v>7.85</v>
      </c>
      <c r="AA123" s="513" t="str">
        <f>D121</f>
        <v>Bracket.DE75-3H+pin</v>
      </c>
      <c r="AE123" s="514" t="str">
        <f>G121</f>
        <v>喷塑</v>
      </c>
      <c r="AF123" s="515">
        <f>IF(AE123="预镀锌",0,IF(AE123="喷塑",VLOOKUP(AA123,常规材料表!$1:$1048576,12,0),IF(AE123="热镀锌",VLOOKUP(AA123,常规材料表!$1:$1048576,13,0),IF(AE123="冷镀锌",VLOOKUP(AA123,常规材料表!$1:$1048576,15,0),0))))</f>
        <v>9.1999999999999993</v>
      </c>
      <c r="AG123" s="515">
        <f>VLOOKUP(AA123,常规材料表!$1:$1048576,10,0)</f>
        <v>6.5514103730664202</v>
      </c>
      <c r="AH123" s="508">
        <f>VLOOKUP(AA123,常规材料表!$1:$1048576,4,0)</f>
        <v>0.08</v>
      </c>
      <c r="AQ123" s="110"/>
      <c r="BZ123" t="s">
        <v>350</v>
      </c>
      <c r="CA123" s="112" t="s">
        <v>200</v>
      </c>
      <c r="CB123" t="s">
        <v>201</v>
      </c>
      <c r="CC123" t="s">
        <v>202</v>
      </c>
      <c r="CG123" s="122"/>
      <c r="CV123" s="388"/>
    </row>
    <row r="124" spans="1:100" s="377" customFormat="1" ht="30" customHeight="1" outlineLevel="1">
      <c r="A124" s="549"/>
      <c r="B124" s="549"/>
      <c r="C124" s="550"/>
      <c r="D124" s="549"/>
      <c r="E124" s="551"/>
      <c r="F124" s="549"/>
      <c r="G124" s="549"/>
      <c r="H124" s="552"/>
      <c r="I124" s="549"/>
      <c r="J124" s="553"/>
      <c r="R124" s="554"/>
      <c r="S124" s="554"/>
      <c r="T124" s="554"/>
      <c r="U124" s="554"/>
      <c r="W124" s="549"/>
      <c r="X124" s="555"/>
      <c r="Y124" s="549"/>
      <c r="Z124" s="554"/>
      <c r="AE124" s="556"/>
      <c r="AF124" s="556"/>
      <c r="AG124" s="556"/>
      <c r="AQ124" s="557"/>
      <c r="CA124" s="549"/>
      <c r="CG124" s="552"/>
    </row>
    <row r="125" spans="1:100" customFormat="1" ht="30" customHeight="1">
      <c r="A125" s="112" t="str">
        <f>IF($C$13=1,IF(K125="报价行",IF(F125&gt;0,1," ")," ")," ")</f>
        <v xml:space="preserve"> </v>
      </c>
      <c r="B125" s="414" t="str">
        <f>IF(A125=1,SUM($A$11:A125),"L型梁")</f>
        <v>L型梁</v>
      </c>
      <c r="C125" s="415" t="str">
        <f>B126&amp;IF(C130=1,CHAR(10)&amp;B127," ")</f>
        <v xml:space="preserve">L Beam </v>
      </c>
      <c r="D125" s="530">
        <f>E126</f>
        <v>1000</v>
      </c>
      <c r="E125" s="415" t="str">
        <f>D126&amp;", "&amp;VLOOKUP(D127,常规材料表!$1:$1048576,28,0)&amp;", "&amp;IF(E127&gt;0,E127&amp;" kg/level,"," ")</f>
        <v xml:space="preserve">L12580.8t, pitch 75, 3 claws, H200,  </v>
      </c>
      <c r="F125" s="418"/>
      <c r="G125" s="429" t="str">
        <f>IFERROR(Y125+D128*F128/F125,"-")</f>
        <v>-</v>
      </c>
      <c r="H125" s="420">
        <f>IFERROR(X125+H128,"-")</f>
        <v>60.992519203539828</v>
      </c>
      <c r="I125" s="421" t="s">
        <v>341</v>
      </c>
      <c r="J125" s="422"/>
      <c r="K125" s="423" t="s">
        <v>217</v>
      </c>
      <c r="L125" s="54" cm="1">
        <f t="array" ref="L125">_xlfn._xlws.FILTER(下拉菜单!L:L,下拉菜单!M:M=D127,"无匹配")</f>
        <v>75</v>
      </c>
      <c r="O125" s="250" t="s">
        <v>384</v>
      </c>
      <c r="P125" s="250"/>
      <c r="R125" s="387" t="s">
        <v>219</v>
      </c>
      <c r="S125" s="426" t="s">
        <v>21</v>
      </c>
      <c r="T125" s="426">
        <f>(T127*Y127+T128*Y128)/Y125</f>
        <v>3.6145875642595175</v>
      </c>
      <c r="U125" s="426">
        <f>(U127*Y127+U128*Y128)/Y125</f>
        <v>0.43607314105775424</v>
      </c>
      <c r="V125" s="426">
        <f>(V127*Y127+V128*Y128)/Y125</f>
        <v>0.29156609871503125</v>
      </c>
      <c r="W125" s="426">
        <f>AP127/Y125/1.13</f>
        <v>2.2799976440024346E-2</v>
      </c>
      <c r="X125" s="426">
        <f>SUM(T125:W125)*Y125</f>
        <v>60.992519203539828</v>
      </c>
      <c r="Y125" s="505">
        <f>SUM(Y127:Y128)</f>
        <v>13.973000000000001</v>
      </c>
      <c r="Z125" s="505"/>
      <c r="AA125" t="s">
        <v>325</v>
      </c>
      <c r="AQ125" s="110"/>
      <c r="AX125">
        <f>VLOOKUP(D126,常规材料表!$1:$1048576,28,0)</f>
        <v>0</v>
      </c>
      <c r="AY125" s="494">
        <f>D125</f>
        <v>1000</v>
      </c>
      <c r="AZ125">
        <f>F125</f>
        <v>0</v>
      </c>
      <c r="BA125" s="256" t="str">
        <f>G125</f>
        <v>-</v>
      </c>
      <c r="BB125" t="e">
        <f>AZ125*BA125</f>
        <v>#VALUE!</v>
      </c>
      <c r="BC125" t="str">
        <f>VLOOKUP(D127,常规材料表!$1:$1048576,28,0)</f>
        <v>pitch 75, 3 claws, H200</v>
      </c>
      <c r="BE125" t="str">
        <f>"面宽"&amp;VLOOKUP(AA127,常规材料表!$1:$1048576,18,0)</f>
        <v>面宽</v>
      </c>
      <c r="BR125" t="str">
        <f>I125</f>
        <v>Orange Ral2004</v>
      </c>
      <c r="BS125">
        <f>T125*Y125</f>
        <v>50.506632035398241</v>
      </c>
      <c r="BT125">
        <f>U125*Y125</f>
        <v>6.0932500000000003</v>
      </c>
      <c r="BU125">
        <f>(V125+W125)*Y125</f>
        <v>4.3926371681415919</v>
      </c>
      <c r="BZ125" t="s">
        <v>369</v>
      </c>
      <c r="CA125" s="112" t="s">
        <v>200</v>
      </c>
      <c r="CB125" t="s">
        <v>201</v>
      </c>
      <c r="CC125" t="s">
        <v>202</v>
      </c>
      <c r="CD125" t="s">
        <v>203</v>
      </c>
      <c r="CG125" s="122"/>
      <c r="CV125" s="388"/>
    </row>
    <row r="126" spans="1:100" customFormat="1" ht="30" customHeight="1" outlineLevel="1">
      <c r="A126" s="112"/>
      <c r="B126" s="545" t="s">
        <v>385</v>
      </c>
      <c r="C126" s="418" t="s">
        <v>166</v>
      </c>
      <c r="D126" s="54" t="s">
        <v>386</v>
      </c>
      <c r="E126" s="531">
        <v>1000</v>
      </c>
      <c r="F126" s="418"/>
      <c r="G126" s="532" t="s">
        <v>236</v>
      </c>
      <c r="H126" s="421"/>
      <c r="I126" s="421"/>
      <c r="J126" s="422"/>
      <c r="K126" s="54" t="s">
        <v>237</v>
      </c>
      <c r="L126" s="54"/>
      <c r="O126" s="250" t="s">
        <v>384</v>
      </c>
      <c r="P126" s="250"/>
      <c r="R126" s="421" t="s">
        <v>238</v>
      </c>
      <c r="S126" s="420" t="s">
        <v>239</v>
      </c>
      <c r="T126" s="421" t="s">
        <v>240</v>
      </c>
      <c r="U126" s="421" t="s">
        <v>241</v>
      </c>
      <c r="V126" s="421" t="s">
        <v>242</v>
      </c>
      <c r="W126" s="420" t="s">
        <v>207</v>
      </c>
      <c r="X126" s="421" t="s">
        <v>243</v>
      </c>
      <c r="Y126" s="414" t="s">
        <v>244</v>
      </c>
      <c r="Z126" s="414" t="s">
        <v>159</v>
      </c>
      <c r="AA126" s="506" t="s">
        <v>353</v>
      </c>
      <c r="AB126" s="507" t="s">
        <v>354</v>
      </c>
      <c r="AC126" s="507" t="s">
        <v>355</v>
      </c>
      <c r="AD126" s="508"/>
      <c r="AE126" s="418" t="s">
        <v>318</v>
      </c>
      <c r="AF126" s="509" t="s">
        <v>226</v>
      </c>
      <c r="AG126" s="509" t="s">
        <v>356</v>
      </c>
      <c r="AH126" s="509" t="s">
        <v>357</v>
      </c>
      <c r="AI126" s="507" t="s">
        <v>358</v>
      </c>
      <c r="AJ126" s="507" t="s">
        <v>359</v>
      </c>
      <c r="AK126" s="508" t="s">
        <v>360</v>
      </c>
      <c r="AL126" s="509" t="s">
        <v>231</v>
      </c>
      <c r="AM126" s="509" t="s">
        <v>232</v>
      </c>
      <c r="AN126" s="509" t="s">
        <v>102</v>
      </c>
      <c r="AO126" s="509" t="s">
        <v>74</v>
      </c>
      <c r="AP126" s="509" t="s">
        <v>21</v>
      </c>
      <c r="AQ126" s="110"/>
      <c r="AW126">
        <f>IFERROR(Y127*F125,"-")</f>
        <v>0</v>
      </c>
      <c r="AX126" t="s">
        <v>156</v>
      </c>
      <c r="AY126" t="s">
        <v>246</v>
      </c>
      <c r="AZ126" t="s">
        <v>102</v>
      </c>
      <c r="BA126" t="s">
        <v>158</v>
      </c>
      <c r="BB126" t="s">
        <v>247</v>
      </c>
      <c r="BC126" t="s">
        <v>248</v>
      </c>
      <c r="BD126" t="s">
        <v>249</v>
      </c>
      <c r="BE126" t="s">
        <v>250</v>
      </c>
      <c r="BF126" t="s">
        <v>251</v>
      </c>
      <c r="BG126" t="s">
        <v>252</v>
      </c>
      <c r="BH126" t="s">
        <v>253</v>
      </c>
      <c r="BI126" t="s">
        <v>254</v>
      </c>
      <c r="BJ126" t="s">
        <v>255</v>
      </c>
      <c r="BK126" t="s">
        <v>256</v>
      </c>
      <c r="BL126" t="s">
        <v>257</v>
      </c>
      <c r="BM126" t="s">
        <v>258</v>
      </c>
      <c r="BS126" s="898" t="s">
        <v>2337</v>
      </c>
      <c r="BT126" s="898" t="s">
        <v>2338</v>
      </c>
      <c r="BU126" s="898" t="s">
        <v>2339</v>
      </c>
      <c r="BZ126" t="s">
        <v>369</v>
      </c>
      <c r="CA126" s="112" t="s">
        <v>200</v>
      </c>
      <c r="CB126" t="s">
        <v>201</v>
      </c>
      <c r="CC126" t="s">
        <v>202</v>
      </c>
      <c r="CD126" t="s">
        <v>203</v>
      </c>
      <c r="CG126" s="122"/>
      <c r="CV126" s="388"/>
    </row>
    <row r="127" spans="1:100" customFormat="1" ht="30" customHeight="1" outlineLevel="1">
      <c r="A127" s="112"/>
      <c r="B127" s="418" t="s">
        <v>384</v>
      </c>
      <c r="C127" s="418" t="s">
        <v>362</v>
      </c>
      <c r="D127" s="54" t="s">
        <v>161</v>
      </c>
      <c r="E127" s="535"/>
      <c r="F127" s="418"/>
      <c r="G127" s="532" t="str">
        <f>G126</f>
        <v>喷塑</v>
      </c>
      <c r="H127" s="421"/>
      <c r="I127" s="421"/>
      <c r="J127" s="422"/>
      <c r="K127" s="54" t="s">
        <v>237</v>
      </c>
      <c r="L127" s="54"/>
      <c r="O127" s="250" t="s">
        <v>384</v>
      </c>
      <c r="P127" s="250"/>
      <c r="Q127" s="388" t="s">
        <v>330</v>
      </c>
      <c r="R127" s="422">
        <f>AG127</f>
        <v>3.83</v>
      </c>
      <c r="S127" s="420">
        <v>1.01</v>
      </c>
      <c r="T127" s="519">
        <f>R127*S127/1.13</f>
        <v>3.4232743362831863</v>
      </c>
      <c r="U127" s="520">
        <f>AH127/Y127+0.25</f>
        <v>0.45195743358707474</v>
      </c>
      <c r="V127" s="520">
        <f>IF(AE127="喷塑",AI127*AC127*AF127/1000000/1.13/Y127,AF127/1.13)</f>
        <v>0.2592863987373879</v>
      </c>
      <c r="W127" s="520"/>
      <c r="X127" s="519">
        <f>(T127+U127+V127)*Y127</f>
        <v>53.22778690265487</v>
      </c>
      <c r="Y127" s="521">
        <f>AK127*AJ127*AC127*Z129/1000000</f>
        <v>12.874000000000001</v>
      </c>
      <c r="Z127" s="508">
        <f>Y127*AB127</f>
        <v>12.874000000000001</v>
      </c>
      <c r="AA127" s="513" t="str">
        <f>D126</f>
        <v>L12580.8t</v>
      </c>
      <c r="AB127" s="460">
        <v>1</v>
      </c>
      <c r="AC127" s="460">
        <f>E126</f>
        <v>1000</v>
      </c>
      <c r="AD127" s="508"/>
      <c r="AE127" s="514" t="str">
        <f>G126</f>
        <v>喷塑</v>
      </c>
      <c r="AF127" s="515">
        <f>IF(AE127="预镀锌",0,IF(AE127="喷塑",VLOOKUP(AA127,常规材料表!$1:$1048576,12,0),IF(AE127="热镀锌",VLOOKUP(AA127,常规材料表!$1:$1048576,13,0),IF(AE127="冷镀锌",VLOOKUP(AA127,常规材料表!$1:$1048576,15,0),0))))</f>
        <v>9.1999999999999993</v>
      </c>
      <c r="AG127" s="515">
        <f>VLOOKUP(AA127,常规材料表!$1:$1048576,10,0)</f>
        <v>3.83</v>
      </c>
      <c r="AH127" s="515">
        <f>IF(AE127="预镀锌",VLOOKUP(AA127,常规材料表!$1:$1048576,11,0)+VLOOKUP(AA127,常规材料表!$1:$1048576,14,0),VLOOKUP(AA127,常规材料表!$1:$1048576,11,0))+IF(AC127&lt;8000,0,VLOOKUP(AA127,常规材料表!$1:$1048576,16,0))+IF(AC127&gt;1200,VLOOKUP(AA127,常规材料表!$1:$1048576,16,0),0)</f>
        <v>2.6</v>
      </c>
      <c r="AI127" s="515">
        <f>2*IF(ISNUMBER(SEARCH("B",AA127)),AK127,(VLOOKUP(AA127,常规材料表!$1:$1048576,8,0)+VLOOKUP(AA127,常规材料表!$1:$1048576,9,0)))</f>
        <v>410</v>
      </c>
      <c r="AJ127" s="515">
        <f>VLOOKUP(AA127,常规材料表!$1:$1048576,6,0)</f>
        <v>8</v>
      </c>
      <c r="AK127" s="508">
        <f>VLOOKUP(AA127,常规材料表!$1:$1048576,7,0)</f>
        <v>205</v>
      </c>
      <c r="AL127" s="508" t="s">
        <v>363</v>
      </c>
      <c r="AM127" s="508" t="str">
        <f>VLOOKUP(AA129,常规材料表!$1:$1048576,17,0)</f>
        <v>S.Pin.ø7.L38</v>
      </c>
      <c r="AN127" s="508">
        <f>VLOOKUP(AA129,常规材料表!$1:$1048576,18,0)</f>
        <v>2</v>
      </c>
      <c r="AO127" s="508">
        <f>VLOOKUP(AM127,标准件价格!$C:$D,2,0)</f>
        <v>0.18</v>
      </c>
      <c r="AP127" s="508">
        <f>AN127*AO127</f>
        <v>0.36</v>
      </c>
      <c r="AQ127" s="110"/>
      <c r="BZ127" t="s">
        <v>369</v>
      </c>
      <c r="CA127" s="112" t="s">
        <v>200</v>
      </c>
      <c r="CB127" t="s">
        <v>201</v>
      </c>
      <c r="CC127" t="s">
        <v>202</v>
      </c>
      <c r="CD127" t="s">
        <v>203</v>
      </c>
      <c r="CG127" s="122"/>
      <c r="CV127" s="388"/>
    </row>
    <row r="128" spans="1:100" customFormat="1" ht="30" customHeight="1" outlineLevel="1">
      <c r="A128" s="112"/>
      <c r="B128" s="418"/>
      <c r="C128" s="418" t="s">
        <v>364</v>
      </c>
      <c r="D128" s="463"/>
      <c r="E128" s="538">
        <v>1</v>
      </c>
      <c r="F128" s="539">
        <f>IF(D128&gt;0,F125,0)</f>
        <v>0</v>
      </c>
      <c r="G128" s="418"/>
      <c r="H128" s="421">
        <f>IFERROR(D128*(I128*1.02+J129+J128*1.13)/1.13*F128/F125,0)</f>
        <v>0</v>
      </c>
      <c r="I128" s="547">
        <f>4.24</f>
        <v>4.24</v>
      </c>
      <c r="J128" s="460">
        <f>IFERROR(((0.8*E128+0.4)*D125/1000+0.4)/D128,0)</f>
        <v>0</v>
      </c>
      <c r="K128" s="54" t="s">
        <v>237</v>
      </c>
      <c r="L128" s="54"/>
      <c r="O128" s="250" t="s">
        <v>384</v>
      </c>
      <c r="P128" s="250"/>
      <c r="Q128" t="s">
        <v>362</v>
      </c>
      <c r="R128" s="524">
        <f>IFERROR(AG129,0)</f>
        <v>6.5514103730664202</v>
      </c>
      <c r="S128" s="420">
        <v>1.01</v>
      </c>
      <c r="T128" s="519">
        <f>R128*S128/1.13</f>
        <v>5.8556853776965356</v>
      </c>
      <c r="U128" s="421">
        <v>0.25</v>
      </c>
      <c r="V128" s="520">
        <f>IFERROR(IF(AE129="喷塑",AH129*AF129/Y128,AF129/1.13),0)</f>
        <v>0.66969972702456781</v>
      </c>
      <c r="W128" s="520">
        <f>IFERROR(AP127/Y128/1.13,0)</f>
        <v>0.28988541473745244</v>
      </c>
      <c r="X128" s="519">
        <f>IFERROR((T128+U128+V128+W128)*Y128,0)</f>
        <v>7.7647323008849529</v>
      </c>
      <c r="Y128" s="521">
        <f>IFERROR(VLOOKUP(AA129,常规材料表!$1:$1048576,3,0),0)</f>
        <v>1.099</v>
      </c>
      <c r="Z128" s="508">
        <f>Y128*AB127</f>
        <v>1.099</v>
      </c>
      <c r="AA128" s="506" t="s">
        <v>365</v>
      </c>
      <c r="AE128" s="418" t="s">
        <v>334</v>
      </c>
      <c r="AF128" s="509" t="s">
        <v>226</v>
      </c>
      <c r="AG128" s="508" t="s">
        <v>366</v>
      </c>
      <c r="AH128" s="508" t="s">
        <v>336</v>
      </c>
      <c r="AQ128" s="110"/>
      <c r="BZ128" t="s">
        <v>369</v>
      </c>
      <c r="CA128" s="112" t="s">
        <v>200</v>
      </c>
      <c r="CB128" t="s">
        <v>201</v>
      </c>
      <c r="CC128" t="s">
        <v>202</v>
      </c>
      <c r="CD128" t="s">
        <v>203</v>
      </c>
      <c r="CG128" s="122"/>
      <c r="CV128" s="388"/>
    </row>
    <row r="129" spans="1:100" customFormat="1" ht="30" customHeight="1" outlineLevel="1">
      <c r="A129" s="112"/>
      <c r="B129" s="414">
        <v>0</v>
      </c>
      <c r="C129" s="465">
        <f>报价辅助计算!$E$13</f>
        <v>0</v>
      </c>
      <c r="D129" s="418"/>
      <c r="E129" s="415"/>
      <c r="F129" s="463"/>
      <c r="G129" s="418"/>
      <c r="H129" s="382"/>
      <c r="I129" s="421"/>
      <c r="J129" s="460">
        <v>0.95</v>
      </c>
      <c r="K129" s="54" t="s">
        <v>237</v>
      </c>
      <c r="L129" s="54"/>
      <c r="O129" s="250" t="s">
        <v>384</v>
      </c>
      <c r="P129" s="250"/>
      <c r="R129" s="421"/>
      <c r="S129" s="420"/>
      <c r="T129" s="421"/>
      <c r="U129" s="420"/>
      <c r="V129" s="546"/>
      <c r="W129" s="421"/>
      <c r="X129" s="520"/>
      <c r="Y129" s="509" t="s">
        <v>277</v>
      </c>
      <c r="Z129" s="458">
        <v>7.85</v>
      </c>
      <c r="AA129" s="513" t="str">
        <f>D127</f>
        <v>Bracket.DE75-3H+pin</v>
      </c>
      <c r="AE129" s="514" t="str">
        <f>G127</f>
        <v>喷塑</v>
      </c>
      <c r="AF129" s="515">
        <f>IF(AE129="预镀锌",0,IF(AE129="喷塑",VLOOKUP(AA129,常规材料表!$1:$1048576,12,0),IF(AE129="热镀锌",VLOOKUP(AA129,常规材料表!$1:$1048576,13,0),IF(AE129="冷镀锌",VLOOKUP(AA129,常规材料表!$1:$1048576,15,0),0))))</f>
        <v>9.1999999999999993</v>
      </c>
      <c r="AG129" s="515">
        <f>VLOOKUP(AA129,常规材料表!$1:$1048576,10,0)</f>
        <v>6.5514103730664202</v>
      </c>
      <c r="AH129" s="508">
        <f>VLOOKUP(AA129,常规材料表!$1:$1048576,4,0)</f>
        <v>0.08</v>
      </c>
      <c r="AQ129" s="110"/>
      <c r="BZ129" t="s">
        <v>369</v>
      </c>
      <c r="CA129" s="112" t="s">
        <v>200</v>
      </c>
      <c r="CB129" t="s">
        <v>201</v>
      </c>
      <c r="CC129" t="s">
        <v>202</v>
      </c>
      <c r="CD129" t="s">
        <v>203</v>
      </c>
      <c r="CG129" s="122"/>
      <c r="CV129" s="388"/>
    </row>
    <row r="130" spans="1:100" s="376" customFormat="1" ht="30" customHeight="1">
      <c r="A130" s="472"/>
      <c r="B130" s="473"/>
      <c r="C130" s="473"/>
      <c r="D130" s="473"/>
      <c r="E130" s="474"/>
      <c r="F130" s="473"/>
      <c r="G130" s="473"/>
      <c r="H130" s="421"/>
      <c r="I130" s="421"/>
      <c r="J130" s="422"/>
      <c r="K130" s="475"/>
      <c r="L130" s="475"/>
      <c r="R130" s="387"/>
      <c r="S130" s="387"/>
      <c r="T130" s="387"/>
      <c r="U130" s="387"/>
      <c r="V130" s="387"/>
      <c r="W130" s="387"/>
      <c r="X130" s="387"/>
      <c r="AQ130" s="476"/>
      <c r="BZ130" t="s">
        <v>369</v>
      </c>
      <c r="CA130" s="112" t="s">
        <v>200</v>
      </c>
      <c r="CB130" t="s">
        <v>201</v>
      </c>
      <c r="CC130" t="s">
        <v>202</v>
      </c>
      <c r="CD130" t="s">
        <v>203</v>
      </c>
      <c r="CE130"/>
      <c r="CF130"/>
      <c r="CG130" s="122"/>
    </row>
    <row r="131" spans="1:100" customFormat="1" ht="30" customHeight="1">
      <c r="A131" s="112" t="str">
        <f>IF($C$13=1,IF(K131="报价行",IF(F131&gt;0,1," ")," ")," ")</f>
        <v xml:space="preserve"> </v>
      </c>
      <c r="B131" s="414" t="str">
        <f>IF(A131=1,SUM($A$11:A131),"L折弯护脚")</f>
        <v>L折弯护脚</v>
      </c>
      <c r="C131" s="415" t="str">
        <f>B132&amp;IF(C134=1,CHAR(10)&amp;B133," ")</f>
        <v xml:space="preserve">L Upright protector </v>
      </c>
      <c r="D131" s="558">
        <v>300</v>
      </c>
      <c r="E131" s="415" t="str">
        <f>"L100*100*t"&amp;C133</f>
        <v>L100*100*t5</v>
      </c>
      <c r="F131" s="418"/>
      <c r="G131" s="419">
        <f>D132</f>
        <v>2.5669499999999998</v>
      </c>
      <c r="H131" s="420">
        <f>H132</f>
        <v>18.292909367256641</v>
      </c>
      <c r="I131" s="421" t="s">
        <v>387</v>
      </c>
      <c r="J131" s="422"/>
      <c r="K131" s="423" t="s">
        <v>217</v>
      </c>
      <c r="L131" s="54"/>
      <c r="O131" t="s">
        <v>388</v>
      </c>
      <c r="R131" s="387"/>
      <c r="S131" s="387"/>
      <c r="T131" s="387"/>
      <c r="U131" s="387"/>
      <c r="V131" s="387"/>
      <c r="W131" s="387"/>
      <c r="X131" s="387"/>
      <c r="AQ131" s="110"/>
      <c r="AX131" t="str">
        <f>E131</f>
        <v>L100*100*t5</v>
      </c>
      <c r="AY131" s="494">
        <f>D131</f>
        <v>300</v>
      </c>
      <c r="AZ131">
        <f>F131</f>
        <v>0</v>
      </c>
      <c r="BA131" s="256">
        <f>G131</f>
        <v>2.5669499999999998</v>
      </c>
      <c r="BB131">
        <f>AZ131*BA131</f>
        <v>0</v>
      </c>
      <c r="BC131" s="495"/>
      <c r="BR131" t="str">
        <f>I131</f>
        <v>Yellow Ral1023</v>
      </c>
      <c r="BZ131" t="s">
        <v>389</v>
      </c>
      <c r="CA131" s="112" t="s">
        <v>200</v>
      </c>
      <c r="CB131" t="s">
        <v>201</v>
      </c>
      <c r="CG131" s="122" t="s">
        <v>207</v>
      </c>
      <c r="CV131" s="388"/>
    </row>
    <row r="132" spans="1:100" customFormat="1" ht="30" customHeight="1" outlineLevel="1">
      <c r="A132" s="112"/>
      <c r="B132" s="415" t="s">
        <v>390</v>
      </c>
      <c r="C132" s="418" t="s">
        <v>391</v>
      </c>
      <c r="D132" s="559">
        <f>0.2*(D131-3+30)*C133*7.85/1000</f>
        <v>2.5669499999999998</v>
      </c>
      <c r="E132" s="545"/>
      <c r="F132" s="506">
        <v>1</v>
      </c>
      <c r="G132" s="532" t="s">
        <v>236</v>
      </c>
      <c r="H132" s="421">
        <f>D132*(I133*1.01+J133*1.13+I134+J134)/1.13*F132</f>
        <v>18.292909367256641</v>
      </c>
      <c r="I132" s="421"/>
      <c r="J132" s="422"/>
      <c r="K132" s="54" t="s">
        <v>237</v>
      </c>
      <c r="L132" s="54"/>
      <c r="O132" t="s">
        <v>388</v>
      </c>
      <c r="R132" s="387"/>
      <c r="S132" s="387"/>
      <c r="T132" s="387"/>
      <c r="U132" s="387"/>
      <c r="V132" s="387"/>
      <c r="W132" s="387"/>
      <c r="X132" s="387"/>
      <c r="AQ132" s="110"/>
      <c r="AX132" t="s">
        <v>156</v>
      </c>
      <c r="AY132" t="s">
        <v>246</v>
      </c>
      <c r="AZ132" t="s">
        <v>102</v>
      </c>
      <c r="BA132" t="s">
        <v>158</v>
      </c>
      <c r="BB132" t="s">
        <v>247</v>
      </c>
      <c r="BD132" t="s">
        <v>249</v>
      </c>
      <c r="BE132" t="s">
        <v>250</v>
      </c>
      <c r="BF132" t="s">
        <v>251</v>
      </c>
      <c r="BS132" s="898"/>
      <c r="BT132" s="898"/>
      <c r="BU132" s="898"/>
      <c r="BZ132" t="s">
        <v>389</v>
      </c>
      <c r="CA132" s="112" t="s">
        <v>200</v>
      </c>
      <c r="CB132" t="s">
        <v>201</v>
      </c>
      <c r="CG132" s="122" t="s">
        <v>207</v>
      </c>
      <c r="CV132" s="388"/>
    </row>
    <row r="133" spans="1:100" customFormat="1" ht="30" customHeight="1" outlineLevel="1">
      <c r="A133" s="112"/>
      <c r="B133" s="418" t="s">
        <v>388</v>
      </c>
      <c r="C133" s="560">
        <f>VLOOKUP(C132,下拉菜单!BE:BF,2)</f>
        <v>5</v>
      </c>
      <c r="D133" s="447"/>
      <c r="E133" s="545"/>
      <c r="F133" s="561"/>
      <c r="G133" s="418"/>
      <c r="H133" s="382"/>
      <c r="I133" s="418">
        <f>VLOOKUP(C132,材料信息更新!$B:$C,2,0)</f>
        <v>3.63</v>
      </c>
      <c r="J133" s="418">
        <v>1.8</v>
      </c>
      <c r="K133" s="54" t="s">
        <v>237</v>
      </c>
      <c r="L133" s="54"/>
      <c r="O133" t="s">
        <v>388</v>
      </c>
      <c r="R133" s="387"/>
      <c r="S133" s="387"/>
      <c r="T133" s="387"/>
      <c r="U133" s="387"/>
      <c r="V133" s="387"/>
      <c r="W133" s="387"/>
      <c r="X133" s="387"/>
      <c r="AQ133" s="110"/>
      <c r="BZ133" t="s">
        <v>389</v>
      </c>
      <c r="CA133" s="112" t="s">
        <v>200</v>
      </c>
      <c r="CB133" t="s">
        <v>201</v>
      </c>
      <c r="CG133" s="122" t="s">
        <v>207</v>
      </c>
      <c r="CV133" s="388"/>
    </row>
    <row r="134" spans="1:100" customFormat="1" ht="30" customHeight="1" outlineLevel="1">
      <c r="A134" s="112"/>
      <c r="B134" s="414">
        <v>0</v>
      </c>
      <c r="C134" s="465">
        <f>报价辅助计算!$E$13</f>
        <v>0</v>
      </c>
      <c r="D134" s="562"/>
      <c r="E134" s="563"/>
      <c r="F134" s="561"/>
      <c r="G134" s="418"/>
      <c r="H134" s="382"/>
      <c r="I134" s="564">
        <v>0.95</v>
      </c>
      <c r="J134" s="564">
        <f>0.9*4/D132</f>
        <v>1.402442587506574</v>
      </c>
      <c r="K134" s="54" t="s">
        <v>237</v>
      </c>
      <c r="L134" s="54"/>
      <c r="O134" t="s">
        <v>388</v>
      </c>
      <c r="R134" s="387"/>
      <c r="S134" s="387"/>
      <c r="T134" s="387"/>
      <c r="U134" s="387"/>
      <c r="V134" s="387"/>
      <c r="W134" s="387"/>
      <c r="X134" s="387"/>
      <c r="AQ134" s="110"/>
      <c r="BZ134" t="s">
        <v>389</v>
      </c>
      <c r="CA134" s="112" t="s">
        <v>200</v>
      </c>
      <c r="CB134" t="s">
        <v>201</v>
      </c>
      <c r="CG134" s="122" t="s">
        <v>207</v>
      </c>
      <c r="CV134" s="388"/>
    </row>
    <row r="135" spans="1:100" s="376" customFormat="1" ht="30" customHeight="1">
      <c r="A135" s="472"/>
      <c r="B135" s="473"/>
      <c r="C135" s="473"/>
      <c r="D135" s="473"/>
      <c r="E135" s="474"/>
      <c r="F135" s="473"/>
      <c r="G135" s="473"/>
      <c r="H135" s="421"/>
      <c r="I135" s="421"/>
      <c r="J135" s="422"/>
      <c r="K135" s="475"/>
      <c r="L135" s="475"/>
      <c r="R135" s="387"/>
      <c r="S135" s="387"/>
      <c r="T135" s="387"/>
      <c r="U135" s="387"/>
      <c r="V135" s="387"/>
      <c r="W135" s="387"/>
      <c r="X135" s="387"/>
      <c r="AQ135" s="476"/>
      <c r="BZ135" t="s">
        <v>389</v>
      </c>
      <c r="CA135" s="112" t="s">
        <v>200</v>
      </c>
      <c r="CB135" t="s">
        <v>201</v>
      </c>
      <c r="CC135"/>
      <c r="CD135"/>
      <c r="CE135"/>
      <c r="CF135"/>
      <c r="CG135" s="122" t="s">
        <v>207</v>
      </c>
    </row>
    <row r="136" spans="1:100" customFormat="1" ht="30" customHeight="1">
      <c r="A136" s="112" t="str">
        <f>IF($C$13=1,IF(K136="报价行",IF(F136&gt;0,1," ")," ")," ")</f>
        <v xml:space="preserve"> </v>
      </c>
      <c r="B136" s="414" t="str">
        <f>IF(A136=1,SUM($A$11:A136),"L角钢护脚")</f>
        <v>L角钢护脚</v>
      </c>
      <c r="C136" s="415" t="str">
        <f>B137&amp;IF(C139=1,CHAR(10)&amp;B138," ")</f>
        <v xml:space="preserve">L Upright protector </v>
      </c>
      <c r="D136" s="558">
        <v>300</v>
      </c>
      <c r="E136" s="415" t="str">
        <f>"L100*100*t5.5"</f>
        <v>L100*100*t5.5</v>
      </c>
      <c r="F136" s="418"/>
      <c r="G136" s="419">
        <f>D137</f>
        <v>3.3997499999999996</v>
      </c>
      <c r="H136" s="420">
        <f>H137</f>
        <v>23.801864535398231</v>
      </c>
      <c r="I136" s="421" t="s">
        <v>387</v>
      </c>
      <c r="J136" s="422"/>
      <c r="K136" s="423" t="s">
        <v>217</v>
      </c>
      <c r="L136" s="54"/>
      <c r="O136" t="s">
        <v>389</v>
      </c>
      <c r="R136" s="387"/>
      <c r="S136" s="387"/>
      <c r="T136" s="387"/>
      <c r="U136" s="387"/>
      <c r="V136" s="387"/>
      <c r="W136" s="387"/>
      <c r="X136" s="387"/>
      <c r="AQ136" s="110"/>
      <c r="AX136" t="str">
        <f>E136</f>
        <v>L100*100*t5.5</v>
      </c>
      <c r="AY136" s="494">
        <f>D136</f>
        <v>300</v>
      </c>
      <c r="AZ136">
        <f>F136</f>
        <v>0</v>
      </c>
      <c r="BA136" s="256">
        <f>G136</f>
        <v>3.3997499999999996</v>
      </c>
      <c r="BB136">
        <f>AZ136*BA136</f>
        <v>0</v>
      </c>
      <c r="BC136" s="495"/>
      <c r="BR136" t="str">
        <f>I136</f>
        <v>Yellow Ral1023</v>
      </c>
      <c r="BZ136" t="s">
        <v>389</v>
      </c>
      <c r="CA136" s="112" t="s">
        <v>200</v>
      </c>
      <c r="CB136" t="s">
        <v>201</v>
      </c>
      <c r="CG136" s="122" t="s">
        <v>207</v>
      </c>
      <c r="CV136" s="388"/>
    </row>
    <row r="137" spans="1:100" customFormat="1" ht="30" customHeight="1" outlineLevel="1">
      <c r="A137" s="112"/>
      <c r="B137" s="415" t="s">
        <v>390</v>
      </c>
      <c r="C137" s="418"/>
      <c r="D137" s="559">
        <f>9.37*D136/1000+150*100*5*7.85/1000000</f>
        <v>3.3997499999999996</v>
      </c>
      <c r="E137" s="545"/>
      <c r="F137" s="506">
        <v>1</v>
      </c>
      <c r="G137" s="532" t="s">
        <v>236</v>
      </c>
      <c r="H137" s="421">
        <f>D137*(I138*1.01+J138*1.13+I139+J139)/1.13*F137</f>
        <v>23.801864535398231</v>
      </c>
      <c r="I137" s="421"/>
      <c r="J137" s="422"/>
      <c r="K137" s="54" t="s">
        <v>237</v>
      </c>
      <c r="L137" s="54"/>
      <c r="O137" t="s">
        <v>389</v>
      </c>
      <c r="R137" s="387"/>
      <c r="S137" s="387"/>
      <c r="T137" s="387"/>
      <c r="U137" s="387"/>
      <c r="V137" s="387"/>
      <c r="W137" s="387"/>
      <c r="X137" s="387"/>
      <c r="AQ137" s="110"/>
      <c r="AX137" t="s">
        <v>156</v>
      </c>
      <c r="AY137" t="s">
        <v>246</v>
      </c>
      <c r="AZ137" t="s">
        <v>102</v>
      </c>
      <c r="BA137" t="s">
        <v>158</v>
      </c>
      <c r="BB137" t="s">
        <v>247</v>
      </c>
      <c r="BD137" t="s">
        <v>249</v>
      </c>
      <c r="BE137" t="s">
        <v>250</v>
      </c>
      <c r="BF137" t="s">
        <v>251</v>
      </c>
      <c r="BZ137" t="s">
        <v>389</v>
      </c>
      <c r="CA137" s="112" t="s">
        <v>200</v>
      </c>
      <c r="CB137" t="s">
        <v>201</v>
      </c>
      <c r="CG137" s="122" t="s">
        <v>207</v>
      </c>
      <c r="CV137" s="388"/>
    </row>
    <row r="138" spans="1:100" customFormat="1" ht="30" customHeight="1" outlineLevel="1">
      <c r="A138" s="112"/>
      <c r="B138" s="418" t="s">
        <v>389</v>
      </c>
      <c r="C138" s="560"/>
      <c r="D138" s="447"/>
      <c r="E138" s="545"/>
      <c r="F138" s="561"/>
      <c r="G138" s="418"/>
      <c r="H138" s="565"/>
      <c r="I138" s="506">
        <f>材料信息更新!$C$109</f>
        <v>3.83</v>
      </c>
      <c r="J138" s="418">
        <v>1.8</v>
      </c>
      <c r="K138" s="54" t="s">
        <v>237</v>
      </c>
      <c r="L138" s="54"/>
      <c r="O138" t="s">
        <v>389</v>
      </c>
      <c r="R138" s="387"/>
      <c r="S138" s="387"/>
      <c r="T138" s="387"/>
      <c r="U138" s="387"/>
      <c r="V138" s="387"/>
      <c r="W138" s="387"/>
      <c r="X138" s="387"/>
      <c r="AQ138" s="110"/>
      <c r="BZ138" t="s">
        <v>389</v>
      </c>
      <c r="CA138" s="112" t="s">
        <v>200</v>
      </c>
      <c r="CB138" t="s">
        <v>201</v>
      </c>
      <c r="CG138" s="122" t="s">
        <v>207</v>
      </c>
      <c r="CV138" s="388"/>
    </row>
    <row r="139" spans="1:100" customFormat="1" ht="30" customHeight="1" outlineLevel="1">
      <c r="A139" s="112"/>
      <c r="B139" s="414">
        <v>0</v>
      </c>
      <c r="C139" s="465">
        <f>报价辅助计算!$E$13</f>
        <v>0</v>
      </c>
      <c r="D139" s="562"/>
      <c r="E139" s="563"/>
      <c r="F139" s="561"/>
      <c r="G139" s="418"/>
      <c r="H139" s="565"/>
      <c r="I139" s="564">
        <v>0.95</v>
      </c>
      <c r="J139" s="564">
        <f>0.9*4/D137</f>
        <v>1.0589013898080744</v>
      </c>
      <c r="K139" s="54" t="s">
        <v>237</v>
      </c>
      <c r="L139" s="54"/>
      <c r="O139" t="s">
        <v>389</v>
      </c>
      <c r="R139" s="387"/>
      <c r="S139" s="387"/>
      <c r="T139" s="387"/>
      <c r="U139" s="387"/>
      <c r="V139" s="387"/>
      <c r="W139" s="387"/>
      <c r="X139" s="387"/>
      <c r="AQ139" s="110"/>
      <c r="BZ139" t="s">
        <v>389</v>
      </c>
      <c r="CA139" s="112" t="s">
        <v>200</v>
      </c>
      <c r="CB139" t="s">
        <v>201</v>
      </c>
      <c r="CG139" s="122" t="s">
        <v>207</v>
      </c>
      <c r="CV139" s="388"/>
    </row>
    <row r="140" spans="1:100" s="376" customFormat="1" ht="30" customHeight="1">
      <c r="A140" s="472"/>
      <c r="B140" s="473"/>
      <c r="C140" s="473"/>
      <c r="D140" s="473"/>
      <c r="E140" s="474"/>
      <c r="F140" s="473"/>
      <c r="G140" s="473"/>
      <c r="H140" s="421"/>
      <c r="I140" s="421"/>
      <c r="J140" s="422"/>
      <c r="K140" s="475"/>
      <c r="L140" s="475"/>
      <c r="R140" s="387"/>
      <c r="S140" s="387"/>
      <c r="T140" s="387"/>
      <c r="U140" s="387"/>
      <c r="V140" s="387"/>
      <c r="W140" s="387"/>
      <c r="X140" s="387"/>
      <c r="AQ140" s="476"/>
      <c r="BZ140" t="s">
        <v>389</v>
      </c>
      <c r="CA140" s="112" t="s">
        <v>200</v>
      </c>
      <c r="CB140" t="s">
        <v>201</v>
      </c>
      <c r="CC140"/>
      <c r="CD140"/>
      <c r="CE140"/>
      <c r="CF140"/>
      <c r="CG140" s="122" t="s">
        <v>207</v>
      </c>
    </row>
    <row r="141" spans="1:100" customFormat="1" ht="30" customHeight="1">
      <c r="A141" s="112" t="str">
        <f>IF($C$13=1,IF(K141="报价行",IF(F141&gt;0,1," ")," ")," ")</f>
        <v xml:space="preserve"> </v>
      </c>
      <c r="B141" s="414" t="str">
        <f>IF(A141=1,SUM($A$11:A141),"防撞栏")</f>
        <v>防撞栏</v>
      </c>
      <c r="C141" s="415" t="str">
        <f>B142&amp;IF(C144=1,CHAR(10)&amp;B143," ")</f>
        <v xml:space="preserve">Safety barrier </v>
      </c>
      <c r="D141" s="530" t="str">
        <f>"L"&amp;D142&amp;"*H"&amp;E142</f>
        <v>L2000*H500</v>
      </c>
      <c r="E141" s="566" t="s">
        <v>392</v>
      </c>
      <c r="F141" s="418"/>
      <c r="G141" s="428">
        <f>C142</f>
        <v>15.424375000000001</v>
      </c>
      <c r="H141" s="420">
        <f>((I142*1.01+I143+J143)/1.13+J142)*G141</f>
        <v>126.05251753318586</v>
      </c>
      <c r="I141" s="421" t="s">
        <v>387</v>
      </c>
      <c r="J141" s="422"/>
      <c r="K141" s="423" t="s">
        <v>217</v>
      </c>
      <c r="L141" s="54"/>
      <c r="O141" t="s">
        <v>393</v>
      </c>
      <c r="R141" s="387"/>
      <c r="S141" s="387"/>
      <c r="T141" s="387"/>
      <c r="U141" s="387"/>
      <c r="V141" s="387"/>
      <c r="W141" s="387"/>
      <c r="X141" s="387"/>
      <c r="AQ141" s="110"/>
      <c r="AX141" t="str">
        <f>E141</f>
        <v>Φ76*2.0 round pipe</v>
      </c>
      <c r="AY141" s="494" t="str">
        <f>D141</f>
        <v>L2000*H500</v>
      </c>
      <c r="AZ141">
        <f>F141</f>
        <v>0</v>
      </c>
      <c r="BA141" s="256">
        <f>G141</f>
        <v>15.424375000000001</v>
      </c>
      <c r="BB141">
        <f>AZ141*BA141</f>
        <v>0</v>
      </c>
      <c r="BC141" s="495"/>
      <c r="BR141" t="str">
        <f>I141</f>
        <v>Yellow Ral1023</v>
      </c>
      <c r="BZ141" t="s">
        <v>393</v>
      </c>
      <c r="CA141" s="112" t="s">
        <v>200</v>
      </c>
      <c r="CB141" t="s">
        <v>201</v>
      </c>
      <c r="CG141" s="122" t="s">
        <v>207</v>
      </c>
      <c r="CV141" s="388"/>
    </row>
    <row r="142" spans="1:100" customFormat="1" ht="30" customHeight="1" outlineLevel="1">
      <c r="A142" s="112"/>
      <c r="B142" s="418" t="s">
        <v>394</v>
      </c>
      <c r="C142" s="567">
        <f>3.65*(D142*D143+E142*E143)/1000+0.15*0.15*7.85*5*E143</f>
        <v>15.424375000000001</v>
      </c>
      <c r="D142" s="568">
        <v>2000</v>
      </c>
      <c r="E142" s="569">
        <v>500</v>
      </c>
      <c r="F142" s="447"/>
      <c r="G142" s="532" t="s">
        <v>236</v>
      </c>
      <c r="H142" s="421"/>
      <c r="I142" s="418">
        <f>材料信息更新!$C$98</f>
        <v>4.2300000000000004</v>
      </c>
      <c r="J142" s="382">
        <v>3</v>
      </c>
      <c r="K142" s="54" t="s">
        <v>237</v>
      </c>
      <c r="L142" s="54"/>
      <c r="O142" t="s">
        <v>393</v>
      </c>
      <c r="R142" s="387"/>
      <c r="S142" s="387"/>
      <c r="T142" s="387"/>
      <c r="U142" s="387"/>
      <c r="V142" s="387"/>
      <c r="W142" s="387"/>
      <c r="X142" s="387"/>
      <c r="AQ142" s="110"/>
      <c r="AX142" t="s">
        <v>156</v>
      </c>
      <c r="AY142" t="s">
        <v>246</v>
      </c>
      <c r="AZ142" t="s">
        <v>102</v>
      </c>
      <c r="BA142" t="s">
        <v>158</v>
      </c>
      <c r="BB142" t="s">
        <v>247</v>
      </c>
      <c r="BD142" t="s">
        <v>249</v>
      </c>
      <c r="BE142" t="s">
        <v>250</v>
      </c>
      <c r="BF142" t="s">
        <v>251</v>
      </c>
      <c r="BZ142" t="s">
        <v>393</v>
      </c>
      <c r="CA142" s="112" t="s">
        <v>200</v>
      </c>
      <c r="CB142" t="s">
        <v>201</v>
      </c>
      <c r="CG142" s="122" t="s">
        <v>207</v>
      </c>
      <c r="CV142" s="388"/>
    </row>
    <row r="143" spans="1:100" customFormat="1" ht="30" customHeight="1" outlineLevel="1">
      <c r="A143" s="112"/>
      <c r="B143" s="418" t="s">
        <v>395</v>
      </c>
      <c r="C143" s="570">
        <f>0.239*(D142*D143+E142*E143)/1000+0.15*0.15*2*E143</f>
        <v>0.97150000000000003</v>
      </c>
      <c r="D143" s="418">
        <f>IF(ROUNDUP(E142/600,0)=1,1,IF(ROUNDUP(E142/600,0)=2,2,"请检查"))</f>
        <v>1</v>
      </c>
      <c r="E143" s="418">
        <f>IF(ROUNDUP(D142/1500,0)=1,2,IF(ROUNDUP(D142/1500,0)=2,3,4))</f>
        <v>3</v>
      </c>
      <c r="F143" s="447"/>
      <c r="G143" s="418"/>
      <c r="H143" s="421"/>
      <c r="I143" s="418">
        <f>IF(G142="喷塑",0.95,0)</f>
        <v>0.95</v>
      </c>
      <c r="J143" s="571">
        <f>0.8*4*E143/C142</f>
        <v>0.62239150694922818</v>
      </c>
      <c r="K143" s="54" t="s">
        <v>237</v>
      </c>
      <c r="L143" s="54"/>
      <c r="O143" t="s">
        <v>393</v>
      </c>
      <c r="R143" s="387"/>
      <c r="S143" s="387"/>
      <c r="T143" s="387"/>
      <c r="U143" s="387"/>
      <c r="V143" s="387"/>
      <c r="W143" s="387"/>
      <c r="X143" s="387"/>
      <c r="AQ143" s="110"/>
      <c r="BZ143" t="s">
        <v>393</v>
      </c>
      <c r="CA143" s="112" t="s">
        <v>200</v>
      </c>
      <c r="CB143" t="s">
        <v>201</v>
      </c>
      <c r="CG143" s="122" t="s">
        <v>207</v>
      </c>
      <c r="CV143" s="388"/>
    </row>
    <row r="144" spans="1:100" customFormat="1" ht="30" customHeight="1" outlineLevel="1">
      <c r="A144" s="112"/>
      <c r="B144" s="414">
        <v>0</v>
      </c>
      <c r="C144" s="465">
        <f>报价辅助计算!$E$13</f>
        <v>0</v>
      </c>
      <c r="D144" s="418"/>
      <c r="E144" s="940"/>
      <c r="F144" s="941"/>
      <c r="G144" s="418"/>
      <c r="H144" s="421"/>
      <c r="I144" s="422"/>
      <c r="J144" s="422"/>
      <c r="K144" s="54" t="s">
        <v>237</v>
      </c>
      <c r="L144" s="54"/>
      <c r="O144" t="s">
        <v>393</v>
      </c>
      <c r="R144" s="387"/>
      <c r="S144" s="387"/>
      <c r="T144" s="387"/>
      <c r="U144" s="387"/>
      <c r="V144" s="387"/>
      <c r="W144" s="387"/>
      <c r="X144" s="387"/>
      <c r="AQ144" s="110"/>
      <c r="BZ144" t="s">
        <v>393</v>
      </c>
      <c r="CA144" s="112" t="s">
        <v>200</v>
      </c>
      <c r="CB144" t="s">
        <v>201</v>
      </c>
      <c r="CG144" s="122" t="s">
        <v>207</v>
      </c>
      <c r="CV144" s="388"/>
    </row>
    <row r="145" spans="1:100" s="376" customFormat="1" ht="30" customHeight="1">
      <c r="A145" s="472"/>
      <c r="B145" s="473"/>
      <c r="C145" s="473"/>
      <c r="D145" s="473"/>
      <c r="E145" s="474"/>
      <c r="F145" s="473"/>
      <c r="G145" s="473"/>
      <c r="H145" s="421"/>
      <c r="I145" s="421"/>
      <c r="J145" s="422"/>
      <c r="K145" s="475"/>
      <c r="L145" s="475"/>
      <c r="R145" s="387"/>
      <c r="S145" s="387"/>
      <c r="T145" s="387"/>
      <c r="U145" s="387"/>
      <c r="V145" s="387"/>
      <c r="W145" s="387"/>
      <c r="X145" s="387"/>
      <c r="AQ145" s="476"/>
      <c r="BZ145" t="s">
        <v>393</v>
      </c>
      <c r="CA145" s="112" t="s">
        <v>200</v>
      </c>
      <c r="CB145" t="s">
        <v>201</v>
      </c>
      <c r="CC145"/>
      <c r="CD145"/>
      <c r="CE145"/>
      <c r="CF145"/>
      <c r="CG145" s="477" t="s">
        <v>207</v>
      </c>
    </row>
    <row r="146" spans="1:100" customFormat="1" ht="30" customHeight="1">
      <c r="A146" s="112" t="str">
        <f>IF($C$13=1,IF(K146="报价行",IF(F146&gt;0,1," ")," ")," ")</f>
        <v xml:space="preserve"> </v>
      </c>
      <c r="B146" s="414" t="str">
        <f>IF(A146=1,SUM($A$11:A146),"网层板")</f>
        <v>网层板</v>
      </c>
      <c r="C146" s="415" t="str">
        <f>B147&amp;IF(C149=1,CHAR(10)&amp;B148," ")</f>
        <v xml:space="preserve">Wire mesh decking </v>
      </c>
      <c r="D146" s="530" t="str">
        <f>"D"&amp;E147&amp;"*W"&amp;F147</f>
        <v>D900*W1320</v>
      </c>
      <c r="E146" s="415" t="str">
        <f>IF(G148&gt;1,"divide to "&amp;G148&amp;" pcs, "," ")&amp;"Mesh 50*100, dia "&amp;D148&amp;"mm, "&amp;E148&amp;" ribs"&amp;"*"&amp;F148&amp;"mm/pc, "&amp;IF(F149&gt;0,"load "&amp;F149&amp;" kg/pc"," ")</f>
        <v xml:space="preserve"> Mesh 50*100, dia 4.8mm, 4 ribs*1.5mm/pc, load 1000 kg/pc</v>
      </c>
      <c r="F146" s="418"/>
      <c r="G146" s="419">
        <f>IFERROR(Y147,"-")</f>
        <v>9.0561860351999997</v>
      </c>
      <c r="H146" s="420">
        <f>IFERROR(X147,"-")</f>
        <v>46.767713421015401</v>
      </c>
      <c r="I146" s="421" t="s">
        <v>396</v>
      </c>
      <c r="J146" s="422"/>
      <c r="K146" s="423" t="s">
        <v>217</v>
      </c>
      <c r="L146" s="54"/>
      <c r="O146" s="572" t="s">
        <v>397</v>
      </c>
      <c r="P146" s="572"/>
      <c r="Q146" t="s">
        <v>219</v>
      </c>
      <c r="R146" s="421" t="s">
        <v>238</v>
      </c>
      <c r="S146" s="420" t="s">
        <v>239</v>
      </c>
      <c r="T146" s="421" t="s">
        <v>240</v>
      </c>
      <c r="U146" s="421" t="s">
        <v>398</v>
      </c>
      <c r="V146" s="421" t="s">
        <v>226</v>
      </c>
      <c r="W146" s="420" t="s">
        <v>207</v>
      </c>
      <c r="X146" s="421" t="s">
        <v>243</v>
      </c>
      <c r="Y146" s="414" t="s">
        <v>244</v>
      </c>
      <c r="Z146" s="414" t="s">
        <v>159</v>
      </c>
      <c r="AA146" s="460" t="s">
        <v>399</v>
      </c>
      <c r="AB146" s="460" t="s">
        <v>400</v>
      </c>
      <c r="AC146" s="460" t="s">
        <v>401</v>
      </c>
      <c r="AD146" s="460" t="s">
        <v>402</v>
      </c>
      <c r="AE146" s="460" t="s">
        <v>155</v>
      </c>
      <c r="AF146" s="509" t="s">
        <v>226</v>
      </c>
      <c r="AG146" s="509" t="s">
        <v>403</v>
      </c>
      <c r="AH146" s="429" t="s">
        <v>404</v>
      </c>
      <c r="AI146" s="573" t="s">
        <v>405</v>
      </c>
      <c r="AJ146" s="573" t="s">
        <v>406</v>
      </c>
      <c r="AK146" s="573" t="s">
        <v>407</v>
      </c>
      <c r="AQ146" s="110"/>
      <c r="AX146" t="str">
        <f>E146</f>
        <v xml:space="preserve"> Mesh 50*100, dia 4.8mm, 4 ribs*1.5mm/pc, load 1000 kg/pc</v>
      </c>
      <c r="AY146" s="494" t="str">
        <f>D146</f>
        <v>D900*W1320</v>
      </c>
      <c r="AZ146">
        <f>F146</f>
        <v>0</v>
      </c>
      <c r="BA146" s="256">
        <f>G146</f>
        <v>9.0561860351999997</v>
      </c>
      <c r="BB146">
        <f>AZ146*BA146</f>
        <v>0</v>
      </c>
      <c r="BC146" s="495">
        <f>E149</f>
        <v>40</v>
      </c>
      <c r="BR146" t="str">
        <f>I146</f>
        <v>Gal</v>
      </c>
      <c r="BZ146" t="s">
        <v>397</v>
      </c>
      <c r="CA146" s="112" t="s">
        <v>200</v>
      </c>
      <c r="CG146" s="122" t="s">
        <v>207</v>
      </c>
      <c r="CV146" s="388"/>
    </row>
    <row r="147" spans="1:100" customFormat="1" ht="30" customHeight="1" outlineLevel="1">
      <c r="A147" s="112"/>
      <c r="B147" s="418" t="s">
        <v>408</v>
      </c>
      <c r="C147" s="418" t="s">
        <v>397</v>
      </c>
      <c r="D147" s="418" t="s">
        <v>409</v>
      </c>
      <c r="E147" s="574">
        <v>900</v>
      </c>
      <c r="F147" s="575">
        <v>1320</v>
      </c>
      <c r="G147" s="428" t="s">
        <v>410</v>
      </c>
      <c r="H147" s="420"/>
      <c r="I147" s="421"/>
      <c r="J147" s="422"/>
      <c r="K147" s="54" t="s">
        <v>237</v>
      </c>
      <c r="L147" s="54"/>
      <c r="O147" s="572" t="s">
        <v>397</v>
      </c>
      <c r="P147" s="572"/>
      <c r="R147" s="422">
        <f>IF(I148&gt;0,I148,IF(AE147="喷塑",VLOOKUP(AA147&amp;AC147,常规材料表!$1:$1048576,10,0),VLOOKUP(AA147&amp;AC147,常规材料表!$1:$1048576,15,0)))</f>
        <v>5.66</v>
      </c>
      <c r="S147" s="420">
        <v>1.01</v>
      </c>
      <c r="T147" s="519">
        <f>R147*S147/1.13</f>
        <v>5.0589380530973465</v>
      </c>
      <c r="U147" s="422">
        <f>(AI147+AJ147/AK147)/Y147/1.13</f>
        <v>0.1052351694089614</v>
      </c>
      <c r="V147" s="422">
        <f>AF147*AG147/Y147</f>
        <v>0</v>
      </c>
      <c r="W147" s="520"/>
      <c r="X147" s="422">
        <f>(T147+U147+V147+W147)*Y147</f>
        <v>46.767713421015401</v>
      </c>
      <c r="Y147" s="508">
        <f>AC149*SUM((AA149-AH149)/AC149*(ROUND((AB149+AI149)/AJ149,0)+2)*3.14*(AC147/2)^2*U148/1000/1000+IF(ISNUMBER(SEARCH("非",AA147)),AB149,(AB149+AI149+AF149))*(ROUND((AA149-AH149)/AC149/AK149,0)+1)*3.14*(AC147/2)^2*U148/1000/1000+(AB149+AI149+AG149)*AD147*U148*AD149*AH147/1000/1000)</f>
        <v>9.0561860351999997</v>
      </c>
      <c r="Z147" s="508">
        <f>Y147*AB147</f>
        <v>9.0561860351999997</v>
      </c>
      <c r="AA147" s="460" t="str">
        <f>D147</f>
        <v>定制折弯式网层板</v>
      </c>
      <c r="AB147" s="460">
        <v>1</v>
      </c>
      <c r="AC147" s="460">
        <f>D148</f>
        <v>4.8</v>
      </c>
      <c r="AD147" s="460">
        <f>E148</f>
        <v>4</v>
      </c>
      <c r="AE147" s="514" t="str">
        <f>G147</f>
        <v>镀锌</v>
      </c>
      <c r="AF147" s="515">
        <f>IF(AE147="预镀锌",0,IF(AE147="喷塑",VLOOKUP(AA147,常规材料表!$1:$1048576,12,0),IF(AE147="热镀锌",VLOOKUP(AA147,常规材料表!$1:$1048576,13,0),IF(AE147="冷镀锌",VLOOKUP(AC147,常规材料表!$1:$1048576,15,0),0))))</f>
        <v>0</v>
      </c>
      <c r="AG147" s="508">
        <f>((AA149-AH149)/AC149*IF(AA147="折弯式网层板",(AB149+AI149+AF149),AB149)/1000000+AH147*2/1000*(AB149+AI149+AG149)/1000*AD147)</f>
        <v>1.7620800000000001</v>
      </c>
      <c r="AH147" s="429">
        <f>D149</f>
        <v>78</v>
      </c>
      <c r="AI147" s="458">
        <v>1</v>
      </c>
      <c r="AJ147" s="458">
        <v>8</v>
      </c>
      <c r="AK147" s="458">
        <v>104</v>
      </c>
      <c r="AQ147" s="110"/>
      <c r="AX147" t="s">
        <v>156</v>
      </c>
      <c r="AY147" t="s">
        <v>246</v>
      </c>
      <c r="AZ147" t="s">
        <v>102</v>
      </c>
      <c r="BA147" t="s">
        <v>158</v>
      </c>
      <c r="BB147" t="s">
        <v>247</v>
      </c>
      <c r="BC147" t="s">
        <v>248</v>
      </c>
      <c r="BD147" t="s">
        <v>249</v>
      </c>
      <c r="BE147" t="s">
        <v>250</v>
      </c>
      <c r="BF147" t="s">
        <v>251</v>
      </c>
      <c r="BZ147" t="s">
        <v>397</v>
      </c>
      <c r="CA147" s="112" t="s">
        <v>200</v>
      </c>
      <c r="CG147" s="122" t="s">
        <v>207</v>
      </c>
      <c r="CV147" s="388"/>
    </row>
    <row r="148" spans="1:100" customFormat="1" ht="30" customHeight="1" outlineLevel="1">
      <c r="A148" s="112"/>
      <c r="B148" s="418" t="s">
        <v>397</v>
      </c>
      <c r="C148" s="418" t="s">
        <v>411</v>
      </c>
      <c r="D148" s="576">
        <v>4.8</v>
      </c>
      <c r="E148" s="577">
        <v>4</v>
      </c>
      <c r="F148" s="578">
        <v>1.5</v>
      </c>
      <c r="G148" s="579">
        <f>IF(ROUNDUP(F147/1400,0)=1,1,IF(ROUNDUP(F147/1400,0)=2,2,"请检查"))</f>
        <v>1</v>
      </c>
      <c r="H148" s="421"/>
      <c r="I148" s="580">
        <v>0</v>
      </c>
      <c r="J148" s="422"/>
      <c r="K148" s="54" t="s">
        <v>237</v>
      </c>
      <c r="L148" s="54"/>
      <c r="O148" s="572" t="s">
        <v>397</v>
      </c>
      <c r="P148" s="572"/>
      <c r="R148" s="421" t="s">
        <v>412</v>
      </c>
      <c r="S148" s="420">
        <v>1.2</v>
      </c>
      <c r="T148" s="421" t="s">
        <v>277</v>
      </c>
      <c r="U148" s="420">
        <v>7.85</v>
      </c>
      <c r="V148" s="387"/>
      <c r="W148" s="387"/>
      <c r="X148" s="387"/>
      <c r="AA148" s="581" t="s">
        <v>413</v>
      </c>
      <c r="AB148" s="582" t="s">
        <v>414</v>
      </c>
      <c r="AC148" s="460" t="s">
        <v>415</v>
      </c>
      <c r="AD148" s="460" t="s">
        <v>416</v>
      </c>
      <c r="AE148" s="458" t="s">
        <v>417</v>
      </c>
      <c r="AF148" s="458" t="s">
        <v>418</v>
      </c>
      <c r="AG148" s="458" t="s">
        <v>419</v>
      </c>
      <c r="AH148" s="458" t="s">
        <v>420</v>
      </c>
      <c r="AI148" s="573" t="s">
        <v>421</v>
      </c>
      <c r="AJ148" s="458" t="s">
        <v>422</v>
      </c>
      <c r="AK148" s="458" t="s">
        <v>423</v>
      </c>
      <c r="AQ148" s="110"/>
      <c r="BZ148" t="s">
        <v>397</v>
      </c>
      <c r="CA148" s="112" t="s">
        <v>200</v>
      </c>
      <c r="CG148" s="122" t="s">
        <v>207</v>
      </c>
      <c r="CV148" s="388"/>
    </row>
    <row r="149" spans="1:100" customFormat="1" ht="30" customHeight="1" outlineLevel="1">
      <c r="A149" s="112"/>
      <c r="B149" s="414">
        <v>0</v>
      </c>
      <c r="C149" s="465">
        <f>报价辅助计算!$E$13</f>
        <v>0</v>
      </c>
      <c r="D149" s="583">
        <v>78</v>
      </c>
      <c r="E149" s="558">
        <v>40</v>
      </c>
      <c r="F149" s="584">
        <v>1000</v>
      </c>
      <c r="G149" s="380"/>
      <c r="H149" s="382"/>
      <c r="I149" s="421"/>
      <c r="J149" s="422"/>
      <c r="K149" s="54" t="s">
        <v>237</v>
      </c>
      <c r="L149" s="54"/>
      <c r="O149" s="572" t="s">
        <v>397</v>
      </c>
      <c r="P149" s="572"/>
      <c r="R149" s="421" t="s">
        <v>424</v>
      </c>
      <c r="S149" s="420">
        <v>7</v>
      </c>
      <c r="T149" s="387"/>
      <c r="U149" s="387"/>
      <c r="V149" s="387"/>
      <c r="W149" s="421" t="s">
        <v>34</v>
      </c>
      <c r="X149" s="422">
        <f>X147/S149*S148</f>
        <v>8.0173223007454961</v>
      </c>
      <c r="AA149" s="585">
        <f>F147</f>
        <v>1320</v>
      </c>
      <c r="AB149" s="586">
        <f>E147</f>
        <v>900</v>
      </c>
      <c r="AC149" s="460">
        <f>G148</f>
        <v>1</v>
      </c>
      <c r="AD149" s="460">
        <f>F148</f>
        <v>1.5</v>
      </c>
      <c r="AE149" s="458">
        <v>0</v>
      </c>
      <c r="AF149" s="458">
        <v>65</v>
      </c>
      <c r="AG149" s="458">
        <v>15</v>
      </c>
      <c r="AH149" s="458">
        <f>IF(ISNUMBER(SEARCH("定制",AA147)),0,40)</f>
        <v>0</v>
      </c>
      <c r="AI149" s="573">
        <v>5</v>
      </c>
      <c r="AJ149" s="458">
        <v>50</v>
      </c>
      <c r="AK149" s="458">
        <v>100</v>
      </c>
      <c r="AQ149" s="110"/>
      <c r="BZ149" t="s">
        <v>397</v>
      </c>
      <c r="CA149" s="112" t="s">
        <v>200</v>
      </c>
      <c r="CG149" s="122" t="s">
        <v>207</v>
      </c>
      <c r="CV149" s="388"/>
    </row>
    <row r="150" spans="1:100" s="376" customFormat="1" ht="30" customHeight="1">
      <c r="A150" s="472"/>
      <c r="B150" s="473"/>
      <c r="C150" s="473"/>
      <c r="D150" s="473"/>
      <c r="E150" s="474"/>
      <c r="F150" s="473"/>
      <c r="G150" s="473"/>
      <c r="H150" s="421"/>
      <c r="I150" s="421"/>
      <c r="J150" s="422"/>
      <c r="K150" s="475"/>
      <c r="L150" s="475"/>
      <c r="R150" s="387"/>
      <c r="S150" s="387"/>
      <c r="T150" s="387"/>
      <c r="U150" s="387"/>
      <c r="V150" s="387"/>
      <c r="W150" s="387"/>
      <c r="X150" s="387"/>
      <c r="AQ150" s="476"/>
      <c r="BZ150" t="s">
        <v>397</v>
      </c>
      <c r="CA150" s="112" t="s">
        <v>200</v>
      </c>
      <c r="CB150"/>
      <c r="CC150"/>
      <c r="CD150"/>
      <c r="CE150"/>
      <c r="CF150"/>
      <c r="CG150" s="122" t="s">
        <v>207</v>
      </c>
    </row>
    <row r="151" spans="1:100" customFormat="1" ht="30" customHeight="1">
      <c r="A151" s="112" t="str">
        <f>IF($C$13=1,IF(K151="报价行",IF(F151&gt;0,1," ")," ")," ")</f>
        <v xml:space="preserve"> </v>
      </c>
      <c r="B151" s="414" t="str">
        <f>IF(A151=1,SUM($A$11:A151),"钢层板")</f>
        <v>钢层板</v>
      </c>
      <c r="C151" s="415" t="str">
        <f>B152&amp;IF(C157=1,CHAR(10)&amp;B153," ")</f>
        <v xml:space="preserve">Steel panel </v>
      </c>
      <c r="D151" s="530" t="str">
        <f>"D"&amp;D154&amp;"*W"&amp;E154</f>
        <v>D450*W1140</v>
      </c>
      <c r="E151" s="415" t="str">
        <f>"t="&amp;B154&amp;IF(G154&gt;1,", divide to "&amp;G154&amp;" pcs,","  ")&amp;C155&amp;" ribs/pc"&amp;", "&amp;IF(E152&gt;0,E152&amp;" kg/level"," ")</f>
        <v>t=0.6  4 ribs/pc, 1000 kg/level</v>
      </c>
      <c r="F151" s="418"/>
      <c r="G151" s="559">
        <f>IF(C156&gt;0,G156*G154,G155*G154)</f>
        <v>3.734495415</v>
      </c>
      <c r="H151" s="420">
        <f>IFERROR((H152*1.01+J152)*G151/1.13,"-")</f>
        <v>20.027470986637173</v>
      </c>
      <c r="I151" s="421" t="s">
        <v>425</v>
      </c>
      <c r="J151" s="422"/>
      <c r="K151" s="423" t="s">
        <v>217</v>
      </c>
      <c r="L151" s="54"/>
      <c r="O151" t="s">
        <v>426</v>
      </c>
      <c r="R151" s="387"/>
      <c r="S151" s="387"/>
      <c r="T151" s="387"/>
      <c r="U151" s="387"/>
      <c r="V151" s="387"/>
      <c r="W151" s="387"/>
      <c r="X151" s="387"/>
      <c r="AQ151" s="110"/>
      <c r="AX151" t="str">
        <f>E151</f>
        <v>t=0.6  4 ribs/pc, 1000 kg/level</v>
      </c>
      <c r="AY151" s="494" t="str">
        <f>D151</f>
        <v>D450*W1140</v>
      </c>
      <c r="AZ151">
        <f>F151</f>
        <v>0</v>
      </c>
      <c r="BA151" s="256" t="e">
        <f>#REF!</f>
        <v>#REF!</v>
      </c>
      <c r="BB151" t="e">
        <f>AZ151*BA151</f>
        <v>#REF!</v>
      </c>
      <c r="BC151" s="495">
        <f>F154</f>
        <v>25</v>
      </c>
      <c r="BR151" t="str">
        <f>I151</f>
        <v>Pre gal</v>
      </c>
      <c r="BZ151" t="s">
        <v>426</v>
      </c>
      <c r="CA151" s="112" t="s">
        <v>200</v>
      </c>
      <c r="CG151" s="122"/>
      <c r="CV151" s="388"/>
    </row>
    <row r="152" spans="1:100" customFormat="1" ht="30" customHeight="1" outlineLevel="1">
      <c r="A152" s="112"/>
      <c r="B152" s="545" t="s">
        <v>427</v>
      </c>
      <c r="C152" s="380"/>
      <c r="D152" s="587">
        <f>IF(C156&gt;0,I156,((E154/G154+81)*(D154-C154+72)*2+C155*D155*(D154-C154))*1/1000000*1.05*G154)</f>
        <v>1.4344091999999999</v>
      </c>
      <c r="E152" s="588">
        <v>1000</v>
      </c>
      <c r="F152" s="558"/>
      <c r="G152" s="532" t="s">
        <v>428</v>
      </c>
      <c r="H152" s="418">
        <v>6</v>
      </c>
      <c r="I152" s="418">
        <v>7.5</v>
      </c>
      <c r="J152" s="418">
        <f>IFERROR(IF(G152="喷塑",D152*I152/G151,0),"-")</f>
        <v>0</v>
      </c>
      <c r="K152" s="54" t="s">
        <v>237</v>
      </c>
      <c r="L152" s="54"/>
      <c r="O152" t="s">
        <v>426</v>
      </c>
      <c r="R152" s="387"/>
      <c r="S152" s="387"/>
      <c r="T152" s="387"/>
      <c r="U152" s="387"/>
      <c r="V152" s="387"/>
      <c r="W152" s="387"/>
      <c r="X152" s="387"/>
      <c r="AQ152" s="110"/>
      <c r="AX152" t="s">
        <v>156</v>
      </c>
      <c r="AY152" t="s">
        <v>246</v>
      </c>
      <c r="AZ152" t="s">
        <v>102</v>
      </c>
      <c r="BA152" t="s">
        <v>158</v>
      </c>
      <c r="BB152" t="s">
        <v>247</v>
      </c>
      <c r="BC152" t="s">
        <v>248</v>
      </c>
      <c r="BD152" t="s">
        <v>249</v>
      </c>
      <c r="BE152" t="s">
        <v>250</v>
      </c>
      <c r="BF152" t="s">
        <v>251</v>
      </c>
      <c r="BG152" t="s">
        <v>252</v>
      </c>
      <c r="BH152" t="s">
        <v>253</v>
      </c>
      <c r="BI152" t="s">
        <v>254</v>
      </c>
      <c r="BJ152" t="s">
        <v>255</v>
      </c>
      <c r="BK152" t="s">
        <v>256</v>
      </c>
      <c r="BL152" t="s">
        <v>257</v>
      </c>
      <c r="BM152" t="s">
        <v>258</v>
      </c>
      <c r="BZ152" t="s">
        <v>426</v>
      </c>
      <c r="CA152" s="112" t="s">
        <v>200</v>
      </c>
      <c r="CG152" s="122"/>
      <c r="CV152" s="388"/>
    </row>
    <row r="153" spans="1:100" customFormat="1" ht="30" customHeight="1" outlineLevel="1">
      <c r="A153" s="112"/>
      <c r="B153" s="447" t="s">
        <v>426</v>
      </c>
      <c r="C153" s="418" t="s">
        <v>429</v>
      </c>
      <c r="D153" s="380"/>
      <c r="E153" s="589">
        <f>IF(C156&gt;0,0,F155*G154)</f>
        <v>822.85714285714289</v>
      </c>
      <c r="F153" s="380"/>
      <c r="G153" s="418"/>
      <c r="H153" s="382"/>
      <c r="I153" s="421"/>
      <c r="J153" s="422"/>
      <c r="K153" s="54" t="s">
        <v>237</v>
      </c>
      <c r="L153" s="54"/>
      <c r="O153" t="s">
        <v>426</v>
      </c>
      <c r="R153" s="387"/>
      <c r="S153" s="387"/>
      <c r="T153" s="387"/>
      <c r="U153" s="387"/>
      <c r="V153" s="387"/>
      <c r="W153" s="387"/>
      <c r="X153" s="387"/>
      <c r="AQ153" s="110"/>
      <c r="BZ153" t="s">
        <v>426</v>
      </c>
      <c r="CA153" s="112" t="s">
        <v>200</v>
      </c>
      <c r="CG153" s="122"/>
      <c r="CV153" s="388"/>
    </row>
    <row r="154" spans="1:100" customFormat="1" ht="30" customHeight="1" outlineLevel="1">
      <c r="A154" s="112"/>
      <c r="B154" s="590">
        <v>0.6</v>
      </c>
      <c r="C154" s="591">
        <v>30</v>
      </c>
      <c r="D154" s="592">
        <v>450</v>
      </c>
      <c r="E154" s="593">
        <v>1140</v>
      </c>
      <c r="F154" s="558">
        <v>25</v>
      </c>
      <c r="G154" s="594">
        <v>1</v>
      </c>
      <c r="H154" s="595"/>
      <c r="I154" s="421" t="str">
        <f>F154&amp;"-"&amp;B154</f>
        <v>25-0.6</v>
      </c>
      <c r="J154" s="596">
        <f>IF(F154=40,105,IF(F154=30,85,IF(F154=25,75,81)))</f>
        <v>75</v>
      </c>
      <c r="K154" s="54" t="s">
        <v>237</v>
      </c>
      <c r="L154" s="54"/>
      <c r="M154" s="418"/>
      <c r="N154" s="418"/>
      <c r="O154" t="s">
        <v>426</v>
      </c>
      <c r="Q154" s="112"/>
      <c r="R154" s="387"/>
      <c r="S154" s="387"/>
      <c r="T154" s="387"/>
      <c r="U154" s="387"/>
      <c r="V154" s="387"/>
      <c r="W154" s="387"/>
      <c r="X154" s="387"/>
      <c r="AQ154" s="110"/>
      <c r="AX154" t="s">
        <v>156</v>
      </c>
      <c r="AY154" t="s">
        <v>246</v>
      </c>
      <c r="AZ154" t="s">
        <v>102</v>
      </c>
      <c r="BA154" t="s">
        <v>158</v>
      </c>
      <c r="BB154" t="s">
        <v>247</v>
      </c>
      <c r="BC154" t="s">
        <v>248</v>
      </c>
      <c r="BD154" t="s">
        <v>249</v>
      </c>
      <c r="BE154" t="s">
        <v>250</v>
      </c>
      <c r="BF154" t="s">
        <v>251</v>
      </c>
      <c r="BG154" t="s">
        <v>252</v>
      </c>
      <c r="BH154" t="s">
        <v>253</v>
      </c>
      <c r="BI154" t="s">
        <v>254</v>
      </c>
      <c r="BJ154" t="s">
        <v>255</v>
      </c>
      <c r="BK154" t="s">
        <v>256</v>
      </c>
      <c r="BL154" t="s">
        <v>257</v>
      </c>
      <c r="BM154" t="s">
        <v>258</v>
      </c>
      <c r="BZ154" t="s">
        <v>426</v>
      </c>
      <c r="CA154" s="112" t="s">
        <v>200</v>
      </c>
      <c r="CG154" s="122"/>
      <c r="CV154" s="388"/>
    </row>
    <row r="155" spans="1:100" customFormat="1" ht="30" customHeight="1" outlineLevel="1">
      <c r="A155" s="112"/>
      <c r="B155" s="597">
        <f>IF(C156&gt;0,0,B154)</f>
        <v>0.6</v>
      </c>
      <c r="C155" s="598">
        <f>IF(C156&gt;0,0,ROUNDDOWN(E154/G154/270,0))</f>
        <v>4</v>
      </c>
      <c r="D155" s="599">
        <f>IF(F154&lt;28,98,IF(F154=28,106,IF(F154=30,108,IF(F154=40,149,"特殊高度"))))*IF(C156&gt;0,0,1)</f>
        <v>98</v>
      </c>
      <c r="E155" s="600">
        <f>IF(C156&gt;0,0,VLOOKUP(I154,常规材料表!$1:$1048576,2,0))</f>
        <v>0.54</v>
      </c>
      <c r="F155" s="601">
        <f>IF(C156&gt;0,0,0.5376*1000000*E155*(C155+1)/((D154-C154)*(D154-C154)/100))</f>
        <v>822.85714285714289</v>
      </c>
      <c r="G155" s="602">
        <f>IF(C156&gt;0,0,((E154/G154+J154)*(D154-C154+J155)*B154+C155*D155*B155*(D154-C154))*7.85/1000000*1.05)</f>
        <v>3.734495415</v>
      </c>
      <c r="H155" s="382"/>
      <c r="I155" s="422"/>
      <c r="J155" s="603">
        <f>IF(F154=40,96,IF(F154=30,76,IF(F154=25,66,72)))</f>
        <v>66</v>
      </c>
      <c r="K155" s="54" t="s">
        <v>237</v>
      </c>
      <c r="L155" s="54"/>
      <c r="M155" s="418"/>
      <c r="N155" s="245"/>
      <c r="O155" t="s">
        <v>426</v>
      </c>
      <c r="Q155" s="112"/>
      <c r="R155" s="387"/>
      <c r="S155" s="387"/>
      <c r="T155" s="387"/>
      <c r="U155" s="387"/>
      <c r="V155" s="387"/>
      <c r="W155" s="387"/>
      <c r="X155" s="387"/>
      <c r="AQ155" s="110"/>
      <c r="BZ155" t="s">
        <v>426</v>
      </c>
      <c r="CA155" s="112" t="s">
        <v>200</v>
      </c>
      <c r="CG155" s="122"/>
      <c r="CV155" s="388"/>
    </row>
    <row r="156" spans="1:100" customFormat="1" ht="30" customHeight="1" outlineLevel="1">
      <c r="A156" s="112"/>
      <c r="B156" s="604">
        <v>103</v>
      </c>
      <c r="C156" s="112"/>
      <c r="D156" s="597">
        <v>1.3</v>
      </c>
      <c r="E156" s="605" t="str">
        <f>IFERROR((VLOOKUP(C156,常规材料表!$1:$1048576,8,0))*4-D156*4," ")</f>
        <v xml:space="preserve"> </v>
      </c>
      <c r="F156" s="606">
        <v>5</v>
      </c>
      <c r="G156" s="607" t="str">
        <f>IF(C156&gt;0,((E154/G154+B156)*(D154+B156)*B154+F156*E156*D156*(D154))*7.85/1000000+D157," ")</f>
        <v xml:space="preserve"> </v>
      </c>
      <c r="H156" s="421"/>
      <c r="I156" s="422" t="str">
        <f>IF(C156&gt;0,((E154/G154+B156)*(D154+B156)*2+F156*E156*(D154))*1/1000000*1.05*G154," ")</f>
        <v xml:space="preserve"> </v>
      </c>
      <c r="J156" s="422"/>
      <c r="K156" s="54" t="s">
        <v>237</v>
      </c>
      <c r="L156" s="54"/>
      <c r="O156" t="s">
        <v>426</v>
      </c>
      <c r="Q156" s="112"/>
      <c r="R156" s="387"/>
      <c r="S156" s="387"/>
      <c r="T156" s="387"/>
      <c r="U156" s="387"/>
      <c r="V156" s="387"/>
      <c r="W156" s="387"/>
      <c r="X156" s="387"/>
      <c r="AQ156" s="110"/>
      <c r="CA156" s="112"/>
      <c r="CG156" s="122"/>
      <c r="CV156" s="388"/>
    </row>
    <row r="157" spans="1:100" customFormat="1" ht="30" customHeight="1" outlineLevel="1">
      <c r="A157" s="112"/>
      <c r="B157" s="414">
        <v>0</v>
      </c>
      <c r="C157" s="465">
        <f>报价辅助计算!$E$13</f>
        <v>0</v>
      </c>
      <c r="D157" s="563"/>
      <c r="E157" s="418" t="s">
        <v>430</v>
      </c>
      <c r="F157" s="561"/>
      <c r="G157" s="418"/>
      <c r="H157" s="421"/>
      <c r="I157" s="422"/>
      <c r="J157" s="422"/>
      <c r="K157" s="54" t="s">
        <v>237</v>
      </c>
      <c r="L157" s="54"/>
      <c r="O157" t="s">
        <v>426</v>
      </c>
      <c r="Q157" s="112"/>
      <c r="R157" s="387"/>
      <c r="S157" s="387"/>
      <c r="T157" s="387"/>
      <c r="U157" s="387"/>
      <c r="V157" s="387"/>
      <c r="W157" s="387"/>
      <c r="X157" s="387"/>
      <c r="AQ157" s="110"/>
      <c r="BZ157" t="s">
        <v>426</v>
      </c>
      <c r="CA157" s="112" t="s">
        <v>200</v>
      </c>
      <c r="CG157" s="122"/>
      <c r="CV157" s="388"/>
    </row>
    <row r="158" spans="1:100" s="376" customFormat="1" ht="30" customHeight="1">
      <c r="A158" s="472"/>
      <c r="B158" s="473"/>
      <c r="C158" s="473"/>
      <c r="D158" s="473"/>
      <c r="E158" s="474"/>
      <c r="F158" s="473"/>
      <c r="G158" s="473"/>
      <c r="H158" s="421"/>
      <c r="I158" s="421"/>
      <c r="J158" s="422"/>
      <c r="K158" s="475"/>
      <c r="L158" s="475"/>
      <c r="Q158" s="472"/>
      <c r="R158" s="387"/>
      <c r="S158" s="387"/>
      <c r="T158" s="387"/>
      <c r="U158" s="387"/>
      <c r="V158" s="387"/>
      <c r="W158" s="387"/>
      <c r="X158" s="387"/>
      <c r="AQ158" s="476"/>
      <c r="BZ158" t="s">
        <v>426</v>
      </c>
      <c r="CA158" s="112" t="s">
        <v>200</v>
      </c>
      <c r="CB158"/>
      <c r="CC158"/>
      <c r="CD158"/>
      <c r="CE158"/>
      <c r="CF158"/>
      <c r="CG158" s="122"/>
    </row>
    <row r="159" spans="1:100" customFormat="1" ht="30" customHeight="1">
      <c r="A159" s="112" t="str">
        <f>IF($C$13=1,IF(K159="报价行",IF(F159&gt;0,1," ")," ")," ")</f>
        <v xml:space="preserve"> </v>
      </c>
      <c r="B159" s="414" t="str">
        <f>IF(A159=1,SUM($A$11:A159),"立柱对接件")</f>
        <v>立柱对接件</v>
      </c>
      <c r="C159" s="415" t="str">
        <f>B160&amp;IF(C162=1,CHAR(10)&amp;B161," ")</f>
        <v xml:space="preserve">Splice kit </v>
      </c>
      <c r="D159" s="608"/>
      <c r="E159" s="415" t="s">
        <v>431</v>
      </c>
      <c r="F159" s="418"/>
      <c r="G159" s="609">
        <v>2.6</v>
      </c>
      <c r="H159" s="420">
        <f>H160</f>
        <v>23.349469026548672</v>
      </c>
      <c r="I159" s="421" t="s">
        <v>341</v>
      </c>
      <c r="J159" s="422"/>
      <c r="K159" s="423" t="s">
        <v>217</v>
      </c>
      <c r="L159" s="54"/>
      <c r="O159" t="s">
        <v>432</v>
      </c>
      <c r="R159" s="387"/>
      <c r="S159" s="387"/>
      <c r="T159" s="387"/>
      <c r="U159" s="387"/>
      <c r="V159" s="387"/>
      <c r="W159" s="387"/>
      <c r="X159" s="387"/>
      <c r="AQ159" s="110"/>
      <c r="AX159" t="str">
        <f>E159</f>
        <v>For 120*70 post</v>
      </c>
      <c r="AY159" s="494">
        <f>D159</f>
        <v>0</v>
      </c>
      <c r="AZ159">
        <f>F159</f>
        <v>0</v>
      </c>
      <c r="BA159" s="256" t="e">
        <f>#REF!</f>
        <v>#REF!</v>
      </c>
      <c r="BB159" t="e">
        <f>AZ159*BA159</f>
        <v>#REF!</v>
      </c>
      <c r="BC159" s="495"/>
      <c r="BR159" t="str">
        <f>I159</f>
        <v>Orange Ral2004</v>
      </c>
      <c r="BZ159" t="s">
        <v>433</v>
      </c>
      <c r="CA159" s="112" t="s">
        <v>200</v>
      </c>
      <c r="CB159" t="s">
        <v>201</v>
      </c>
      <c r="CG159" s="122" t="s">
        <v>207</v>
      </c>
      <c r="CV159" s="388"/>
    </row>
    <row r="160" spans="1:100" customFormat="1" ht="30" customHeight="1" outlineLevel="1">
      <c r="A160" s="112"/>
      <c r="B160" s="415" t="s">
        <v>434</v>
      </c>
      <c r="C160" s="380"/>
      <c r="D160" s="447"/>
      <c r="E160" s="545"/>
      <c r="F160" s="418"/>
      <c r="G160" s="532" t="s">
        <v>236</v>
      </c>
      <c r="H160" s="421">
        <f>G159*(I160+J160*1.13+I161+J161)/1.13</f>
        <v>23.349469026548672</v>
      </c>
      <c r="I160" s="418">
        <v>6</v>
      </c>
      <c r="J160" s="418">
        <v>1.05</v>
      </c>
      <c r="K160" s="54" t="s">
        <v>237</v>
      </c>
      <c r="L160" s="54"/>
      <c r="O160" t="s">
        <v>432</v>
      </c>
      <c r="R160" s="387"/>
      <c r="S160" s="387"/>
      <c r="T160" s="387"/>
      <c r="U160" s="387"/>
      <c r="V160" s="387"/>
      <c r="W160" s="387"/>
      <c r="X160" s="387"/>
      <c r="AQ160" s="110"/>
      <c r="AX160" t="s">
        <v>156</v>
      </c>
      <c r="AY160" t="s">
        <v>246</v>
      </c>
      <c r="AZ160" t="s">
        <v>102</v>
      </c>
      <c r="BA160" t="s">
        <v>158</v>
      </c>
      <c r="BB160" t="s">
        <v>247</v>
      </c>
      <c r="BD160" t="s">
        <v>249</v>
      </c>
      <c r="BE160" t="s">
        <v>250</v>
      </c>
      <c r="BF160" t="s">
        <v>251</v>
      </c>
      <c r="BZ160" t="s">
        <v>433</v>
      </c>
      <c r="CA160" s="112" t="s">
        <v>200</v>
      </c>
      <c r="CB160" t="s">
        <v>201</v>
      </c>
      <c r="CG160" s="122" t="s">
        <v>207</v>
      </c>
      <c r="CV160" s="388"/>
    </row>
    <row r="161" spans="1:100" customFormat="1" ht="30" customHeight="1" outlineLevel="1">
      <c r="A161" s="112"/>
      <c r="B161" s="418" t="s">
        <v>433</v>
      </c>
      <c r="C161" s="447"/>
      <c r="D161" s="447"/>
      <c r="E161" s="545"/>
      <c r="F161" s="610"/>
      <c r="G161" s="418"/>
      <c r="H161" s="421"/>
      <c r="I161" s="564">
        <v>2</v>
      </c>
      <c r="J161" s="564">
        <f>0.5*5/G159</f>
        <v>0.96153846153846145</v>
      </c>
      <c r="K161" s="54" t="s">
        <v>237</v>
      </c>
      <c r="L161" s="54"/>
      <c r="O161" t="s">
        <v>432</v>
      </c>
      <c r="R161" s="387"/>
      <c r="S161" s="387"/>
      <c r="T161" s="387"/>
      <c r="U161" s="387"/>
      <c r="V161" s="387"/>
      <c r="W161" s="387"/>
      <c r="X161" s="387"/>
      <c r="AQ161" s="110"/>
      <c r="BZ161" t="s">
        <v>433</v>
      </c>
      <c r="CA161" s="112" t="s">
        <v>200</v>
      </c>
      <c r="CB161" t="s">
        <v>201</v>
      </c>
      <c r="CG161" s="122" t="s">
        <v>207</v>
      </c>
      <c r="CV161" s="388"/>
    </row>
    <row r="162" spans="1:100" customFormat="1" ht="30" customHeight="1" outlineLevel="1">
      <c r="A162" s="112"/>
      <c r="B162" s="414">
        <v>0</v>
      </c>
      <c r="C162" s="465">
        <f>报价辅助计算!$E$13</f>
        <v>0</v>
      </c>
      <c r="D162" s="563"/>
      <c r="E162" s="563"/>
      <c r="F162" s="610"/>
      <c r="G162" s="418"/>
      <c r="H162" s="421"/>
      <c r="I162" s="421"/>
      <c r="J162" s="422"/>
      <c r="K162" s="54" t="s">
        <v>237</v>
      </c>
      <c r="L162" s="54"/>
      <c r="O162" t="s">
        <v>432</v>
      </c>
      <c r="R162" s="387"/>
      <c r="S162" s="387"/>
      <c r="T162" s="387"/>
      <c r="U162" s="387"/>
      <c r="V162" s="387"/>
      <c r="W162" s="387"/>
      <c r="X162" s="387"/>
      <c r="AQ162" s="110"/>
      <c r="BZ162" t="s">
        <v>433</v>
      </c>
      <c r="CA162" s="112" t="s">
        <v>200</v>
      </c>
      <c r="CB162" t="s">
        <v>201</v>
      </c>
      <c r="CG162" s="122" t="s">
        <v>207</v>
      </c>
      <c r="CV162" s="388"/>
    </row>
    <row r="163" spans="1:100" s="376" customFormat="1" ht="30" customHeight="1">
      <c r="A163" s="472"/>
      <c r="B163" s="473"/>
      <c r="C163" s="473"/>
      <c r="D163" s="473"/>
      <c r="E163" s="474"/>
      <c r="F163" s="473"/>
      <c r="G163" s="473"/>
      <c r="H163" s="421"/>
      <c r="I163" s="421"/>
      <c r="J163" s="422"/>
      <c r="K163" s="475"/>
      <c r="L163" s="475"/>
      <c r="R163" s="387"/>
      <c r="S163" s="387"/>
      <c r="T163" s="387"/>
      <c r="U163" s="387"/>
      <c r="V163" s="387"/>
      <c r="W163" s="387"/>
      <c r="X163" s="387"/>
      <c r="AQ163" s="476"/>
      <c r="BZ163" t="s">
        <v>433</v>
      </c>
      <c r="CA163" s="112" t="s">
        <v>200</v>
      </c>
      <c r="CB163" t="s">
        <v>201</v>
      </c>
      <c r="CG163" s="477" t="s">
        <v>207</v>
      </c>
    </row>
    <row r="164" spans="1:100" customFormat="1" ht="30" customHeight="1">
      <c r="A164" s="112" t="str">
        <f>IF($C$13=1,IF(K164="报价行",IF(F164&gt;0,1," ")," ")," ")</f>
        <v xml:space="preserve"> </v>
      </c>
      <c r="B164" s="414" t="str">
        <f>IF(A164=1,SUM($A$11:A164),"立柱对接件")</f>
        <v>立柱对接件</v>
      </c>
      <c r="C164" s="415" t="str">
        <f>B165&amp;IF(C167=1,CHAR(10)&amp;B166," ")</f>
        <v xml:space="preserve">Splice kit </v>
      </c>
      <c r="D164" s="608" t="s">
        <v>435</v>
      </c>
      <c r="E164" s="415" t="s">
        <v>436</v>
      </c>
      <c r="F164" s="418"/>
      <c r="G164" s="609">
        <v>2.8</v>
      </c>
      <c r="H164" s="420">
        <f>H165</f>
        <v>28.313451327433629</v>
      </c>
      <c r="I164" s="421" t="s">
        <v>341</v>
      </c>
      <c r="J164" s="422"/>
      <c r="K164" s="423" t="s">
        <v>217</v>
      </c>
      <c r="L164" s="54"/>
      <c r="O164" t="s">
        <v>437</v>
      </c>
      <c r="R164" s="387"/>
      <c r="S164" s="387"/>
      <c r="T164" s="387"/>
      <c r="U164" s="387"/>
      <c r="V164" s="387"/>
      <c r="W164" s="387"/>
      <c r="X164" s="387"/>
      <c r="AX164" t="str">
        <f>E164</f>
        <v>Welding</v>
      </c>
      <c r="AY164" s="494" t="str">
        <f>D164</f>
        <v>1PC</v>
      </c>
      <c r="AZ164">
        <f>F164</f>
        <v>0</v>
      </c>
      <c r="BA164" s="256" t="e">
        <f>#REF!</f>
        <v>#REF!</v>
      </c>
      <c r="BB164" t="e">
        <f>AZ164*BA164</f>
        <v>#REF!</v>
      </c>
      <c r="BC164" s="495"/>
      <c r="BR164" t="str">
        <f>I164</f>
        <v>Orange Ral2004</v>
      </c>
      <c r="BZ164" t="s">
        <v>433</v>
      </c>
      <c r="CA164" s="112" t="s">
        <v>200</v>
      </c>
      <c r="CB164" t="s">
        <v>201</v>
      </c>
      <c r="CG164" s="122" t="s">
        <v>207</v>
      </c>
      <c r="CV164" s="388"/>
    </row>
    <row r="165" spans="1:100" customFormat="1" ht="30" customHeight="1" outlineLevel="1">
      <c r="A165" s="112"/>
      <c r="B165" s="415" t="s">
        <v>434</v>
      </c>
      <c r="C165" s="380"/>
      <c r="D165" s="447"/>
      <c r="E165" s="545"/>
      <c r="F165" s="418"/>
      <c r="G165" s="532" t="s">
        <v>236</v>
      </c>
      <c r="H165" s="421">
        <f>G164*(I165+J165*1.13+I166+J166)/1.13</f>
        <v>28.313451327433629</v>
      </c>
      <c r="I165" s="418">
        <v>6.5</v>
      </c>
      <c r="J165" s="418">
        <v>1.05</v>
      </c>
      <c r="K165" s="54" t="s">
        <v>237</v>
      </c>
      <c r="L165" s="54"/>
      <c r="O165" t="s">
        <v>437</v>
      </c>
      <c r="R165" s="387"/>
      <c r="S165" s="387"/>
      <c r="T165" s="387"/>
      <c r="U165" s="387"/>
      <c r="V165" s="387"/>
      <c r="W165" s="387"/>
      <c r="X165" s="387"/>
      <c r="AX165" t="s">
        <v>156</v>
      </c>
      <c r="AY165" t="s">
        <v>246</v>
      </c>
      <c r="AZ165" t="s">
        <v>102</v>
      </c>
      <c r="BA165" t="s">
        <v>158</v>
      </c>
      <c r="BB165" t="s">
        <v>247</v>
      </c>
      <c r="BD165" t="s">
        <v>249</v>
      </c>
      <c r="BE165" t="s">
        <v>250</v>
      </c>
      <c r="BF165" t="s">
        <v>251</v>
      </c>
      <c r="BZ165" t="s">
        <v>433</v>
      </c>
      <c r="CA165" s="112" t="s">
        <v>200</v>
      </c>
      <c r="CB165" t="s">
        <v>201</v>
      </c>
      <c r="CG165" s="122" t="s">
        <v>207</v>
      </c>
      <c r="CV165" s="388"/>
    </row>
    <row r="166" spans="1:100" customFormat="1" ht="30" customHeight="1" outlineLevel="1">
      <c r="A166" s="112"/>
      <c r="B166" s="418" t="s">
        <v>433</v>
      </c>
      <c r="C166" s="447"/>
      <c r="D166" s="447"/>
      <c r="E166" s="545"/>
      <c r="F166" s="610"/>
      <c r="G166" s="418"/>
      <c r="H166" s="421"/>
      <c r="I166" s="564">
        <v>2.2000000000000002</v>
      </c>
      <c r="J166" s="564">
        <v>1.54</v>
      </c>
      <c r="K166" s="54" t="s">
        <v>237</v>
      </c>
      <c r="L166" s="54"/>
      <c r="O166" t="s">
        <v>437</v>
      </c>
      <c r="R166" s="387"/>
      <c r="S166" s="387"/>
      <c r="T166" s="387"/>
      <c r="U166" s="387"/>
      <c r="V166" s="387"/>
      <c r="W166" s="387"/>
      <c r="X166" s="387"/>
      <c r="BZ166" t="s">
        <v>433</v>
      </c>
      <c r="CA166" s="112" t="s">
        <v>200</v>
      </c>
      <c r="CB166" t="s">
        <v>201</v>
      </c>
      <c r="CG166" s="122" t="s">
        <v>207</v>
      </c>
      <c r="CV166" s="388"/>
    </row>
    <row r="167" spans="1:100" customFormat="1" ht="30" customHeight="1" outlineLevel="1">
      <c r="A167" s="112"/>
      <c r="B167" s="414">
        <v>0</v>
      </c>
      <c r="C167" s="465">
        <f>报价辅助计算!$E$13</f>
        <v>0</v>
      </c>
      <c r="D167" s="563"/>
      <c r="E167" s="563"/>
      <c r="F167" s="610"/>
      <c r="G167" s="418"/>
      <c r="H167" s="421"/>
      <c r="I167" s="421"/>
      <c r="J167" s="422"/>
      <c r="K167" s="54" t="s">
        <v>237</v>
      </c>
      <c r="L167" s="54"/>
      <c r="O167" t="s">
        <v>437</v>
      </c>
      <c r="R167" s="387"/>
      <c r="S167" s="387"/>
      <c r="T167" s="387"/>
      <c r="U167" s="387"/>
      <c r="V167" s="387"/>
      <c r="W167" s="387"/>
      <c r="X167" s="387"/>
      <c r="BZ167" t="s">
        <v>433</v>
      </c>
      <c r="CA167" s="112" t="s">
        <v>200</v>
      </c>
      <c r="CB167" t="s">
        <v>201</v>
      </c>
      <c r="CG167" s="122" t="s">
        <v>207</v>
      </c>
      <c r="CV167" s="388"/>
    </row>
    <row r="168" spans="1:100" s="376" customFormat="1" ht="30" customHeight="1">
      <c r="A168" s="472"/>
      <c r="B168" s="473"/>
      <c r="C168" s="473"/>
      <c r="D168" s="473"/>
      <c r="E168" s="474"/>
      <c r="F168" s="473"/>
      <c r="G168" s="473"/>
      <c r="H168" s="421"/>
      <c r="I168" s="421"/>
      <c r="J168" s="422"/>
      <c r="K168" s="475"/>
      <c r="L168" s="475"/>
      <c r="R168" s="387"/>
      <c r="S168" s="387"/>
      <c r="T168" s="387"/>
      <c r="U168" s="387"/>
      <c r="V168" s="387"/>
      <c r="W168" s="387"/>
      <c r="X168" s="387"/>
      <c r="AQ168" s="476"/>
      <c r="BZ168" t="s">
        <v>433</v>
      </c>
      <c r="CA168" s="112" t="s">
        <v>200</v>
      </c>
      <c r="CB168" t="s">
        <v>201</v>
      </c>
      <c r="CG168" s="122" t="s">
        <v>207</v>
      </c>
    </row>
    <row r="169" spans="1:100" customFormat="1" ht="30" customHeight="1">
      <c r="A169" s="112" t="str">
        <f>IF($C$13=1,IF(K169="报价行",IF(F169&gt;0,1," ")," ")," ")</f>
        <v xml:space="preserve"> </v>
      </c>
      <c r="B169" s="414" t="str">
        <f>IF(A169=1,SUM($A$11:A169),"立柱对接件-90内")</f>
        <v>立柱对接件-90内</v>
      </c>
      <c r="C169" s="415" t="str">
        <f>B170&amp;IF(C172=1,CHAR(10)&amp;B171," ")</f>
        <v xml:space="preserve">Splice kit inner pc </v>
      </c>
      <c r="D169" s="608"/>
      <c r="E169" s="415" t="s">
        <v>438</v>
      </c>
      <c r="F169" s="418"/>
      <c r="G169" s="609">
        <f>1.153</f>
        <v>1.153</v>
      </c>
      <c r="H169" s="420">
        <f>H170</f>
        <v>12.861220353982302</v>
      </c>
      <c r="I169" s="421" t="s">
        <v>292</v>
      </c>
      <c r="J169" s="422"/>
      <c r="K169" s="423" t="s">
        <v>217</v>
      </c>
      <c r="L169" s="54"/>
      <c r="O169" t="s">
        <v>439</v>
      </c>
      <c r="R169" s="387"/>
      <c r="S169" s="387"/>
      <c r="T169" s="387"/>
      <c r="U169" s="387"/>
      <c r="V169" s="387"/>
      <c r="W169" s="387"/>
      <c r="X169" s="387"/>
      <c r="AQ169" s="110"/>
      <c r="AX169" t="str">
        <f>E169</f>
        <v>2 pc/post,with bolts, For 90*70 post</v>
      </c>
      <c r="AY169" s="494">
        <f>D169</f>
        <v>0</v>
      </c>
      <c r="AZ169">
        <f>F169</f>
        <v>0</v>
      </c>
      <c r="BA169" s="256" t="e">
        <f>#REF!</f>
        <v>#REF!</v>
      </c>
      <c r="BB169" t="e">
        <f>AZ169*BA169</f>
        <v>#REF!</v>
      </c>
      <c r="BC169" s="495"/>
      <c r="BR169" t="str">
        <f>I169</f>
        <v>Blue Ral5015</v>
      </c>
      <c r="BZ169" t="s">
        <v>439</v>
      </c>
      <c r="CA169" s="112" t="s">
        <v>200</v>
      </c>
      <c r="CB169" t="s">
        <v>201</v>
      </c>
      <c r="CG169" s="122" t="s">
        <v>207</v>
      </c>
      <c r="CV169" s="388"/>
    </row>
    <row r="170" spans="1:100" customFormat="1" ht="30" customHeight="1" outlineLevel="1">
      <c r="A170" s="112"/>
      <c r="B170" s="418" t="s">
        <v>440</v>
      </c>
      <c r="C170" s="380"/>
      <c r="D170" s="447"/>
      <c r="E170" s="418"/>
      <c r="F170" s="447"/>
      <c r="G170" s="532" t="s">
        <v>236</v>
      </c>
      <c r="H170" s="421">
        <f>G169*(I170+J170*1.13+I171+J171)/1.13</f>
        <v>12.861220353982302</v>
      </c>
      <c r="I170" s="418">
        <f>7.1/G169</f>
        <v>6.1578490893321769</v>
      </c>
      <c r="J170" s="418">
        <v>1.1000000000000001</v>
      </c>
      <c r="K170" s="54" t="s">
        <v>237</v>
      </c>
      <c r="L170" s="54"/>
      <c r="O170" t="s">
        <v>439</v>
      </c>
      <c r="R170" s="387"/>
      <c r="S170" s="387"/>
      <c r="T170" s="387"/>
      <c r="U170" s="387"/>
      <c r="V170" s="387"/>
      <c r="W170" s="387"/>
      <c r="X170" s="387"/>
      <c r="AQ170" s="110"/>
      <c r="AX170" t="s">
        <v>156</v>
      </c>
      <c r="AY170" t="s">
        <v>246</v>
      </c>
      <c r="AZ170" t="s">
        <v>102</v>
      </c>
      <c r="BA170" t="s">
        <v>158</v>
      </c>
      <c r="BB170" t="s">
        <v>247</v>
      </c>
      <c r="BC170" t="s">
        <v>248</v>
      </c>
      <c r="BD170" t="s">
        <v>249</v>
      </c>
      <c r="BE170" t="s">
        <v>250</v>
      </c>
      <c r="BF170" t="s">
        <v>251</v>
      </c>
      <c r="BZ170" t="s">
        <v>439</v>
      </c>
      <c r="CA170" s="112" t="s">
        <v>200</v>
      </c>
      <c r="CB170" t="s">
        <v>201</v>
      </c>
      <c r="CG170" s="122" t="s">
        <v>207</v>
      </c>
      <c r="CV170" s="388"/>
    </row>
    <row r="171" spans="1:100" customFormat="1" ht="30" customHeight="1" outlineLevel="1">
      <c r="A171" s="112"/>
      <c r="B171" s="418" t="s">
        <v>441</v>
      </c>
      <c r="C171" s="447"/>
      <c r="D171" s="447"/>
      <c r="E171" s="545"/>
      <c r="F171" s="610"/>
      <c r="G171" s="418"/>
      <c r="H171" s="421"/>
      <c r="I171" s="564">
        <f>3/G169</f>
        <v>2.6019080659150045</v>
      </c>
      <c r="J171" s="564">
        <f>0.6*5/G169</f>
        <v>2.6019080659150045</v>
      </c>
      <c r="K171" s="54" t="s">
        <v>237</v>
      </c>
      <c r="L171" s="54"/>
      <c r="O171" t="s">
        <v>439</v>
      </c>
      <c r="R171" s="387"/>
      <c r="S171" s="387"/>
      <c r="T171" s="387"/>
      <c r="U171" s="387"/>
      <c r="V171" s="387"/>
      <c r="W171" s="387"/>
      <c r="X171" s="387"/>
      <c r="AQ171" s="110"/>
      <c r="BZ171" t="s">
        <v>439</v>
      </c>
      <c r="CA171" s="112" t="s">
        <v>200</v>
      </c>
      <c r="CB171" t="s">
        <v>201</v>
      </c>
      <c r="CG171" s="122" t="s">
        <v>207</v>
      </c>
      <c r="CV171" s="388"/>
    </row>
    <row r="172" spans="1:100" customFormat="1" ht="30" customHeight="1" outlineLevel="1">
      <c r="A172" s="112"/>
      <c r="B172" s="414">
        <v>0</v>
      </c>
      <c r="C172" s="465">
        <f>报价辅助计算!$E$13</f>
        <v>0</v>
      </c>
      <c r="D172" s="563"/>
      <c r="E172" s="563"/>
      <c r="F172" s="610"/>
      <c r="G172" s="418"/>
      <c r="H172" s="421"/>
      <c r="I172" s="421"/>
      <c r="J172" s="422"/>
      <c r="K172" s="54" t="s">
        <v>237</v>
      </c>
      <c r="L172" s="54"/>
      <c r="O172" t="s">
        <v>439</v>
      </c>
      <c r="R172" s="387"/>
      <c r="S172" s="387"/>
      <c r="T172" s="387"/>
      <c r="U172" s="387"/>
      <c r="V172" s="387"/>
      <c r="W172" s="387"/>
      <c r="X172" s="387"/>
      <c r="AQ172" s="110"/>
      <c r="BZ172" t="s">
        <v>439</v>
      </c>
      <c r="CA172" s="112" t="s">
        <v>200</v>
      </c>
      <c r="CB172" t="s">
        <v>201</v>
      </c>
      <c r="CG172" s="122" t="s">
        <v>207</v>
      </c>
      <c r="CV172" s="388"/>
    </row>
    <row r="173" spans="1:100" s="376" customFormat="1" ht="30" customHeight="1">
      <c r="A173" s="472"/>
      <c r="B173" s="473"/>
      <c r="C173" s="473"/>
      <c r="D173" s="473"/>
      <c r="E173" s="474"/>
      <c r="F173" s="473"/>
      <c r="G173" s="473"/>
      <c r="H173" s="421"/>
      <c r="I173" s="421"/>
      <c r="J173" s="422"/>
      <c r="K173" s="475"/>
      <c r="L173" s="475"/>
      <c r="R173" s="387"/>
      <c r="S173" s="387"/>
      <c r="T173" s="387"/>
      <c r="U173" s="387"/>
      <c r="V173" s="387"/>
      <c r="W173" s="387"/>
      <c r="X173" s="387"/>
      <c r="AQ173" s="476"/>
      <c r="BZ173" t="s">
        <v>442</v>
      </c>
      <c r="CA173" s="112" t="s">
        <v>200</v>
      </c>
      <c r="CB173" t="s">
        <v>201</v>
      </c>
      <c r="CG173" s="122" t="s">
        <v>207</v>
      </c>
    </row>
    <row r="174" spans="1:100" customFormat="1" ht="30" customHeight="1">
      <c r="A174" s="112" t="str">
        <f>IF($C$13=1,IF(K174="报价行",IF(F174&gt;0,1," ")," ")," ")</f>
        <v xml:space="preserve"> </v>
      </c>
      <c r="B174" s="414" t="str">
        <f>IF(A174=1,SUM($A$11:A174),"立柱对接件-90外")</f>
        <v>立柱对接件-90外</v>
      </c>
      <c r="C174" s="415" t="str">
        <f>B175&amp;IF(C177=1,CHAR(10)&amp;B176," ")</f>
        <v xml:space="preserve">Splice kit outer pc </v>
      </c>
      <c r="D174" s="608"/>
      <c r="E174" s="415" t="s">
        <v>443</v>
      </c>
      <c r="F174" s="418"/>
      <c r="G174" s="609">
        <v>2.3460000000000001</v>
      </c>
      <c r="H174" s="420">
        <f>H175</f>
        <v>20.49487557522124</v>
      </c>
      <c r="I174" s="421" t="s">
        <v>292</v>
      </c>
      <c r="J174" s="422"/>
      <c r="K174" s="423" t="s">
        <v>217</v>
      </c>
      <c r="L174" s="54"/>
      <c r="O174" t="s">
        <v>444</v>
      </c>
      <c r="R174" s="387"/>
      <c r="S174" s="387"/>
      <c r="T174" s="387"/>
      <c r="U174" s="387"/>
      <c r="V174" s="387"/>
      <c r="W174" s="387"/>
      <c r="X174" s="387"/>
      <c r="AQ174" s="110"/>
      <c r="AX174" t="str">
        <f>E174</f>
        <v>1 pc/post,with bolts, For 90*70 post</v>
      </c>
      <c r="AY174" s="494">
        <f>D174</f>
        <v>0</v>
      </c>
      <c r="AZ174">
        <f>F174</f>
        <v>0</v>
      </c>
      <c r="BA174" s="256" t="e">
        <f>#REF!</f>
        <v>#REF!</v>
      </c>
      <c r="BB174" t="e">
        <f>AZ174*BA174</f>
        <v>#REF!</v>
      </c>
      <c r="BC174" s="495"/>
      <c r="BR174" t="str">
        <f>I174</f>
        <v>Blue Ral5015</v>
      </c>
      <c r="BZ174" t="s">
        <v>444</v>
      </c>
      <c r="CA174" s="112" t="s">
        <v>200</v>
      </c>
      <c r="CB174" t="s">
        <v>201</v>
      </c>
      <c r="CG174" s="122" t="s">
        <v>207</v>
      </c>
      <c r="CV174" s="388"/>
    </row>
    <row r="175" spans="1:100" customFormat="1" ht="30" customHeight="1" outlineLevel="1">
      <c r="A175" s="112"/>
      <c r="B175" s="418" t="s">
        <v>445</v>
      </c>
      <c r="C175" s="380"/>
      <c r="D175" s="447"/>
      <c r="E175" s="418"/>
      <c r="F175" s="447"/>
      <c r="G175" s="532" t="s">
        <v>236</v>
      </c>
      <c r="H175" s="421">
        <f>G174*(I175+J175*1.13+I176+J176)/1.13</f>
        <v>20.49487557522124</v>
      </c>
      <c r="I175" s="418">
        <f>14.6/G174</f>
        <v>6.2233589087809031</v>
      </c>
      <c r="J175" s="418">
        <v>1.03</v>
      </c>
      <c r="K175" s="54" t="s">
        <v>237</v>
      </c>
      <c r="L175" s="54"/>
      <c r="O175" t="s">
        <v>444</v>
      </c>
      <c r="R175" s="387"/>
      <c r="S175" s="387"/>
      <c r="T175" s="387"/>
      <c r="U175" s="387"/>
      <c r="V175" s="387"/>
      <c r="W175" s="387"/>
      <c r="X175" s="387"/>
      <c r="AQ175" s="110"/>
      <c r="AX175" t="s">
        <v>156</v>
      </c>
      <c r="AY175" t="s">
        <v>246</v>
      </c>
      <c r="AZ175" t="s">
        <v>102</v>
      </c>
      <c r="BA175" t="s">
        <v>158</v>
      </c>
      <c r="BB175" t="s">
        <v>247</v>
      </c>
      <c r="BC175" t="s">
        <v>248</v>
      </c>
      <c r="BD175" t="s">
        <v>249</v>
      </c>
      <c r="BE175" t="s">
        <v>250</v>
      </c>
      <c r="BF175" t="s">
        <v>251</v>
      </c>
      <c r="BZ175" t="s">
        <v>444</v>
      </c>
      <c r="CA175" s="112" t="s">
        <v>200</v>
      </c>
      <c r="CB175" t="s">
        <v>201</v>
      </c>
      <c r="CG175" s="122" t="s">
        <v>207</v>
      </c>
      <c r="CV175" s="388"/>
    </row>
    <row r="176" spans="1:100" customFormat="1" ht="30" customHeight="1" outlineLevel="1">
      <c r="A176" s="112"/>
      <c r="B176" s="415" t="s">
        <v>446</v>
      </c>
      <c r="C176" s="447"/>
      <c r="D176" s="447"/>
      <c r="E176" s="545"/>
      <c r="F176" s="610"/>
      <c r="G176" s="418"/>
      <c r="H176" s="421"/>
      <c r="I176" s="564">
        <v>0.95</v>
      </c>
      <c r="J176" s="564">
        <f>0.3*12/G174</f>
        <v>1.5345268542199486</v>
      </c>
      <c r="K176" s="54" t="s">
        <v>237</v>
      </c>
      <c r="L176" s="54"/>
      <c r="O176" t="s">
        <v>444</v>
      </c>
      <c r="R176" s="387"/>
      <c r="S176" s="387"/>
      <c r="T176" s="387"/>
      <c r="U176" s="387"/>
      <c r="V176" s="387"/>
      <c r="W176" s="387"/>
      <c r="X176" s="387"/>
      <c r="AQ176" s="110"/>
      <c r="BZ176" t="s">
        <v>444</v>
      </c>
      <c r="CA176" s="112" t="s">
        <v>200</v>
      </c>
      <c r="CB176" t="s">
        <v>201</v>
      </c>
      <c r="CG176" s="122" t="s">
        <v>207</v>
      </c>
      <c r="CV176" s="388"/>
    </row>
    <row r="177" spans="1:100" customFormat="1" ht="30" customHeight="1" outlineLevel="1">
      <c r="A177" s="112"/>
      <c r="B177" s="414">
        <v>0</v>
      </c>
      <c r="C177" s="465">
        <f>报价辅助计算!$E$13</f>
        <v>0</v>
      </c>
      <c r="D177" s="563"/>
      <c r="E177" s="563"/>
      <c r="F177" s="610"/>
      <c r="G177" s="418"/>
      <c r="H177" s="421"/>
      <c r="I177" s="421"/>
      <c r="J177" s="422"/>
      <c r="K177" s="54" t="s">
        <v>237</v>
      </c>
      <c r="L177" s="54"/>
      <c r="O177" t="s">
        <v>444</v>
      </c>
      <c r="R177" s="387"/>
      <c r="S177" s="387"/>
      <c r="T177" s="387"/>
      <c r="U177" s="387"/>
      <c r="V177" s="387"/>
      <c r="W177" s="387"/>
      <c r="X177" s="387"/>
      <c r="AQ177" s="110"/>
      <c r="BZ177" t="s">
        <v>444</v>
      </c>
      <c r="CA177" s="112" t="s">
        <v>200</v>
      </c>
      <c r="CB177" t="s">
        <v>201</v>
      </c>
      <c r="CG177" s="122" t="s">
        <v>207</v>
      </c>
      <c r="CV177" s="388"/>
    </row>
    <row r="178" spans="1:100" s="376" customFormat="1" ht="30" customHeight="1">
      <c r="A178" s="472"/>
      <c r="B178" s="473"/>
      <c r="C178" s="473"/>
      <c r="D178" s="473"/>
      <c r="E178" s="474"/>
      <c r="F178" s="473"/>
      <c r="G178" s="473"/>
      <c r="H178" s="421"/>
      <c r="I178" s="421"/>
      <c r="J178" s="422"/>
      <c r="K178" s="475"/>
      <c r="L178" s="475"/>
      <c r="R178" s="387"/>
      <c r="S178" s="387"/>
      <c r="T178" s="387"/>
      <c r="U178" s="387"/>
      <c r="V178" s="387"/>
      <c r="W178" s="387"/>
      <c r="X178" s="387"/>
      <c r="AQ178" s="476"/>
      <c r="BZ178" t="s">
        <v>447</v>
      </c>
      <c r="CA178" s="112" t="s">
        <v>200</v>
      </c>
      <c r="CB178" t="s">
        <v>201</v>
      </c>
      <c r="CG178" s="122" t="s">
        <v>207</v>
      </c>
    </row>
    <row r="179" spans="1:100" customFormat="1" ht="30" customHeight="1">
      <c r="A179" s="112" t="str">
        <f>IF($C$13=1,IF(K179="报价行",IF(F179&gt;0,1," ")," ")," ")</f>
        <v xml:space="preserve"> </v>
      </c>
      <c r="B179" s="414" t="str">
        <f>IF(A179=1,SUM($A$11:A179),"横斜撑")</f>
        <v>横斜撑</v>
      </c>
      <c r="C179" s="418" t="str">
        <f>D183</f>
        <v xml:space="preserve">H brace </v>
      </c>
      <c r="D179" s="611">
        <f>AG182*AI182+AH182*AJ182</f>
        <v>932</v>
      </c>
      <c r="E179" s="417" t="str">
        <f>VLOOKUP(D181,常规材料表!$1:$1048576,28,0)</f>
        <v>24*40*1.2 mm,</v>
      </c>
      <c r="F179" s="418"/>
      <c r="G179" s="428">
        <f>IFERROR(Y181+Y182+Y185*2,"-")</f>
        <v>0.81648791999999992</v>
      </c>
      <c r="H179" s="420" t="str">
        <f>IFERROR(SUM(H180:H182)+H184/F179,"-")</f>
        <v>-</v>
      </c>
      <c r="I179" s="421" t="s">
        <v>292</v>
      </c>
      <c r="J179" s="422"/>
      <c r="K179" s="423" t="s">
        <v>217</v>
      </c>
      <c r="L179" s="54"/>
      <c r="O179" s="425" t="s">
        <v>12</v>
      </c>
      <c r="P179" s="425"/>
      <c r="R179" s="387" t="s">
        <v>219</v>
      </c>
      <c r="S179" s="426" t="s">
        <v>220</v>
      </c>
      <c r="T179" s="426">
        <f>(T181*Y181+T182*Y182)/Y179</f>
        <v>3.34283185840708</v>
      </c>
      <c r="U179" s="426">
        <f>(U181*Y181+U182*Y182)/Y179</f>
        <v>0.38472336492130832</v>
      </c>
      <c r="V179" s="426">
        <f>(V181*Y181+V182*Y182)/Y179</f>
        <v>1.6909982526351393</v>
      </c>
      <c r="W179" s="426">
        <f>(W182*Y182+W181*Y181)/Y179</f>
        <v>1.0621793855420931</v>
      </c>
      <c r="X179" s="426">
        <f>SUM(T179:W179)*Y179</f>
        <v>5.2914400941663713</v>
      </c>
      <c r="Y179" s="427">
        <f>SUM(Y181:Y182)</f>
        <v>0.81648791999999992</v>
      </c>
      <c r="Z179" s="427"/>
      <c r="AA179" s="428" t="s">
        <v>221</v>
      </c>
      <c r="AB179" s="428" t="s">
        <v>222</v>
      </c>
      <c r="AC179" s="428" t="s">
        <v>223</v>
      </c>
      <c r="AD179" s="428" t="s">
        <v>224</v>
      </c>
      <c r="AE179" s="428" t="s">
        <v>225</v>
      </c>
      <c r="AF179" s="429" t="s">
        <v>226</v>
      </c>
      <c r="AG179" s="429"/>
      <c r="AH179" s="429" t="s">
        <v>227</v>
      </c>
      <c r="AI179" s="429" t="s">
        <v>228</v>
      </c>
      <c r="AJ179" s="429" t="s">
        <v>229</v>
      </c>
      <c r="AK179" s="429" t="s">
        <v>230</v>
      </c>
      <c r="AL179" s="429" t="s">
        <v>231</v>
      </c>
      <c r="AM179" s="429" t="s">
        <v>232</v>
      </c>
      <c r="AN179" s="429" t="s">
        <v>102</v>
      </c>
      <c r="AO179" s="429" t="s">
        <v>74</v>
      </c>
      <c r="AP179" s="429" t="s">
        <v>21</v>
      </c>
      <c r="AQ179" s="111" t="s">
        <v>233</v>
      </c>
      <c r="AX179" t="str">
        <f>VLOOKUP(D180,常规材料表!$1:$1048576,28,0)</f>
        <v>90*70*2 mm,</v>
      </c>
      <c r="AY179" s="256">
        <f>N180</f>
        <v>2000</v>
      </c>
      <c r="AZ179">
        <f>F179*2</f>
        <v>0</v>
      </c>
      <c r="BA179">
        <f>Y181/2</f>
        <v>0</v>
      </c>
      <c r="BB179">
        <f>BA179*AZ179</f>
        <v>0</v>
      </c>
      <c r="BC179" t="str">
        <f>VLOOKUP(D181,常规材料表!$1:$1048576,28,0)</f>
        <v>24*40*1.2 mm,</v>
      </c>
      <c r="BD179" t="e">
        <f>VLOOKUP(C182,常规材料表!$1:$1048576,28,0)</f>
        <v>#N/A</v>
      </c>
      <c r="BF179">
        <f>AG182*F179</f>
        <v>0</v>
      </c>
      <c r="BG179" s="430">
        <f>AI182</f>
        <v>932</v>
      </c>
      <c r="BH179">
        <f>AK182*AK180*(AI182)*Z183/1000000</f>
        <v>0.81648791999999992</v>
      </c>
      <c r="BI179">
        <f>BH179*BF179</f>
        <v>0</v>
      </c>
      <c r="BJ179">
        <f>AH182*F179</f>
        <v>0</v>
      </c>
      <c r="BK179" s="430">
        <f>AJ182</f>
        <v>1115.1885309385871</v>
      </c>
      <c r="BL179">
        <f>AK182*AK180*(AJ182)*Z183/1000000</f>
        <v>0.97697206441405848</v>
      </c>
      <c r="BM179">
        <f>BL179*BJ179</f>
        <v>0</v>
      </c>
      <c r="BN179">
        <f>AZ179</f>
        <v>0</v>
      </c>
      <c r="BO179" s="256">
        <f>Y185</f>
        <v>0</v>
      </c>
      <c r="BP179">
        <f>BO179*BN179</f>
        <v>0</v>
      </c>
      <c r="BQ179">
        <f>D185</f>
        <v>0</v>
      </c>
      <c r="BR179" t="str">
        <f>I179</f>
        <v>Blue Ral5015</v>
      </c>
      <c r="BZ179" t="s">
        <v>12</v>
      </c>
      <c r="CA179" s="112"/>
      <c r="CG179" s="122" t="s">
        <v>207</v>
      </c>
      <c r="CV179" s="388"/>
    </row>
    <row r="180" spans="1:100" customFormat="1" ht="30" customHeight="1" outlineLevel="1">
      <c r="A180" s="112"/>
      <c r="B180" s="478" t="s">
        <v>448</v>
      </c>
      <c r="C180" s="418" t="s">
        <v>10</v>
      </c>
      <c r="D180" s="479" t="s">
        <v>235</v>
      </c>
      <c r="E180" s="612">
        <v>1000</v>
      </c>
      <c r="F180" s="112"/>
      <c r="G180" s="480" t="s">
        <v>236</v>
      </c>
      <c r="H180" s="420">
        <f>IFERROR(X181,"-")</f>
        <v>0</v>
      </c>
      <c r="I180" s="421" t="s">
        <v>279</v>
      </c>
      <c r="J180" s="387" t="s">
        <v>449</v>
      </c>
      <c r="K180" s="54" t="s">
        <v>237</v>
      </c>
      <c r="L180" s="54"/>
      <c r="N180" s="539">
        <v>2000</v>
      </c>
      <c r="O180" s="425" t="s">
        <v>12</v>
      </c>
      <c r="P180" s="425"/>
      <c r="Q180" s="256"/>
      <c r="R180" s="420" t="s">
        <v>238</v>
      </c>
      <c r="S180" s="420" t="s">
        <v>239</v>
      </c>
      <c r="T180" s="420" t="s">
        <v>240</v>
      </c>
      <c r="U180" s="420" t="s">
        <v>241</v>
      </c>
      <c r="V180" s="420" t="s">
        <v>242</v>
      </c>
      <c r="W180" s="420" t="s">
        <v>207</v>
      </c>
      <c r="X180" s="420" t="s">
        <v>243</v>
      </c>
      <c r="Y180" s="429" t="s">
        <v>244</v>
      </c>
      <c r="Z180" s="429" t="s">
        <v>159</v>
      </c>
      <c r="AA180" s="437" t="str">
        <f>D180</f>
        <v>9070-20</v>
      </c>
      <c r="AB180" s="438">
        <v>1</v>
      </c>
      <c r="AC180" s="438">
        <f>N180</f>
        <v>2000</v>
      </c>
      <c r="AD180" s="438">
        <f>E180</f>
        <v>1000</v>
      </c>
      <c r="AE180" s="439" t="str">
        <f>G180</f>
        <v>喷塑</v>
      </c>
      <c r="AF180" s="440">
        <f>IF(AE180="预镀锌",0,IF(AE180="喷塑",VLOOKUP(AA180,常规材料表!$1:$1048576,12,0),IF(AE180="热镀锌",VLOOKUP(AA180,常规材料表!$1:$1048576,13,0),IF(AE180="冷镀锌",VLOOKUP(AA180,常规材料表!$1:$1048576,15,0),0))))</f>
        <v>9</v>
      </c>
      <c r="AG180" s="440"/>
      <c r="AH180" s="440">
        <f>IF(AE180="预镀锌",VLOOKUP(AA180,常规材料表!$1:$1048576,11,0)+VLOOKUP(AA180,常规材料表!$1:$1048576,14,0),VLOOKUP(AA180,常规材料表!$1:$1048576,11,0))+IF(AC180&lt;8000,0,VLOOKUP(AA180,常规材料表!$1:$1048576,16,0))</f>
        <v>2.2000000000000002</v>
      </c>
      <c r="AI180" s="440">
        <f>VLOOKUP(AA180,常规材料表!$1:$1048576,7,0)</f>
        <v>249</v>
      </c>
      <c r="AJ180" s="440">
        <f>VLOOKUP(AA180,常规材料表!$1:$1048576,6,0)</f>
        <v>2</v>
      </c>
      <c r="AK180" s="429">
        <f>VLOOKUP(AA182,常规材料表!$1:$1048576,6,0)</f>
        <v>1.2</v>
      </c>
      <c r="AL180" s="441" t="s">
        <v>245</v>
      </c>
      <c r="AM180" s="441" t="str">
        <f>VLOOKUP(AA182,常规材料表!$1:$1048576,17,0)</f>
        <v>M10.L65.Socket.Wz</v>
      </c>
      <c r="AN180" s="442">
        <v>1</v>
      </c>
      <c r="AO180" s="441">
        <f>VLOOKUP(AM180,标准件价格!$C:$D,2,0)</f>
        <v>0.4</v>
      </c>
      <c r="AP180" s="441">
        <f>AN180*AO180+IF(AA180="L6650-15",0,0)</f>
        <v>0.4</v>
      </c>
      <c r="AQ180" s="111">
        <f>IFERROR(VLOOKUP(AM180,标准件价格!$C:$E,3,0),0)</f>
        <v>0</v>
      </c>
      <c r="AR180">
        <f>IFERROR(IF(J181&gt;0,Y181*F179,0),"-")</f>
        <v>0</v>
      </c>
      <c r="AS180">
        <f>IFERROR(IF(J181=0,Y181*F179,0),"-")</f>
        <v>0</v>
      </c>
      <c r="AT180">
        <f>IFERROR(Y182*F179,"-")</f>
        <v>0</v>
      </c>
      <c r="AX180" t="s">
        <v>156</v>
      </c>
      <c r="AY180" t="s">
        <v>246</v>
      </c>
      <c r="AZ180" t="s">
        <v>102</v>
      </c>
      <c r="BA180" t="s">
        <v>158</v>
      </c>
      <c r="BB180" t="s">
        <v>247</v>
      </c>
      <c r="BC180" t="s">
        <v>248</v>
      </c>
      <c r="BD180" t="s">
        <v>249</v>
      </c>
      <c r="BE180" t="s">
        <v>250</v>
      </c>
      <c r="BF180" t="s">
        <v>251</v>
      </c>
      <c r="BG180" t="s">
        <v>252</v>
      </c>
      <c r="BH180" t="s">
        <v>253</v>
      </c>
      <c r="BI180" t="s">
        <v>254</v>
      </c>
      <c r="BJ180" t="s">
        <v>255</v>
      </c>
      <c r="BK180" t="s">
        <v>256</v>
      </c>
      <c r="BL180" t="s">
        <v>257</v>
      </c>
      <c r="BM180" t="s">
        <v>258</v>
      </c>
      <c r="BN180" t="s">
        <v>259</v>
      </c>
      <c r="BO180" t="s">
        <v>260</v>
      </c>
      <c r="BP180" t="s">
        <v>261</v>
      </c>
      <c r="BQ180" t="s">
        <v>262</v>
      </c>
      <c r="BR180" t="s">
        <v>155</v>
      </c>
      <c r="BZ180" t="s">
        <v>12</v>
      </c>
      <c r="CA180" s="112"/>
      <c r="CG180" s="122" t="s">
        <v>207</v>
      </c>
      <c r="CV180" s="388"/>
    </row>
    <row r="181" spans="1:100" customFormat="1" ht="30" customHeight="1" outlineLevel="1">
      <c r="A181" s="112"/>
      <c r="B181" s="463" t="s">
        <v>450</v>
      </c>
      <c r="C181" s="418" t="s">
        <v>264</v>
      </c>
      <c r="D181" s="479" t="s">
        <v>265</v>
      </c>
      <c r="E181" s="613"/>
      <c r="F181" s="415"/>
      <c r="G181" s="480" t="s">
        <v>236</v>
      </c>
      <c r="H181" s="420">
        <f>IFERROR(X182,"-")</f>
        <v>5.2914400941663713</v>
      </c>
      <c r="I181" s="386"/>
      <c r="J181" s="422">
        <f>IFERROR(IF(D185="Q355",IFERROR(IF(G180="预镀锌",VLOOKUP(D180,常规材料表!$1:$1048576,30,0),VLOOKUP(D180,常规材料表!$1:$1048576,29,0)),0),0),0)</f>
        <v>0</v>
      </c>
      <c r="K181" s="54" t="s">
        <v>237</v>
      </c>
      <c r="L181" s="54"/>
      <c r="N181" s="614" t="s">
        <v>266</v>
      </c>
      <c r="O181" s="425" t="s">
        <v>12</v>
      </c>
      <c r="P181" s="425"/>
      <c r="Q181" s="445" t="s">
        <v>10</v>
      </c>
      <c r="R181" s="420">
        <f>IF(AD185&gt;0,AD185,IFERROR(IF(AE180="预镀锌",VLOOKUP(AA180,常规材料表!$1:$1048576,5,0),VLOOKUP(AA180,常规材料表!$1:$1048576,10,0)),0))</f>
        <v>3.6</v>
      </c>
      <c r="S181" s="420">
        <v>1.02</v>
      </c>
      <c r="T181" s="420"/>
      <c r="U181" s="420"/>
      <c r="V181" s="420"/>
      <c r="W181" s="420"/>
      <c r="X181" s="420"/>
      <c r="Y181" s="429"/>
      <c r="Z181" s="429">
        <f>Y181*AB180</f>
        <v>0</v>
      </c>
      <c r="AA181" s="428" t="s">
        <v>267</v>
      </c>
      <c r="AB181" s="428" t="s">
        <v>268</v>
      </c>
      <c r="AC181" s="428" t="s">
        <v>269</v>
      </c>
      <c r="AD181" s="446" t="s">
        <v>297</v>
      </c>
      <c r="AE181" s="428" t="s">
        <v>271</v>
      </c>
      <c r="AF181" s="429" t="s">
        <v>226</v>
      </c>
      <c r="AG181" s="429" t="s">
        <v>251</v>
      </c>
      <c r="AH181" s="429" t="s">
        <v>255</v>
      </c>
      <c r="AI181" s="429" t="s">
        <v>252</v>
      </c>
      <c r="AJ181" s="429" t="s">
        <v>256</v>
      </c>
      <c r="AK181" s="429" t="s">
        <v>272</v>
      </c>
      <c r="AL181" s="441" t="s">
        <v>273</v>
      </c>
      <c r="AM181" s="441" t="str">
        <f>VLOOKUP(AA182,常规材料表!$1:$1048576,19,0)</f>
        <v>Spacer.90.φ14.L47</v>
      </c>
      <c r="AN181" s="442">
        <v>1</v>
      </c>
      <c r="AO181" s="441">
        <f>VLOOKUP(AM181,标准件价格!$C:$D,2,0)</f>
        <v>0.57999999999999996</v>
      </c>
      <c r="AP181" s="441">
        <f>AN181*AO181</f>
        <v>0.57999999999999996</v>
      </c>
      <c r="AQ181" s="111">
        <f>IFERROR(VLOOKUP(AM181,标准件价格!$C:$E,3,0),0)</f>
        <v>0</v>
      </c>
      <c r="BZ181" t="s">
        <v>12</v>
      </c>
      <c r="CA181" s="112"/>
      <c r="CG181" s="122" t="s">
        <v>207</v>
      </c>
      <c r="CV181" s="388"/>
    </row>
    <row r="182" spans="1:100" customFormat="1" ht="30" customHeight="1" outlineLevel="1">
      <c r="A182" s="112"/>
      <c r="B182" s="418" t="s">
        <v>451</v>
      </c>
      <c r="C182" s="418" t="s">
        <v>452</v>
      </c>
      <c r="D182" s="418">
        <v>600</v>
      </c>
      <c r="E182" s="615" t="s">
        <v>453</v>
      </c>
      <c r="F182" s="112"/>
      <c r="G182" s="418"/>
      <c r="H182" s="420">
        <f>IFERROR(X185*2,"-")</f>
        <v>0</v>
      </c>
      <c r="I182" s="386"/>
      <c r="J182" s="422"/>
      <c r="K182" s="54" t="s">
        <v>237</v>
      </c>
      <c r="L182" s="54"/>
      <c r="N182" s="419" t="s">
        <v>299</v>
      </c>
      <c r="O182" s="425" t="s">
        <v>12</v>
      </c>
      <c r="P182" s="425"/>
      <c r="Q182" s="448" t="s">
        <v>264</v>
      </c>
      <c r="R182" s="420">
        <f>IFERROR(IF(AE182="预镀锌",VLOOKUP(AA182,常规材料表!$1:$1048576,5,0),VLOOKUP(AA182,常规材料表!$1:$1048576,10,0)),0)</f>
        <v>3.74</v>
      </c>
      <c r="S182" s="420">
        <v>1.01</v>
      </c>
      <c r="T182" s="420">
        <f>R182*S182/1.13</f>
        <v>3.34283185840708</v>
      </c>
      <c r="U182" s="420">
        <f>AJ185*(AG182+AH182)/Y182+IF(ISNUMBER(SEARCH("L60",AA180)),0.7,0.25)</f>
        <v>0.38472336492130832</v>
      </c>
      <c r="V182" s="420">
        <f>AF182*AK182*(AG182*AI182+AH182*AJ182)*2/1000000/Y182/1.13</f>
        <v>1.6909982526351393</v>
      </c>
      <c r="W182" s="420">
        <f>SUM(AP180:AP182)/Y182/1.13</f>
        <v>1.0621793855420931</v>
      </c>
      <c r="X182" s="420">
        <f>(T182+U182+V182+W182)*Y182</f>
        <v>5.2914400941663713</v>
      </c>
      <c r="Y182" s="429">
        <f>AK182*AK180*(AG182*AI182+AH182*AJ182)*Z183/1000000</f>
        <v>0.81648791999999992</v>
      </c>
      <c r="Z182" s="429">
        <f>Y182*AB180</f>
        <v>0.81648791999999992</v>
      </c>
      <c r="AA182" s="437" t="str">
        <f>D181</f>
        <v>90.Br2440.12</v>
      </c>
      <c r="AB182" s="439" t="str">
        <f>N181</f>
        <v>Z</v>
      </c>
      <c r="AC182" s="439">
        <v>600</v>
      </c>
      <c r="AD182" s="438" t="str">
        <f>N182</f>
        <v>外部冲孔时填写印尼</v>
      </c>
      <c r="AE182" s="439" t="str">
        <f>G181</f>
        <v>喷塑</v>
      </c>
      <c r="AF182" s="440">
        <f>IF(AE182="预镀锌",0,IF(AE182="喷塑",VLOOKUP(AA182,常规材料表!$1:$1048576,12,0),IF(AE182="热镀锌",VLOOKUP(AA182,常规材料表!$1:$1048576,13,0),IF(AE182="冷镀锌",VLOOKUP(AA182,常规材料表!$1:$1048576,15,0),0))))</f>
        <v>9</v>
      </c>
      <c r="AG182" s="429">
        <f>C183</f>
        <v>1</v>
      </c>
      <c r="AH182" s="451">
        <f>C184</f>
        <v>0</v>
      </c>
      <c r="AI182" s="452">
        <f>IF(E181&gt;0,E181,(AD180-IF(ISNUMBER(SEARCH("L",AA180)),IF(ISNUMBER(SEARCH("L5",AA180)),77,86),109)+41))</f>
        <v>932</v>
      </c>
      <c r="AJ182" s="452">
        <f>IF(E181&gt;0,E181,SQRT((AD180-IF(ISNUMBER(SEARCH("L",AA180)),IF(ISNUMBER(SEARCH("L5",AA180)),77,86),109))^2+IF(ISNUMBER(SEARCH("L",AA180)),500,AB183)^2)+41)</f>
        <v>1115.1885309385871</v>
      </c>
      <c r="AK182" s="429">
        <f>VLOOKUP(AA182,常规材料表!$1:$1048576,7,0)</f>
        <v>93</v>
      </c>
      <c r="AL182" s="441" t="s">
        <v>276</v>
      </c>
      <c r="AM182" s="441">
        <f>VLOOKUP(AA182,常规材料表!$1:$1048576,21,0)</f>
        <v>0</v>
      </c>
      <c r="AN182" s="441">
        <f>VLOOKUP(AA182,常规材料表!$1:$1048576,22,0)</f>
        <v>0</v>
      </c>
      <c r="AO182" s="441">
        <f>IFERROR(VLOOKUP(AM182,标准件价格!$C:$D,2,0),0)</f>
        <v>0</v>
      </c>
      <c r="AP182" s="441">
        <f>AN182*AO182</f>
        <v>0</v>
      </c>
      <c r="AQ182" s="111">
        <f>IFERROR(VLOOKUP(AM182,标准件价格!$C:$E,3,0),0)</f>
        <v>0</v>
      </c>
      <c r="BZ182" t="s">
        <v>12</v>
      </c>
      <c r="CA182" s="112"/>
      <c r="CG182" s="122" t="s">
        <v>207</v>
      </c>
      <c r="CV182" s="388"/>
    </row>
    <row r="183" spans="1:100" customFormat="1" ht="30" customHeight="1" outlineLevel="1">
      <c r="A183" s="112"/>
      <c r="B183" s="418" t="s">
        <v>454</v>
      </c>
      <c r="C183" s="418">
        <f>IFERROR(IF(C179=D183,1,0),0)</f>
        <v>1</v>
      </c>
      <c r="D183" s="415" t="str">
        <f>B180&amp;IF(C185=1,CHAR(10)&amp;B181," ")</f>
        <v xml:space="preserve">H brace </v>
      </c>
      <c r="E183" s="381"/>
      <c r="F183" s="418"/>
      <c r="G183" s="418"/>
      <c r="H183" s="421"/>
      <c r="I183" s="450" t="s">
        <v>455</v>
      </c>
      <c r="J183" s="450" t="s">
        <v>456</v>
      </c>
      <c r="K183" s="54" t="s">
        <v>237</v>
      </c>
      <c r="L183" s="54"/>
      <c r="O183" s="425" t="s">
        <v>12</v>
      </c>
      <c r="P183" s="425"/>
      <c r="R183" s="456" t="s">
        <v>412</v>
      </c>
      <c r="S183" s="420">
        <v>1.3</v>
      </c>
      <c r="T183" s="456" t="s">
        <v>424</v>
      </c>
      <c r="U183" s="456">
        <v>7</v>
      </c>
      <c r="V183" s="387"/>
      <c r="W183" s="456" t="s">
        <v>34</v>
      </c>
      <c r="X183" s="456">
        <f>X179*S183/U183</f>
        <v>0.98269601748804036</v>
      </c>
      <c r="Y183" s="457" t="s">
        <v>277</v>
      </c>
      <c r="Z183" s="458">
        <v>7.85</v>
      </c>
      <c r="AA183" s="459" t="s">
        <v>278</v>
      </c>
      <c r="AB183" s="460">
        <f>D182</f>
        <v>600</v>
      </c>
      <c r="AC183" s="429" t="s">
        <v>279</v>
      </c>
      <c r="AD183" s="460">
        <f>C183</f>
        <v>1</v>
      </c>
      <c r="AE183" s="460">
        <f>C184</f>
        <v>0</v>
      </c>
      <c r="AL183" s="441" t="s">
        <v>280</v>
      </c>
      <c r="AM183" s="441"/>
      <c r="AN183" s="441" t="e">
        <f>VLOOKUP(AA185,常规材料表!$1:$1048576,18,0)</f>
        <v>#N/A</v>
      </c>
      <c r="AO183" s="441" t="e">
        <f>VLOOKUP(AM183,标准件价格!$C:$D,2,0)</f>
        <v>#N/A</v>
      </c>
      <c r="AP183" s="441" t="e">
        <f>AN183*AO183</f>
        <v>#N/A</v>
      </c>
      <c r="AQ183" s="111">
        <f>IFERROR(VLOOKUP(AM183,标准件价格!$C:$E,3,0),0)</f>
        <v>0</v>
      </c>
      <c r="BZ183" t="s">
        <v>12</v>
      </c>
      <c r="CA183" s="112"/>
      <c r="CG183" s="122" t="s">
        <v>207</v>
      </c>
      <c r="CV183" s="388"/>
    </row>
    <row r="184" spans="1:100" customFormat="1" ht="30" customHeight="1" outlineLevel="1">
      <c r="A184" s="112"/>
      <c r="B184" s="418"/>
      <c r="C184" s="418">
        <f>IFERROR(IF(C179=D184,1,0),0)</f>
        <v>0</v>
      </c>
      <c r="D184" s="415" t="str">
        <f>B182&amp;IF(C185=1,CHAR(10)&amp;B183," ")</f>
        <v xml:space="preserve">D  brace </v>
      </c>
      <c r="E184" s="415"/>
      <c r="F184" s="418"/>
      <c r="G184" s="463"/>
      <c r="H184" s="421"/>
      <c r="I184" s="421"/>
      <c r="J184" s="422"/>
      <c r="K184" s="54" t="s">
        <v>237</v>
      </c>
      <c r="L184" s="54"/>
      <c r="O184" s="425" t="s">
        <v>12</v>
      </c>
      <c r="P184" s="425"/>
      <c r="Q184" s="445" t="s">
        <v>274</v>
      </c>
      <c r="R184" s="420" t="s">
        <v>238</v>
      </c>
      <c r="S184" s="420" t="s">
        <v>239</v>
      </c>
      <c r="T184" s="420" t="s">
        <v>240</v>
      </c>
      <c r="U184" s="420" t="s">
        <v>241</v>
      </c>
      <c r="V184" s="420" t="s">
        <v>242</v>
      </c>
      <c r="W184" s="420" t="s">
        <v>207</v>
      </c>
      <c r="X184" s="420" t="s">
        <v>282</v>
      </c>
      <c r="Y184" s="429" t="s">
        <v>283</v>
      </c>
      <c r="Z184" s="429" t="s">
        <v>159</v>
      </c>
      <c r="AA184" s="438" t="s">
        <v>284</v>
      </c>
      <c r="AB184" s="429" t="s">
        <v>221</v>
      </c>
      <c r="AC184" s="429" t="s">
        <v>222</v>
      </c>
      <c r="AD184" s="448" t="s">
        <v>285</v>
      </c>
      <c r="AE184" s="428" t="s">
        <v>286</v>
      </c>
      <c r="AF184" s="429" t="s">
        <v>226</v>
      </c>
      <c r="AG184" s="441" t="s">
        <v>238</v>
      </c>
      <c r="AH184" s="441" t="s">
        <v>287</v>
      </c>
      <c r="AI184" s="441" t="s">
        <v>288</v>
      </c>
      <c r="AJ184" s="429" t="s">
        <v>289</v>
      </c>
      <c r="AK184" s="429"/>
      <c r="AL184" s="441" t="s">
        <v>290</v>
      </c>
      <c r="AM184" s="441"/>
      <c r="AN184" s="441" t="e">
        <f>VLOOKUP(AA185,常规材料表!$1:$1048576,20,0)</f>
        <v>#N/A</v>
      </c>
      <c r="AO184" s="441">
        <f>IFERROR(VLOOKUP(AM184,标准件价格!$C:$D,2,0),0)</f>
        <v>0</v>
      </c>
      <c r="AP184" s="441" t="e">
        <f>AN184*AO184</f>
        <v>#N/A</v>
      </c>
      <c r="AQ184" s="111">
        <f>IFERROR(VLOOKUP(AM184,标准件价格!$C:$E,3,0),0)</f>
        <v>0</v>
      </c>
      <c r="BZ184" t="s">
        <v>12</v>
      </c>
      <c r="CA184" s="112"/>
      <c r="CG184" s="122" t="s">
        <v>207</v>
      </c>
      <c r="CV184" s="388"/>
    </row>
    <row r="185" spans="1:100" customFormat="1" ht="30" customHeight="1" outlineLevel="1">
      <c r="A185" s="112"/>
      <c r="B185" s="414">
        <v>0</v>
      </c>
      <c r="C185" s="465">
        <f>报价辅助计算!$E$13</f>
        <v>0</v>
      </c>
      <c r="D185" s="418"/>
      <c r="E185" s="418"/>
      <c r="F185" s="418"/>
      <c r="G185" s="418"/>
      <c r="H185" s="421"/>
      <c r="I185" s="421"/>
      <c r="J185" s="422"/>
      <c r="K185" s="54" t="s">
        <v>237</v>
      </c>
      <c r="L185" s="54"/>
      <c r="O185" s="425" t="s">
        <v>12</v>
      </c>
      <c r="P185" s="425"/>
      <c r="R185" s="420"/>
      <c r="S185" s="420">
        <v>1.01</v>
      </c>
      <c r="T185" s="420"/>
      <c r="U185" s="420"/>
      <c r="V185" s="420"/>
      <c r="W185" s="420"/>
      <c r="X185" s="420"/>
      <c r="Y185" s="469"/>
      <c r="Z185" s="427"/>
      <c r="AA185" s="470" t="str">
        <f>C182</f>
        <v>斜撑高度</v>
      </c>
      <c r="AB185" s="440" t="str">
        <f>AA180</f>
        <v>9070-20</v>
      </c>
      <c r="AC185" s="429">
        <f>AB180</f>
        <v>1</v>
      </c>
      <c r="AD185" s="471">
        <f>J181</f>
        <v>0</v>
      </c>
      <c r="AE185" s="439">
        <f>G182</f>
        <v>0</v>
      </c>
      <c r="AF185" s="440">
        <f>IF(AE185="预镀锌",0,IF(AE185="喷塑",VLOOKUP(AA185,常规材料表!$1:$1048576,12,0),IF(AE185="热镀锌",VLOOKUP(AA185,常规材料表!$1:$1048576,13,0),IF(AE185="冷镀锌",VLOOKUP(AA185,常规材料表!$1:$1048576,15,0),0))))</f>
        <v>0</v>
      </c>
      <c r="AG185" s="440"/>
      <c r="AH185" s="429"/>
      <c r="AI185" s="441"/>
      <c r="AJ185" s="429">
        <f>IF(AE182="预镀锌",VLOOKUP(AA182,常规材料表!$1:$1048576,11,0)+VLOOKUP(AA182,常规材料表!$1:$1048576,14,0),VLOOKUP(AA182,常规材料表!$1:$1048576,11,0))</f>
        <v>0.11</v>
      </c>
      <c r="AK185" s="429"/>
      <c r="AL185" s="441" t="s">
        <v>291</v>
      </c>
      <c r="AM185" s="441"/>
      <c r="AN185" s="441" t="e">
        <f>VLOOKUP(AA185,常规材料表!$1:$1048576,22,0)</f>
        <v>#N/A</v>
      </c>
      <c r="AO185" s="441" t="e">
        <f>VLOOKUP(AM185,标准件价格!$C:$D,2,0)</f>
        <v>#N/A</v>
      </c>
      <c r="AP185" s="441" t="e">
        <f>AN185*AO185</f>
        <v>#N/A</v>
      </c>
      <c r="AQ185" s="111">
        <f>IFERROR(VLOOKUP(AM185,标准件价格!$C:$E,3,0),0)</f>
        <v>0</v>
      </c>
      <c r="BZ185" t="s">
        <v>12</v>
      </c>
      <c r="CA185" s="112"/>
      <c r="CG185" s="122" t="s">
        <v>207</v>
      </c>
      <c r="CV185" s="388"/>
    </row>
    <row r="186" spans="1:100" s="376" customFormat="1" ht="30" customHeight="1">
      <c r="A186" s="472"/>
      <c r="B186" s="473"/>
      <c r="C186" s="473"/>
      <c r="D186" s="473"/>
      <c r="E186" s="474"/>
      <c r="F186" s="473"/>
      <c r="G186" s="473"/>
      <c r="H186" s="421"/>
      <c r="I186" s="421"/>
      <c r="J186" s="422"/>
      <c r="K186" s="475"/>
      <c r="L186" s="475"/>
      <c r="R186" s="387"/>
      <c r="S186" s="387"/>
      <c r="T186" s="387"/>
      <c r="U186" s="387"/>
      <c r="V186" s="387"/>
      <c r="W186" s="387"/>
      <c r="X186" s="387"/>
      <c r="AQ186" s="476"/>
      <c r="BZ186" t="s">
        <v>12</v>
      </c>
      <c r="CA186" s="112"/>
      <c r="CB186"/>
      <c r="CC186"/>
      <c r="CD186"/>
      <c r="CE186"/>
      <c r="CF186"/>
      <c r="CG186" s="122" t="s">
        <v>207</v>
      </c>
    </row>
    <row r="187" spans="1:100" customFormat="1" ht="30" customHeight="1">
      <c r="A187" s="112" t="str">
        <f>IF($C$13=1,IF(K187="报价行",IF(F187&gt;0,1," ")," ")," ")</f>
        <v xml:space="preserve"> </v>
      </c>
      <c r="B187" s="414" t="str">
        <f>IF(A187=1,SUM($A$11:A187),"横斜撑")</f>
        <v>横斜撑</v>
      </c>
      <c r="C187" s="418" t="str">
        <f>D192</f>
        <v xml:space="preserve">D  brace </v>
      </c>
      <c r="D187" s="611">
        <f>AG190*AI190+AH190*AJ190</f>
        <v>1115.1885309385871</v>
      </c>
      <c r="E187" s="417" t="str">
        <f>VLOOKUP(D189,常规材料表!$1:$1048576,28,0)</f>
        <v>24*40*1.2 mm,</v>
      </c>
      <c r="F187" s="418"/>
      <c r="G187" s="428">
        <f>IFERROR(Y189+Y190+Y193*2,"-")</f>
        <v>0.97697206441405848</v>
      </c>
      <c r="H187" s="420" t="str">
        <f>IFERROR(SUM(H188:H190)+H192/F187,"-")</f>
        <v>-</v>
      </c>
      <c r="I187" s="421" t="s">
        <v>292</v>
      </c>
      <c r="J187" s="422"/>
      <c r="K187" s="423" t="s">
        <v>217</v>
      </c>
      <c r="L187" s="54"/>
      <c r="O187" s="425" t="s">
        <v>12</v>
      </c>
      <c r="P187" s="425"/>
      <c r="R187" s="387" t="s">
        <v>219</v>
      </c>
      <c r="S187" s="426" t="s">
        <v>220</v>
      </c>
      <c r="T187" s="426">
        <f>(T189*Y189+T190*Y190)/Y187</f>
        <v>3.34283185840708</v>
      </c>
      <c r="U187" s="426">
        <f>(U189*Y189+U190*Y190)/Y187</f>
        <v>0.36259277926843569</v>
      </c>
      <c r="V187" s="426">
        <f>(V189*Y189+V190*Y190)/Y187</f>
        <v>1.6909982526351393</v>
      </c>
      <c r="W187" s="426">
        <f>(W190*Y190+W189*Y189)/Y187</f>
        <v>0.88769850107053072</v>
      </c>
      <c r="X187" s="426">
        <f>SUM(T187:W187)*Y187</f>
        <v>6.139411048766223</v>
      </c>
      <c r="Y187" s="427">
        <f>SUM(Y189:Y190)</f>
        <v>0.97697206441405848</v>
      </c>
      <c r="Z187" s="427"/>
      <c r="AA187" s="428" t="s">
        <v>221</v>
      </c>
      <c r="AB187" s="428" t="s">
        <v>222</v>
      </c>
      <c r="AC187" s="428" t="s">
        <v>223</v>
      </c>
      <c r="AD187" s="428" t="s">
        <v>224</v>
      </c>
      <c r="AE187" s="428" t="s">
        <v>225</v>
      </c>
      <c r="AF187" s="429" t="s">
        <v>226</v>
      </c>
      <c r="AG187" s="429"/>
      <c r="AH187" s="429" t="s">
        <v>227</v>
      </c>
      <c r="AI187" s="429" t="s">
        <v>228</v>
      </c>
      <c r="AJ187" s="429" t="s">
        <v>229</v>
      </c>
      <c r="AK187" s="429" t="s">
        <v>230</v>
      </c>
      <c r="AL187" s="429" t="s">
        <v>231</v>
      </c>
      <c r="AM187" s="429" t="s">
        <v>232</v>
      </c>
      <c r="AN187" s="429" t="s">
        <v>102</v>
      </c>
      <c r="AO187" s="429" t="s">
        <v>74</v>
      </c>
      <c r="AP187" s="429" t="s">
        <v>21</v>
      </c>
      <c r="AQ187" s="111" t="s">
        <v>233</v>
      </c>
      <c r="AX187" t="str">
        <f>VLOOKUP(D188,常规材料表!$1:$1048576,28,0)</f>
        <v>90*70*2 mm,</v>
      </c>
      <c r="AY187" s="256">
        <f>N188</f>
        <v>2000</v>
      </c>
      <c r="AZ187">
        <f>F187*2</f>
        <v>0</v>
      </c>
      <c r="BA187">
        <f>Y189/2</f>
        <v>0</v>
      </c>
      <c r="BB187">
        <f>BA187*AZ187</f>
        <v>0</v>
      </c>
      <c r="BC187" t="str">
        <f>VLOOKUP(D189,常规材料表!$1:$1048576,28,0)</f>
        <v>24*40*1.2 mm,</v>
      </c>
      <c r="BD187" t="e">
        <f>VLOOKUP(C190,常规材料表!$1:$1048576,28,0)</f>
        <v>#N/A</v>
      </c>
      <c r="BF187">
        <f>AG190*F187</f>
        <v>0</v>
      </c>
      <c r="BG187" s="430">
        <f>AI190</f>
        <v>932</v>
      </c>
      <c r="BH187">
        <f>AK190*AK188*(AI190)*Z191/1000000</f>
        <v>0.81648791999999992</v>
      </c>
      <c r="BI187">
        <f>BH187*BF187</f>
        <v>0</v>
      </c>
      <c r="BJ187">
        <f>AH190*F187</f>
        <v>0</v>
      </c>
      <c r="BK187" s="430">
        <f>AJ190</f>
        <v>1115.1885309385871</v>
      </c>
      <c r="BL187">
        <f>AK190*AK188*(AJ190)*Z191/1000000</f>
        <v>0.97697206441405848</v>
      </c>
      <c r="BM187">
        <f>BL187*BJ187</f>
        <v>0</v>
      </c>
      <c r="BN187">
        <f>AZ187</f>
        <v>0</v>
      </c>
      <c r="BO187" s="256">
        <f>Y193</f>
        <v>0</v>
      </c>
      <c r="BP187">
        <f>BO187*BN187</f>
        <v>0</v>
      </c>
      <c r="BQ187">
        <f>D193</f>
        <v>0</v>
      </c>
      <c r="BR187" t="str">
        <f>I187</f>
        <v>Blue Ral5015</v>
      </c>
      <c r="BZ187" t="s">
        <v>12</v>
      </c>
      <c r="CA187" s="112"/>
      <c r="CG187" s="122" t="s">
        <v>207</v>
      </c>
      <c r="CV187" s="388"/>
    </row>
    <row r="188" spans="1:100" customFormat="1" ht="30" customHeight="1" outlineLevel="1">
      <c r="A188" s="112"/>
      <c r="B188" s="478" t="s">
        <v>448</v>
      </c>
      <c r="C188" s="418" t="s">
        <v>10</v>
      </c>
      <c r="D188" s="479" t="s">
        <v>235</v>
      </c>
      <c r="E188" s="612">
        <v>1000</v>
      </c>
      <c r="F188" s="112"/>
      <c r="G188" s="480" t="s">
        <v>236</v>
      </c>
      <c r="H188" s="420">
        <f>IFERROR(X189,"-")</f>
        <v>0</v>
      </c>
      <c r="I188" s="421" t="s">
        <v>279</v>
      </c>
      <c r="J188" s="387" t="s">
        <v>449</v>
      </c>
      <c r="K188" s="54" t="s">
        <v>237</v>
      </c>
      <c r="L188" s="54"/>
      <c r="N188" s="539">
        <v>2000</v>
      </c>
      <c r="O188" s="425" t="s">
        <v>12</v>
      </c>
      <c r="P188" s="425"/>
      <c r="Q188" s="256"/>
      <c r="R188" s="420" t="s">
        <v>238</v>
      </c>
      <c r="S188" s="420" t="s">
        <v>239</v>
      </c>
      <c r="T188" s="420" t="s">
        <v>240</v>
      </c>
      <c r="U188" s="420" t="s">
        <v>241</v>
      </c>
      <c r="V188" s="420" t="s">
        <v>242</v>
      </c>
      <c r="W188" s="420" t="s">
        <v>207</v>
      </c>
      <c r="X188" s="420" t="s">
        <v>243</v>
      </c>
      <c r="Y188" s="429" t="s">
        <v>244</v>
      </c>
      <c r="Z188" s="429" t="s">
        <v>159</v>
      </c>
      <c r="AA188" s="437" t="str">
        <f>D188</f>
        <v>9070-20</v>
      </c>
      <c r="AB188" s="438">
        <v>1</v>
      </c>
      <c r="AC188" s="438">
        <f>N188</f>
        <v>2000</v>
      </c>
      <c r="AD188" s="438">
        <f>E188</f>
        <v>1000</v>
      </c>
      <c r="AE188" s="439" t="str">
        <f>G188</f>
        <v>喷塑</v>
      </c>
      <c r="AF188" s="440">
        <f>IF(AE188="预镀锌",0,IF(AE188="喷塑",VLOOKUP(AA188,常规材料表!$1:$1048576,12,0),IF(AE188="热镀锌",VLOOKUP(AA188,常规材料表!$1:$1048576,13,0),IF(AE188="冷镀锌",VLOOKUP(AA188,常规材料表!$1:$1048576,15,0),0))))</f>
        <v>9</v>
      </c>
      <c r="AG188" s="440"/>
      <c r="AH188" s="440">
        <f>IF(AE188="预镀锌",VLOOKUP(AA188,常规材料表!$1:$1048576,11,0)+VLOOKUP(AA188,常规材料表!$1:$1048576,14,0),VLOOKUP(AA188,常规材料表!$1:$1048576,11,0))+IF(AC188&lt;8000,0,VLOOKUP(AA188,常规材料表!$1:$1048576,16,0))</f>
        <v>2.2000000000000002</v>
      </c>
      <c r="AI188" s="440">
        <f>VLOOKUP(AA188,常规材料表!$1:$1048576,7,0)</f>
        <v>249</v>
      </c>
      <c r="AJ188" s="440">
        <f>VLOOKUP(AA188,常规材料表!$1:$1048576,6,0)</f>
        <v>2</v>
      </c>
      <c r="AK188" s="429">
        <f>VLOOKUP(AA190,常规材料表!$1:$1048576,6,0)</f>
        <v>1.2</v>
      </c>
      <c r="AL188" s="441" t="s">
        <v>245</v>
      </c>
      <c r="AM188" s="441" t="str">
        <f>VLOOKUP(AA190,常规材料表!$1:$1048576,17,0)</f>
        <v>M10.L65.Socket.Wz</v>
      </c>
      <c r="AN188" s="442">
        <v>1</v>
      </c>
      <c r="AO188" s="441">
        <f>VLOOKUP(AM188,标准件价格!$C:$D,2,0)</f>
        <v>0.4</v>
      </c>
      <c r="AP188" s="441">
        <f>AN188*AO188+IF(AA188="L6650-15",0,0)</f>
        <v>0.4</v>
      </c>
      <c r="AQ188" s="111">
        <f>IFERROR(VLOOKUP(AM188,标准件价格!$C:$E,3,0),0)</f>
        <v>0</v>
      </c>
      <c r="AR188">
        <f>IFERROR(IF(J189&gt;0,Y189*F187,0),"-")</f>
        <v>0</v>
      </c>
      <c r="AS188">
        <f>IFERROR(IF(J189=0,Y189*F187,0),"-")</f>
        <v>0</v>
      </c>
      <c r="AT188">
        <f>IFERROR(Y190*F187,"-")</f>
        <v>0</v>
      </c>
      <c r="AX188" t="s">
        <v>156</v>
      </c>
      <c r="AY188" t="s">
        <v>246</v>
      </c>
      <c r="AZ188" t="s">
        <v>102</v>
      </c>
      <c r="BA188" t="s">
        <v>158</v>
      </c>
      <c r="BB188" t="s">
        <v>247</v>
      </c>
      <c r="BC188" t="s">
        <v>248</v>
      </c>
      <c r="BD188" t="s">
        <v>249</v>
      </c>
      <c r="BE188" t="s">
        <v>250</v>
      </c>
      <c r="BF188" t="s">
        <v>251</v>
      </c>
      <c r="BG188" t="s">
        <v>252</v>
      </c>
      <c r="BH188" t="s">
        <v>253</v>
      </c>
      <c r="BI188" t="s">
        <v>254</v>
      </c>
      <c r="BJ188" t="s">
        <v>255</v>
      </c>
      <c r="BK188" t="s">
        <v>256</v>
      </c>
      <c r="BL188" t="s">
        <v>257</v>
      </c>
      <c r="BM188" t="s">
        <v>258</v>
      </c>
      <c r="BN188" t="s">
        <v>259</v>
      </c>
      <c r="BO188" t="s">
        <v>260</v>
      </c>
      <c r="BP188" t="s">
        <v>261</v>
      </c>
      <c r="BQ188" t="s">
        <v>262</v>
      </c>
      <c r="BR188" t="s">
        <v>155</v>
      </c>
      <c r="BZ188" t="s">
        <v>12</v>
      </c>
      <c r="CA188" s="112"/>
      <c r="CG188" s="122" t="s">
        <v>207</v>
      </c>
      <c r="CV188" s="388"/>
    </row>
    <row r="189" spans="1:100" customFormat="1" ht="30" customHeight="1" outlineLevel="1">
      <c r="A189" s="112"/>
      <c r="B189" s="463" t="s">
        <v>450</v>
      </c>
      <c r="C189" s="418" t="s">
        <v>264</v>
      </c>
      <c r="D189" s="479" t="s">
        <v>265</v>
      </c>
      <c r="E189" s="613"/>
      <c r="F189" s="415"/>
      <c r="G189" s="480" t="s">
        <v>236</v>
      </c>
      <c r="H189" s="420">
        <f>IFERROR(X190,"-")</f>
        <v>6.139411048766223</v>
      </c>
      <c r="I189" s="386"/>
      <c r="J189" s="422">
        <f>IFERROR(IF(D193="Q355",IFERROR(IF(G188="预镀锌",VLOOKUP(D188,常规材料表!$1:$1048576,30,0),VLOOKUP(D188,常规材料表!$1:$1048576,29,0)),0),0),0)</f>
        <v>0</v>
      </c>
      <c r="K189" s="54" t="s">
        <v>237</v>
      </c>
      <c r="L189" s="54"/>
      <c r="N189" s="614" t="s">
        <v>266</v>
      </c>
      <c r="O189" s="425" t="s">
        <v>12</v>
      </c>
      <c r="P189" s="425"/>
      <c r="Q189" s="445" t="s">
        <v>10</v>
      </c>
      <c r="R189" s="420">
        <f>IF(AD193&gt;0,AD193,IFERROR(IF(AE188="预镀锌",VLOOKUP(AA188,常规材料表!$1:$1048576,5,0),VLOOKUP(AA188,常规材料表!$1:$1048576,10,0)),0))</f>
        <v>3.6</v>
      </c>
      <c r="S189" s="420">
        <v>1.02</v>
      </c>
      <c r="T189" s="420"/>
      <c r="U189" s="420"/>
      <c r="V189" s="420"/>
      <c r="W189" s="420"/>
      <c r="X189" s="420"/>
      <c r="Y189" s="429"/>
      <c r="Z189" s="429">
        <f>Y189*AB188</f>
        <v>0</v>
      </c>
      <c r="AA189" s="428" t="s">
        <v>267</v>
      </c>
      <c r="AB189" s="428" t="s">
        <v>268</v>
      </c>
      <c r="AC189" s="428" t="s">
        <v>269</v>
      </c>
      <c r="AD189" s="446" t="s">
        <v>297</v>
      </c>
      <c r="AE189" s="428" t="s">
        <v>271</v>
      </c>
      <c r="AF189" s="429" t="s">
        <v>226</v>
      </c>
      <c r="AG189" s="429" t="s">
        <v>251</v>
      </c>
      <c r="AH189" s="429" t="s">
        <v>255</v>
      </c>
      <c r="AI189" s="429" t="s">
        <v>252</v>
      </c>
      <c r="AJ189" s="429" t="s">
        <v>256</v>
      </c>
      <c r="AK189" s="429" t="s">
        <v>272</v>
      </c>
      <c r="AL189" s="441" t="s">
        <v>273</v>
      </c>
      <c r="AM189" s="441" t="str">
        <f>VLOOKUP(AA190,常规材料表!$1:$1048576,19,0)</f>
        <v>Spacer.90.φ14.L47</v>
      </c>
      <c r="AN189" s="442">
        <v>1</v>
      </c>
      <c r="AO189" s="441">
        <f>VLOOKUP(AM189,标准件价格!$C:$D,2,0)</f>
        <v>0.57999999999999996</v>
      </c>
      <c r="AP189" s="441">
        <f>AN189*AO189</f>
        <v>0.57999999999999996</v>
      </c>
      <c r="AQ189" s="111">
        <f>IFERROR(VLOOKUP(AM189,标准件价格!$C:$E,3,0),0)</f>
        <v>0</v>
      </c>
      <c r="BZ189" t="s">
        <v>12</v>
      </c>
      <c r="CA189" s="112"/>
      <c r="CG189" s="122" t="s">
        <v>207</v>
      </c>
      <c r="CV189" s="388"/>
    </row>
    <row r="190" spans="1:100" customFormat="1" ht="30" customHeight="1" outlineLevel="1">
      <c r="A190" s="112"/>
      <c r="B190" s="418" t="s">
        <v>451</v>
      </c>
      <c r="C190" s="418" t="s">
        <v>452</v>
      </c>
      <c r="D190" s="418">
        <v>600</v>
      </c>
      <c r="E190" s="615" t="s">
        <v>453</v>
      </c>
      <c r="F190" s="112"/>
      <c r="G190" s="418"/>
      <c r="H190" s="420">
        <f>IFERROR(X193*2,"-")</f>
        <v>0</v>
      </c>
      <c r="I190" s="386"/>
      <c r="J190" s="422"/>
      <c r="K190" s="54" t="s">
        <v>237</v>
      </c>
      <c r="L190" s="54"/>
      <c r="N190" s="419" t="s">
        <v>299</v>
      </c>
      <c r="O190" s="425" t="s">
        <v>12</v>
      </c>
      <c r="P190" s="425"/>
      <c r="Q190" s="448" t="s">
        <v>264</v>
      </c>
      <c r="R190" s="420">
        <f>IFERROR(IF(AE190="预镀锌",VLOOKUP(AA190,常规材料表!$1:$1048576,5,0),VLOOKUP(AA190,常规材料表!$1:$1048576,10,0)),0)</f>
        <v>3.74</v>
      </c>
      <c r="S190" s="420">
        <v>1.01</v>
      </c>
      <c r="T190" s="420">
        <f>R190*S190/1.13</f>
        <v>3.34283185840708</v>
      </c>
      <c r="U190" s="420">
        <f>AJ193*(AG190+AH190)/Y190+IF(ISNUMBER(SEARCH("L60",AA188)),0.7,0.25)</f>
        <v>0.36259277926843569</v>
      </c>
      <c r="V190" s="420">
        <f>AF190*AK190*(AG190*AI190+AH190*AJ190)*2/1000000/Y190/1.13</f>
        <v>1.6909982526351393</v>
      </c>
      <c r="W190" s="420">
        <f>SUM(AP188:AP190)/Y190/1.13</f>
        <v>0.88769850107053072</v>
      </c>
      <c r="X190" s="420">
        <f>(T190+U190+V190+W190)*Y190</f>
        <v>6.139411048766223</v>
      </c>
      <c r="Y190" s="429">
        <f>AK190*AK188*(AG190*AI190+AH190*AJ190)*Z191/1000000</f>
        <v>0.97697206441405848</v>
      </c>
      <c r="Z190" s="429">
        <f>Y190*AB188</f>
        <v>0.97697206441405848</v>
      </c>
      <c r="AA190" s="437" t="str">
        <f>D189</f>
        <v>90.Br2440.12</v>
      </c>
      <c r="AB190" s="439" t="str">
        <f>N189</f>
        <v>Z</v>
      </c>
      <c r="AC190" s="439">
        <v>600</v>
      </c>
      <c r="AD190" s="438" t="str">
        <f>N190</f>
        <v>外部冲孔时填写印尼</v>
      </c>
      <c r="AE190" s="439" t="str">
        <f>G189</f>
        <v>喷塑</v>
      </c>
      <c r="AF190" s="440">
        <f>IF(AE190="预镀锌",0,IF(AE190="喷塑",VLOOKUP(AA190,常规材料表!$1:$1048576,12,0),IF(AE190="热镀锌",VLOOKUP(AA190,常规材料表!$1:$1048576,13,0),IF(AE190="冷镀锌",VLOOKUP(AA190,常规材料表!$1:$1048576,15,0),0))))</f>
        <v>9</v>
      </c>
      <c r="AG190" s="429">
        <f>C191</f>
        <v>0</v>
      </c>
      <c r="AH190" s="451">
        <f>C192</f>
        <v>1</v>
      </c>
      <c r="AI190" s="452">
        <f>IF(E189&gt;0,E189,(AD188-IF(ISNUMBER(SEARCH("L",AA188)),IF(ISNUMBER(SEARCH("L5",AA188)),77,86),109)+41))</f>
        <v>932</v>
      </c>
      <c r="AJ190" s="452">
        <f>IF(E189&gt;0,E189,SQRT((AD188-IF(ISNUMBER(SEARCH("L",AA188)),IF(ISNUMBER(SEARCH("L5",AA188)),77,86),109))^2+IF(ISNUMBER(SEARCH("L",AA188)),500,AB191)^2)+41)</f>
        <v>1115.1885309385871</v>
      </c>
      <c r="AK190" s="429">
        <f>VLOOKUP(AA190,常规材料表!$1:$1048576,7,0)</f>
        <v>93</v>
      </c>
      <c r="AL190" s="441" t="s">
        <v>276</v>
      </c>
      <c r="AM190" s="441">
        <f>VLOOKUP(AA190,常规材料表!$1:$1048576,21,0)</f>
        <v>0</v>
      </c>
      <c r="AN190" s="441">
        <f>VLOOKUP(AA190,常规材料表!$1:$1048576,22,0)</f>
        <v>0</v>
      </c>
      <c r="AO190" s="441">
        <f>IFERROR(VLOOKUP(AM190,标准件价格!$C:$D,2,0),0)</f>
        <v>0</v>
      </c>
      <c r="AP190" s="441">
        <f>AN190*AO190</f>
        <v>0</v>
      </c>
      <c r="AQ190" s="111">
        <f>IFERROR(VLOOKUP(AM190,标准件价格!$C:$E,3,0),0)</f>
        <v>0</v>
      </c>
      <c r="BZ190" t="s">
        <v>12</v>
      </c>
      <c r="CA190" s="112"/>
      <c r="CG190" s="122" t="s">
        <v>207</v>
      </c>
      <c r="CV190" s="388"/>
    </row>
    <row r="191" spans="1:100" customFormat="1" ht="30" customHeight="1" outlineLevel="1">
      <c r="A191" s="112"/>
      <c r="B191" s="418" t="s">
        <v>454</v>
      </c>
      <c r="C191" s="418">
        <f>IFERROR(IF(C187=D191,1,0),0)</f>
        <v>0</v>
      </c>
      <c r="D191" s="415" t="str">
        <f>B188&amp;IF(C193=1,CHAR(10)&amp;B189," ")</f>
        <v xml:space="preserve">H brace </v>
      </c>
      <c r="E191" s="381"/>
      <c r="F191" s="418"/>
      <c r="G191" s="418"/>
      <c r="H191" s="421"/>
      <c r="I191" s="450" t="s">
        <v>455</v>
      </c>
      <c r="J191" s="450" t="s">
        <v>456</v>
      </c>
      <c r="K191" s="54" t="s">
        <v>237</v>
      </c>
      <c r="L191" s="54"/>
      <c r="O191" s="425" t="s">
        <v>12</v>
      </c>
      <c r="P191" s="425"/>
      <c r="R191" s="456" t="s">
        <v>412</v>
      </c>
      <c r="S191" s="420">
        <v>1.3</v>
      </c>
      <c r="T191" s="456" t="s">
        <v>424</v>
      </c>
      <c r="U191" s="456">
        <v>7</v>
      </c>
      <c r="V191" s="387"/>
      <c r="W191" s="456" t="s">
        <v>34</v>
      </c>
      <c r="X191" s="456">
        <f>X187*S191/U191</f>
        <v>1.1401763376280127</v>
      </c>
      <c r="Y191" s="457" t="s">
        <v>277</v>
      </c>
      <c r="Z191" s="458">
        <v>7.85</v>
      </c>
      <c r="AA191" s="459" t="s">
        <v>278</v>
      </c>
      <c r="AB191" s="460">
        <f>D190</f>
        <v>600</v>
      </c>
      <c r="AC191" s="429" t="s">
        <v>279</v>
      </c>
      <c r="AD191" s="460">
        <f>C191</f>
        <v>0</v>
      </c>
      <c r="AE191" s="460">
        <f>C192</f>
        <v>1</v>
      </c>
      <c r="AL191" s="441" t="s">
        <v>280</v>
      </c>
      <c r="AM191" s="441"/>
      <c r="AN191" s="441" t="e">
        <f>VLOOKUP(AA193,常规材料表!$1:$1048576,18,0)</f>
        <v>#N/A</v>
      </c>
      <c r="AO191" s="441" t="e">
        <f>VLOOKUP(AM191,标准件价格!$C:$D,2,0)</f>
        <v>#N/A</v>
      </c>
      <c r="AP191" s="441" t="e">
        <f>AN191*AO191</f>
        <v>#N/A</v>
      </c>
      <c r="AQ191" s="111">
        <f>IFERROR(VLOOKUP(AM191,标准件价格!$C:$E,3,0),0)</f>
        <v>0</v>
      </c>
      <c r="BZ191" t="s">
        <v>12</v>
      </c>
      <c r="CA191" s="112"/>
      <c r="CG191" s="122" t="s">
        <v>207</v>
      </c>
      <c r="CV191" s="388"/>
    </row>
    <row r="192" spans="1:100" customFormat="1" ht="30" customHeight="1" outlineLevel="1">
      <c r="A192" s="112"/>
      <c r="B192" s="418"/>
      <c r="C192" s="418">
        <f>IFERROR(IF(C187=D192,1,0),0)</f>
        <v>1</v>
      </c>
      <c r="D192" s="415" t="str">
        <f>B190&amp;IF(C193=1,CHAR(10)&amp;B191," ")</f>
        <v xml:space="preserve">D  brace </v>
      </c>
      <c r="E192" s="415"/>
      <c r="F192" s="418"/>
      <c r="G192" s="463"/>
      <c r="H192" s="421"/>
      <c r="I192" s="421"/>
      <c r="J192" s="422"/>
      <c r="K192" s="54" t="s">
        <v>237</v>
      </c>
      <c r="L192" s="54"/>
      <c r="O192" s="425" t="s">
        <v>12</v>
      </c>
      <c r="P192" s="425"/>
      <c r="Q192" s="445" t="s">
        <v>274</v>
      </c>
      <c r="R192" s="420" t="s">
        <v>238</v>
      </c>
      <c r="S192" s="420" t="s">
        <v>239</v>
      </c>
      <c r="T192" s="420" t="s">
        <v>240</v>
      </c>
      <c r="U192" s="420" t="s">
        <v>241</v>
      </c>
      <c r="V192" s="420" t="s">
        <v>242</v>
      </c>
      <c r="W192" s="420" t="s">
        <v>207</v>
      </c>
      <c r="X192" s="420" t="s">
        <v>282</v>
      </c>
      <c r="Y192" s="429" t="s">
        <v>283</v>
      </c>
      <c r="Z192" s="429" t="s">
        <v>159</v>
      </c>
      <c r="AA192" s="438" t="s">
        <v>284</v>
      </c>
      <c r="AB192" s="429" t="s">
        <v>221</v>
      </c>
      <c r="AC192" s="429" t="s">
        <v>222</v>
      </c>
      <c r="AD192" s="448" t="s">
        <v>285</v>
      </c>
      <c r="AE192" s="428" t="s">
        <v>286</v>
      </c>
      <c r="AF192" s="429" t="s">
        <v>226</v>
      </c>
      <c r="AG192" s="441" t="s">
        <v>238</v>
      </c>
      <c r="AH192" s="441" t="s">
        <v>287</v>
      </c>
      <c r="AI192" s="441" t="s">
        <v>288</v>
      </c>
      <c r="AJ192" s="429" t="s">
        <v>289</v>
      </c>
      <c r="AK192" s="429"/>
      <c r="AL192" s="441" t="s">
        <v>290</v>
      </c>
      <c r="AM192" s="441"/>
      <c r="AN192" s="441" t="e">
        <f>VLOOKUP(AA193,常规材料表!$1:$1048576,20,0)</f>
        <v>#N/A</v>
      </c>
      <c r="AO192" s="441">
        <f>IFERROR(VLOOKUP(AM192,标准件价格!$C:$D,2,0),0)</f>
        <v>0</v>
      </c>
      <c r="AP192" s="441" t="e">
        <f>AN192*AO192</f>
        <v>#N/A</v>
      </c>
      <c r="AQ192" s="111">
        <f>IFERROR(VLOOKUP(AM192,标准件价格!$C:$E,3,0),0)</f>
        <v>0</v>
      </c>
      <c r="BZ192" t="s">
        <v>12</v>
      </c>
      <c r="CA192" s="112"/>
      <c r="CG192" s="122" t="s">
        <v>207</v>
      </c>
      <c r="CV192" s="388"/>
    </row>
    <row r="193" spans="1:100" customFormat="1" ht="30" customHeight="1" outlineLevel="1">
      <c r="A193" s="112"/>
      <c r="B193" s="414">
        <v>0</v>
      </c>
      <c r="C193" s="465">
        <f>报价辅助计算!$E$13</f>
        <v>0</v>
      </c>
      <c r="D193" s="418"/>
      <c r="E193" s="418"/>
      <c r="F193" s="418"/>
      <c r="G193" s="418"/>
      <c r="H193" s="421"/>
      <c r="I193" s="421"/>
      <c r="J193" s="422"/>
      <c r="K193" s="54" t="s">
        <v>237</v>
      </c>
      <c r="L193" s="54"/>
      <c r="O193" s="425" t="s">
        <v>12</v>
      </c>
      <c r="P193" s="425"/>
      <c r="R193" s="420">
        <f>AG193</f>
        <v>0</v>
      </c>
      <c r="S193" s="420">
        <v>1.01</v>
      </c>
      <c r="T193" s="420"/>
      <c r="U193" s="420"/>
      <c r="V193" s="420"/>
      <c r="W193" s="420"/>
      <c r="X193" s="420"/>
      <c r="Y193" s="469"/>
      <c r="Z193" s="427"/>
      <c r="AA193" s="470" t="str">
        <f>C190</f>
        <v>斜撑高度</v>
      </c>
      <c r="AB193" s="440" t="str">
        <f>AA188</f>
        <v>9070-20</v>
      </c>
      <c r="AC193" s="429">
        <f>AB188</f>
        <v>1</v>
      </c>
      <c r="AD193" s="471">
        <f>J189</f>
        <v>0</v>
      </c>
      <c r="AE193" s="439">
        <f>G190</f>
        <v>0</v>
      </c>
      <c r="AF193" s="440">
        <f>IF(AE193="预镀锌",0,IF(AE193="喷塑",VLOOKUP(AA193,常规材料表!$1:$1048576,12,0),IF(AE193="热镀锌",VLOOKUP(AA193,常规材料表!$1:$1048576,13,0),IF(AE193="冷镀锌",VLOOKUP(AA193,常规材料表!$1:$1048576,15,0),0))))</f>
        <v>0</v>
      </c>
      <c r="AG193" s="440"/>
      <c r="AH193" s="429"/>
      <c r="AI193" s="441"/>
      <c r="AJ193" s="429">
        <f>IF(AE190="预镀锌",VLOOKUP(AA190,常规材料表!$1:$1048576,11,0)+VLOOKUP(AA190,常规材料表!$1:$1048576,14,0),VLOOKUP(AA190,常规材料表!$1:$1048576,11,0))</f>
        <v>0.11</v>
      </c>
      <c r="AK193" s="429"/>
      <c r="AL193" s="441" t="s">
        <v>291</v>
      </c>
      <c r="AM193" s="441"/>
      <c r="AN193" s="441" t="e">
        <f>VLOOKUP(AA193,常规材料表!$1:$1048576,22,0)</f>
        <v>#N/A</v>
      </c>
      <c r="AO193" s="441" t="e">
        <f>VLOOKUP(AM193,标准件价格!$C:$D,2,0)</f>
        <v>#N/A</v>
      </c>
      <c r="AP193" s="441" t="e">
        <f>AN193*AO193</f>
        <v>#N/A</v>
      </c>
      <c r="AQ193" s="111">
        <f>IFERROR(VLOOKUP(AM193,标准件价格!$C:$E,3,0),0)</f>
        <v>0</v>
      </c>
      <c r="BZ193" t="s">
        <v>12</v>
      </c>
      <c r="CA193" s="112"/>
      <c r="CG193" s="122" t="s">
        <v>207</v>
      </c>
      <c r="CV193" s="388"/>
    </row>
    <row r="194" spans="1:100" s="376" customFormat="1" ht="30" customHeight="1">
      <c r="A194" s="472"/>
      <c r="B194" s="473"/>
      <c r="C194" s="473"/>
      <c r="D194" s="473"/>
      <c r="E194" s="474"/>
      <c r="F194" s="473"/>
      <c r="G194" s="473"/>
      <c r="H194" s="421"/>
      <c r="I194" s="421"/>
      <c r="J194" s="422"/>
      <c r="K194" s="475"/>
      <c r="L194" s="475"/>
      <c r="R194" s="387"/>
      <c r="S194" s="387"/>
      <c r="T194" s="387"/>
      <c r="U194" s="387"/>
      <c r="V194" s="387"/>
      <c r="W194" s="387"/>
      <c r="X194" s="387"/>
      <c r="AQ194" s="476"/>
      <c r="BZ194" t="s">
        <v>12</v>
      </c>
      <c r="CA194" s="112"/>
      <c r="CB194"/>
      <c r="CC194"/>
      <c r="CD194"/>
      <c r="CE194"/>
      <c r="CF194"/>
      <c r="CG194" s="122" t="s">
        <v>207</v>
      </c>
    </row>
    <row r="195" spans="1:100" customFormat="1" ht="30" customHeight="1">
      <c r="A195" s="112" t="str">
        <f>IF($C$13=1,IF(K195="报价行",IF(F195&gt;0,1," ")," ")," ")</f>
        <v xml:space="preserve"> </v>
      </c>
      <c r="B195" s="414" t="str">
        <f>IF(A195=1,SUM($A$11:A195),"脚底板套装")</f>
        <v>脚底板套装</v>
      </c>
      <c r="C195" s="415" t="str">
        <f>B196&amp;IF(C198=1,CHAR(10)&amp;B197," ")</f>
        <v xml:space="preserve">Foot plate </v>
      </c>
      <c r="D195" s="428"/>
      <c r="E195" s="448" t="s">
        <v>275</v>
      </c>
      <c r="F195" s="418">
        <v>1</v>
      </c>
      <c r="G195" s="428">
        <f>IFERROR(Y197+AN198*AQ198,"-")</f>
        <v>1.4712627</v>
      </c>
      <c r="H195" s="420">
        <f>IFERROR(SUM(H196:H196),"-")</f>
        <v>13.147928973407078</v>
      </c>
      <c r="I195" s="421" t="s">
        <v>292</v>
      </c>
      <c r="J195" s="422"/>
      <c r="K195" s="423" t="s">
        <v>217</v>
      </c>
      <c r="L195" s="54"/>
      <c r="O195" s="425" t="s">
        <v>457</v>
      </c>
      <c r="P195" s="425"/>
      <c r="Q195" s="460">
        <v>600</v>
      </c>
      <c r="R195" s="387" t="s">
        <v>219</v>
      </c>
      <c r="S195" s="426" t="s">
        <v>220</v>
      </c>
      <c r="T195" s="426"/>
      <c r="U195" s="426"/>
      <c r="V195" s="426"/>
      <c r="W195" s="426"/>
      <c r="X195" s="426"/>
      <c r="Y195" s="427"/>
      <c r="Z195" s="427"/>
      <c r="AA195" s="428" t="s">
        <v>221</v>
      </c>
      <c r="AB195" s="428" t="s">
        <v>222</v>
      </c>
      <c r="AC195" s="428" t="s">
        <v>223</v>
      </c>
      <c r="AD195" s="428" t="s">
        <v>224</v>
      </c>
      <c r="AE195" s="446" t="s">
        <v>297</v>
      </c>
      <c r="AF195" s="428" t="s">
        <v>225</v>
      </c>
      <c r="AG195" s="429" t="s">
        <v>226</v>
      </c>
      <c r="AH195" s="429" t="s">
        <v>227</v>
      </c>
      <c r="AI195" s="429" t="s">
        <v>228</v>
      </c>
      <c r="AJ195" s="429" t="s">
        <v>229</v>
      </c>
      <c r="AK195" s="429"/>
      <c r="AL195" s="429" t="s">
        <v>231</v>
      </c>
      <c r="AM195" s="429" t="s">
        <v>232</v>
      </c>
      <c r="AN195" s="429" t="s">
        <v>102</v>
      </c>
      <c r="AO195" s="429" t="s">
        <v>74</v>
      </c>
      <c r="AP195" s="429" t="s">
        <v>21</v>
      </c>
      <c r="AQ195" s="110"/>
      <c r="AX195" t="str">
        <f>E195</f>
        <v>FP90H4.DE75+bolt.set</v>
      </c>
      <c r="AY195" s="494">
        <f>D195</f>
        <v>0</v>
      </c>
      <c r="AZ195">
        <f>F195</f>
        <v>1</v>
      </c>
      <c r="BA195" s="256">
        <f>G195</f>
        <v>1.4712627</v>
      </c>
      <c r="BB195">
        <f>AZ195*BA195</f>
        <v>1.4712627</v>
      </c>
      <c r="BN195">
        <f>AZ195</f>
        <v>1</v>
      </c>
      <c r="BO195" s="256">
        <f>Y197</f>
        <v>1.0732676999999999</v>
      </c>
      <c r="BP195">
        <f>BN195*BO195</f>
        <v>1.0732676999999999</v>
      </c>
      <c r="BQ195">
        <f>D198</f>
        <v>0</v>
      </c>
      <c r="BR195" t="str">
        <f>I195</f>
        <v>Blue Ral5015</v>
      </c>
      <c r="BZ195" t="s">
        <v>457</v>
      </c>
      <c r="CA195" s="112"/>
      <c r="CG195" s="412" t="s">
        <v>207</v>
      </c>
      <c r="CV195" s="388"/>
    </row>
    <row r="196" spans="1:100" customFormat="1" ht="30" customHeight="1" outlineLevel="1">
      <c r="A196" s="112"/>
      <c r="B196" s="418" t="s">
        <v>458</v>
      </c>
      <c r="C196" s="418"/>
      <c r="D196" s="380"/>
      <c r="E196" s="545"/>
      <c r="F196" s="447"/>
      <c r="G196" s="480" t="s">
        <v>236</v>
      </c>
      <c r="H196" s="420">
        <f>IFERROR(X197,"-")</f>
        <v>13.147928973407078</v>
      </c>
      <c r="I196" s="421"/>
      <c r="J196" s="450"/>
      <c r="K196" s="54" t="s">
        <v>237</v>
      </c>
      <c r="L196" s="54"/>
      <c r="O196" s="425" t="s">
        <v>457</v>
      </c>
      <c r="P196" s="425"/>
      <c r="Q196" s="445" t="s">
        <v>274</v>
      </c>
      <c r="R196" s="420" t="s">
        <v>238</v>
      </c>
      <c r="S196" s="420" t="s">
        <v>239</v>
      </c>
      <c r="T196" s="420" t="s">
        <v>240</v>
      </c>
      <c r="U196" s="420" t="s">
        <v>241</v>
      </c>
      <c r="V196" s="420" t="s">
        <v>242</v>
      </c>
      <c r="W196" s="420" t="s">
        <v>207</v>
      </c>
      <c r="X196" s="420" t="s">
        <v>282</v>
      </c>
      <c r="Y196" s="429" t="s">
        <v>283</v>
      </c>
      <c r="Z196" s="429" t="s">
        <v>159</v>
      </c>
      <c r="AA196" s="438" t="s">
        <v>284</v>
      </c>
      <c r="AB196" s="429" t="s">
        <v>221</v>
      </c>
      <c r="AC196" s="429" t="s">
        <v>222</v>
      </c>
      <c r="AD196" s="448" t="s">
        <v>285</v>
      </c>
      <c r="AE196" s="428" t="s">
        <v>286</v>
      </c>
      <c r="AF196" s="429" t="s">
        <v>226</v>
      </c>
      <c r="AG196" s="441" t="s">
        <v>238</v>
      </c>
      <c r="AH196" s="441" t="s">
        <v>287</v>
      </c>
      <c r="AI196" s="441" t="s">
        <v>288</v>
      </c>
      <c r="AJ196" s="452"/>
      <c r="AK196" s="429"/>
      <c r="AL196" s="441" t="s">
        <v>280</v>
      </c>
      <c r="AM196" s="441" t="str">
        <f>VLOOKUP(AA197,常规材料表!$1:$1048576,17,0)</f>
        <v>M10.L20</v>
      </c>
      <c r="AN196" s="441">
        <f>VLOOKUP(AA197,常规材料表!$1:$1048576,18,0)</f>
        <v>4</v>
      </c>
      <c r="AO196" s="441">
        <f>VLOOKUP(AM196,标准件价格!$C:$D,2,0)</f>
        <v>0.19600000000000001</v>
      </c>
      <c r="AP196" s="441">
        <f>AN196*AO196</f>
        <v>0.78400000000000003</v>
      </c>
      <c r="AQ196" s="111">
        <f>IFERROR(VLOOKUP(AM196,标准件价格!$C:$E,3,0),0)</f>
        <v>0</v>
      </c>
      <c r="AX196" t="s">
        <v>156</v>
      </c>
      <c r="AY196" t="s">
        <v>246</v>
      </c>
      <c r="AZ196" t="s">
        <v>102</v>
      </c>
      <c r="BA196" t="s">
        <v>158</v>
      </c>
      <c r="BB196" t="s">
        <v>247</v>
      </c>
      <c r="BN196" t="s">
        <v>259</v>
      </c>
      <c r="BO196" t="s">
        <v>260</v>
      </c>
      <c r="BP196" t="s">
        <v>261</v>
      </c>
      <c r="BQ196" t="s">
        <v>262</v>
      </c>
      <c r="BR196" t="s">
        <v>155</v>
      </c>
      <c r="BZ196" t="s">
        <v>457</v>
      </c>
      <c r="CA196" s="112"/>
      <c r="CG196" s="412" t="s">
        <v>207</v>
      </c>
      <c r="CV196" s="388"/>
    </row>
    <row r="197" spans="1:100" customFormat="1" ht="30" customHeight="1" outlineLevel="1">
      <c r="A197" s="112"/>
      <c r="B197" s="463" t="s">
        <v>459</v>
      </c>
      <c r="C197" s="447"/>
      <c r="D197" s="447"/>
      <c r="E197" s="545"/>
      <c r="F197" s="418"/>
      <c r="G197" s="447"/>
      <c r="H197" s="382"/>
      <c r="I197" s="386"/>
      <c r="J197" s="450"/>
      <c r="K197" s="54" t="s">
        <v>237</v>
      </c>
      <c r="L197" s="54"/>
      <c r="O197" s="425" t="s">
        <v>457</v>
      </c>
      <c r="P197" s="425"/>
      <c r="R197" s="420">
        <f>AG197</f>
        <v>6.1</v>
      </c>
      <c r="S197" s="420">
        <v>1.01</v>
      </c>
      <c r="T197" s="420">
        <f>R197*S197/1.13</f>
        <v>5.4522123893805308</v>
      </c>
      <c r="U197" s="420">
        <f>VLOOKUP(AA197,常规材料表!$1:$1048576,11,0)/Y197+0.25</f>
        <v>1.3680807919589866</v>
      </c>
      <c r="V197" s="420">
        <f>IF(AE197="喷塑",AF197,AF197)/1.13</f>
        <v>0.84070796460177</v>
      </c>
      <c r="W197" s="420">
        <f>SUM(AP196:AP198)/Y197/1.13</f>
        <v>4.5893712200649563</v>
      </c>
      <c r="X197" s="420">
        <f>(T197+U197+V197+W197)*Y197</f>
        <v>13.147928973407078</v>
      </c>
      <c r="Y197" s="469">
        <f>VLOOKUP(AA197,常规材料表!$1:$1048576,3,0)</f>
        <v>1.0732676999999999</v>
      </c>
      <c r="Z197" s="427"/>
      <c r="AA197" s="470" t="str">
        <f>E195</f>
        <v>FP90H4.DE75+bolt.set</v>
      </c>
      <c r="AB197" s="440"/>
      <c r="AC197" s="429"/>
      <c r="AD197" s="471"/>
      <c r="AE197" s="439" t="str">
        <f>G196</f>
        <v>喷塑</v>
      </c>
      <c r="AF197" s="440">
        <f>IF(AE197="预镀锌",0,IF(AE197="喷塑",VLOOKUP(AA197,常规材料表!$1:$1048576,12,0),IF(AE197="热镀锌",VLOOKUP(AA197,常规材料表!$1:$1048576,13,0),IF(AE197="冷镀锌",VLOOKUP(AA197,常规材料表!$1:$1048576,15,0),0))))</f>
        <v>0.95</v>
      </c>
      <c r="AG197" s="440">
        <f>VLOOKUP(AA197,常规材料表!$1:$1048576,10,0)</f>
        <v>6.1</v>
      </c>
      <c r="AH197" s="429">
        <f>IF(AE197="预镀锌",VLOOKUP(AA197,常规材料表!$1:$1048576,11,0)+VLOOKUP(AA197,常规材料表!$1:$1048576,14,0),VLOOKUP(AA197,常规材料表!$1:$1048576,11,0))</f>
        <v>1.2</v>
      </c>
      <c r="AI197" s="441">
        <f>VLOOKUP(AA197,常规材料表!$1:$1048576,4,0)</f>
        <v>7.4759999999999993E-2</v>
      </c>
      <c r="AL197" s="441" t="s">
        <v>290</v>
      </c>
      <c r="AM197" s="441" t="str">
        <f>VLOOKUP(AA197,常规材料表!$1:$1048576,19,0)</f>
        <v>Anc.M12.L100</v>
      </c>
      <c r="AN197" s="441">
        <f>VLOOKUP(AA197,常规材料表!$1:$1048576,20,0)</f>
        <v>2</v>
      </c>
      <c r="AO197" s="441">
        <f>IFERROR(VLOOKUP(AM197,标准件价格!$C:$D,2,0),0)</f>
        <v>0.6</v>
      </c>
      <c r="AP197" s="441">
        <f>AN197*AO197</f>
        <v>1.2</v>
      </c>
      <c r="AQ197" s="111">
        <f>IFERROR(VLOOKUP(AM197,标准件价格!$C:$E,3,0),0)</f>
        <v>0</v>
      </c>
      <c r="BZ197" t="s">
        <v>457</v>
      </c>
      <c r="CA197" s="112"/>
      <c r="CG197" s="412" t="s">
        <v>207</v>
      </c>
      <c r="CV197" s="388"/>
    </row>
    <row r="198" spans="1:100" customFormat="1" ht="30" customHeight="1" outlineLevel="1">
      <c r="A198" s="112"/>
      <c r="B198" s="414">
        <v>0</v>
      </c>
      <c r="C198" s="465">
        <f>报价辅助计算!$E$13</f>
        <v>0</v>
      </c>
      <c r="D198" s="418"/>
      <c r="E198" s="616"/>
      <c r="F198" s="617"/>
      <c r="G198" s="418"/>
      <c r="H198" s="421"/>
      <c r="I198" s="421"/>
      <c r="J198" s="422"/>
      <c r="K198" s="54" t="s">
        <v>237</v>
      </c>
      <c r="L198" s="54"/>
      <c r="O198" s="425" t="s">
        <v>457</v>
      </c>
      <c r="P198" s="425"/>
      <c r="R198" s="387"/>
      <c r="S198" s="387"/>
      <c r="T198" s="387"/>
      <c r="U198" s="387"/>
      <c r="V198" s="387"/>
      <c r="W198" s="387"/>
      <c r="X198" s="387"/>
      <c r="AL198" s="441" t="s">
        <v>291</v>
      </c>
      <c r="AM198" s="441" t="str">
        <f>VLOOKUP(AA197,常规材料表!$1:$1048576,21,0)</f>
        <v>SHM90/100.15.Pregal</v>
      </c>
      <c r="AN198" s="441">
        <f>VLOOKUP(AA197,常规材料表!$1:$1048576,22,0)</f>
        <v>2</v>
      </c>
      <c r="AO198" s="441">
        <f>VLOOKUP(AM198,标准件价格!$C:$D,2,0)</f>
        <v>1.7909774999999999</v>
      </c>
      <c r="AP198" s="441">
        <f>AN198*AO198</f>
        <v>3.5819549999999998</v>
      </c>
      <c r="AQ198" s="111">
        <f>IFERROR(VLOOKUP(AM198,标准件价格!$C:$E,3,0),0)</f>
        <v>0.19899749999999999</v>
      </c>
      <c r="BZ198" t="s">
        <v>457</v>
      </c>
      <c r="CA198" s="112"/>
      <c r="CG198" s="412" t="s">
        <v>207</v>
      </c>
      <c r="CV198" s="388"/>
    </row>
    <row r="199" spans="1:100" s="376" customFormat="1" ht="30" customHeight="1">
      <c r="A199" s="472"/>
      <c r="B199" s="473"/>
      <c r="C199" s="473"/>
      <c r="D199" s="473"/>
      <c r="E199" s="474"/>
      <c r="F199" s="473"/>
      <c r="G199" s="473"/>
      <c r="H199" s="421"/>
      <c r="I199" s="421"/>
      <c r="J199" s="422"/>
      <c r="K199" s="475"/>
      <c r="L199" s="475"/>
      <c r="R199" s="387"/>
      <c r="S199" s="387"/>
      <c r="T199" s="387"/>
      <c r="U199" s="387"/>
      <c r="V199" s="387"/>
      <c r="W199" s="387"/>
      <c r="X199" s="387"/>
      <c r="AQ199" s="476"/>
      <c r="BZ199" t="s">
        <v>457</v>
      </c>
      <c r="CA199" s="112"/>
      <c r="CB199"/>
      <c r="CC199"/>
      <c r="CD199"/>
      <c r="CE199"/>
      <c r="CF199"/>
      <c r="CG199" s="412" t="s">
        <v>207</v>
      </c>
    </row>
    <row r="200" spans="1:100" customFormat="1" ht="30" customHeight="1">
      <c r="A200" s="112" t="str">
        <f>IF($C$13=1,IF(K200="报价行",IF(F200&gt;0,1," ")," ")," ")</f>
        <v xml:space="preserve"> </v>
      </c>
      <c r="B200" s="414" t="str">
        <f>IF(A200=1,SUM($A$11:A200),"地轨")</f>
        <v>地轨</v>
      </c>
      <c r="C200" s="415" t="str">
        <f>B201&amp;IF(C203=1,CHAR(10)&amp;B202," ")</f>
        <v xml:space="preserve">Rail guide </v>
      </c>
      <c r="D200" s="618">
        <v>1000</v>
      </c>
      <c r="E200" s="418" t="s">
        <v>460</v>
      </c>
      <c r="F200" s="418"/>
      <c r="G200" s="428">
        <f>C201</f>
        <v>10.7364</v>
      </c>
      <c r="H200" s="420">
        <f>IFERROR(H201,0)</f>
        <v>57.932148778761068</v>
      </c>
      <c r="I200" s="421" t="s">
        <v>387</v>
      </c>
      <c r="J200" s="422"/>
      <c r="K200" s="423" t="s">
        <v>217</v>
      </c>
      <c r="L200" s="54"/>
      <c r="O200" s="425" t="s">
        <v>461</v>
      </c>
      <c r="R200" s="387"/>
      <c r="S200" s="387"/>
      <c r="T200" s="387"/>
      <c r="U200" s="387"/>
      <c r="V200" s="387"/>
      <c r="W200" s="387"/>
      <c r="X200" s="387"/>
      <c r="AQ200" s="110"/>
      <c r="AX200" t="e">
        <f>#REF!</f>
        <v>#REF!</v>
      </c>
      <c r="AY200" s="494">
        <f>D200</f>
        <v>1000</v>
      </c>
      <c r="AZ200">
        <f>F200</f>
        <v>0</v>
      </c>
      <c r="BA200" s="256">
        <f>G200</f>
        <v>10.7364</v>
      </c>
      <c r="BB200">
        <f>AZ200*BA200</f>
        <v>0</v>
      </c>
      <c r="BC200" s="495"/>
      <c r="BR200" t="str">
        <f>I200</f>
        <v>Yellow Ral1023</v>
      </c>
      <c r="BZ200" t="s">
        <v>461</v>
      </c>
      <c r="CA200" t="s">
        <v>200</v>
      </c>
      <c r="CG200" s="122"/>
      <c r="CV200" s="388"/>
    </row>
    <row r="201" spans="1:100" customFormat="1" ht="30" customHeight="1" outlineLevel="1">
      <c r="A201" s="112"/>
      <c r="B201" s="418" t="s">
        <v>462</v>
      </c>
      <c r="C201" s="619">
        <f>(VLOOKUP(E200,常规材料表!$1:$1048576,3,0)+0.25*2)/1000*D200</f>
        <v>10.7364</v>
      </c>
      <c r="D201" s="447"/>
      <c r="E201" s="545"/>
      <c r="F201" s="447"/>
      <c r="G201" s="532" t="s">
        <v>236</v>
      </c>
      <c r="H201" s="420">
        <f>(I201*1.01+J201+J202+I202)*G200/1.13</f>
        <v>57.932148778761068</v>
      </c>
      <c r="I201" s="418">
        <f>VLOOKUP(E200,常规材料表!$1:$1048576,10,0)</f>
        <v>3.83</v>
      </c>
      <c r="J201" s="418">
        <f>1*1.13</f>
        <v>1.1299999999999999</v>
      </c>
      <c r="K201" s="54" t="s">
        <v>237</v>
      </c>
      <c r="L201" s="54"/>
      <c r="O201" s="425" t="s">
        <v>461</v>
      </c>
      <c r="R201" s="387"/>
      <c r="S201" s="387"/>
      <c r="T201" s="387"/>
      <c r="U201" s="387"/>
      <c r="V201" s="387"/>
      <c r="W201" s="387"/>
      <c r="X201" s="387"/>
      <c r="AQ201" s="110"/>
      <c r="AX201" t="s">
        <v>156</v>
      </c>
      <c r="AY201" t="s">
        <v>246</v>
      </c>
      <c r="AZ201" t="s">
        <v>102</v>
      </c>
      <c r="BA201" t="s">
        <v>158</v>
      </c>
      <c r="BB201" t="s">
        <v>247</v>
      </c>
      <c r="BD201" t="s">
        <v>249</v>
      </c>
      <c r="BE201" t="s">
        <v>250</v>
      </c>
      <c r="BF201" t="s">
        <v>251</v>
      </c>
      <c r="BZ201" t="s">
        <v>461</v>
      </c>
      <c r="CA201" t="s">
        <v>200</v>
      </c>
      <c r="CG201" s="122"/>
      <c r="CV201" s="388"/>
    </row>
    <row r="202" spans="1:100" customFormat="1" ht="30" customHeight="1" outlineLevel="1">
      <c r="A202" s="112"/>
      <c r="B202" s="418" t="s">
        <v>461</v>
      </c>
      <c r="C202" s="380"/>
      <c r="D202" s="418"/>
      <c r="E202" s="545"/>
      <c r="F202" s="418"/>
      <c r="G202" s="418"/>
      <c r="H202" s="421"/>
      <c r="I202" s="418">
        <f>IF(G201="喷塑",0.95,0)</f>
        <v>0.95</v>
      </c>
      <c r="J202" s="571">
        <f>D200/1000*2*0.8/C201</f>
        <v>0.1490257441973101</v>
      </c>
      <c r="K202" s="54" t="s">
        <v>237</v>
      </c>
      <c r="L202" s="54"/>
      <c r="O202" s="425" t="s">
        <v>461</v>
      </c>
      <c r="R202" s="387"/>
      <c r="S202" s="387"/>
      <c r="T202" s="387"/>
      <c r="U202" s="387"/>
      <c r="V202" s="387"/>
      <c r="W202" s="387"/>
      <c r="X202" s="387"/>
      <c r="AQ202" s="110"/>
      <c r="BZ202" t="s">
        <v>461</v>
      </c>
      <c r="CA202" t="s">
        <v>200</v>
      </c>
      <c r="CG202" s="122"/>
      <c r="CV202" s="388"/>
    </row>
    <row r="203" spans="1:100" customFormat="1" ht="30" customHeight="1" outlineLevel="1">
      <c r="A203" s="112"/>
      <c r="B203" s="414">
        <v>0</v>
      </c>
      <c r="C203" s="465">
        <f>报价辅助计算!$E$13</f>
        <v>0</v>
      </c>
      <c r="D203" s="418"/>
      <c r="E203" s="942"/>
      <c r="F203" s="942"/>
      <c r="G203" s="418"/>
      <c r="H203" s="421"/>
      <c r="I203" s="421"/>
      <c r="J203" s="422"/>
      <c r="K203" s="54" t="s">
        <v>237</v>
      </c>
      <c r="L203" s="54"/>
      <c r="O203" s="425" t="s">
        <v>461</v>
      </c>
      <c r="R203" s="387"/>
      <c r="S203" s="387"/>
      <c r="T203" s="387"/>
      <c r="U203" s="387"/>
      <c r="V203" s="387"/>
      <c r="W203" s="387"/>
      <c r="X203" s="387"/>
      <c r="AQ203" s="110"/>
      <c r="BZ203" t="s">
        <v>461</v>
      </c>
      <c r="CA203" t="s">
        <v>200</v>
      </c>
      <c r="CG203" s="122"/>
      <c r="CV203" s="388"/>
    </row>
    <row r="204" spans="1:100" s="376" customFormat="1" ht="30" customHeight="1">
      <c r="A204" s="472"/>
      <c r="B204" s="473"/>
      <c r="C204" s="473"/>
      <c r="D204" s="473"/>
      <c r="E204" s="474"/>
      <c r="F204" s="473"/>
      <c r="G204" s="473"/>
      <c r="H204" s="421"/>
      <c r="I204" s="421"/>
      <c r="J204" s="422"/>
      <c r="K204" s="475"/>
      <c r="L204" s="475"/>
      <c r="R204" s="387"/>
      <c r="S204" s="387"/>
      <c r="T204" s="387"/>
      <c r="U204" s="387"/>
      <c r="V204" s="387"/>
      <c r="W204" s="387"/>
      <c r="X204" s="387"/>
      <c r="AQ204" s="476"/>
      <c r="BZ204" t="s">
        <v>461</v>
      </c>
      <c r="CA204" t="s">
        <v>200</v>
      </c>
      <c r="CB204"/>
      <c r="CC204"/>
      <c r="CD204"/>
      <c r="CE204"/>
      <c r="CF204"/>
      <c r="CG204" s="122"/>
    </row>
    <row r="205" spans="1:100" customFormat="1" ht="30" customHeight="1">
      <c r="A205" s="112" t="str">
        <f>IF($C$13=1,IF(K205="报价行",IF(F205&gt;0,1," ")," ")," ")</f>
        <v xml:space="preserve"> </v>
      </c>
      <c r="B205" s="414" t="str">
        <f>IF(A205=1,SUM($A$11:A205),"地轨转角")</f>
        <v>地轨转角</v>
      </c>
      <c r="C205" s="415" t="str">
        <f>B206&amp;IF(C208=1,CHAR(10)&amp;B207," ")</f>
        <v xml:space="preserve">Rail guide corner </v>
      </c>
      <c r="D205" s="618">
        <v>300</v>
      </c>
      <c r="E205" s="566" t="s">
        <v>463</v>
      </c>
      <c r="F205" s="418"/>
      <c r="G205" s="428">
        <f>C206</f>
        <v>10.53</v>
      </c>
      <c r="H205" s="420">
        <f>H206</f>
        <v>78.458849557522129</v>
      </c>
      <c r="I205" s="421" t="s">
        <v>387</v>
      </c>
      <c r="J205" s="422"/>
      <c r="K205" s="423" t="s">
        <v>217</v>
      </c>
      <c r="L205" s="54"/>
      <c r="O205" s="425" t="s">
        <v>464</v>
      </c>
      <c r="R205" s="387"/>
      <c r="S205" s="387"/>
      <c r="T205" s="387"/>
      <c r="U205" s="387"/>
      <c r="V205" s="387"/>
      <c r="W205" s="387"/>
      <c r="X205" s="387"/>
      <c r="AQ205" s="110"/>
      <c r="AX205" t="str">
        <f>E205</f>
        <v>L100*100*8.0t</v>
      </c>
      <c r="AY205" s="494">
        <f>D205</f>
        <v>300</v>
      </c>
      <c r="AZ205">
        <f>F205</f>
        <v>0</v>
      </c>
      <c r="BA205" s="256">
        <f>G205</f>
        <v>10.53</v>
      </c>
      <c r="BB205">
        <f>AZ205*BA205</f>
        <v>0</v>
      </c>
      <c r="BC205" s="495"/>
      <c r="BR205" t="str">
        <f>I205</f>
        <v>Yellow Ral1023</v>
      </c>
      <c r="BZ205" t="s">
        <v>464</v>
      </c>
      <c r="CA205" s="112"/>
      <c r="CG205" s="122" t="s">
        <v>207</v>
      </c>
      <c r="CV205" s="388"/>
    </row>
    <row r="206" spans="1:100" customFormat="1" ht="30" customHeight="1" outlineLevel="1">
      <c r="A206" s="112"/>
      <c r="B206" s="418" t="s">
        <v>465</v>
      </c>
      <c r="C206" s="619">
        <v>10.53</v>
      </c>
      <c r="D206" s="380"/>
      <c r="E206" s="381"/>
      <c r="F206" s="380"/>
      <c r="G206" s="532" t="s">
        <v>236</v>
      </c>
      <c r="H206" s="420">
        <f>(I206*1.01+J206+J207+I207)*G205/1.13</f>
        <v>78.458849557522129</v>
      </c>
      <c r="I206" s="418">
        <f>75.5/C206</f>
        <v>7.1699905033238371</v>
      </c>
      <c r="J206" s="418">
        <f>0*1.13</f>
        <v>0</v>
      </c>
      <c r="K206" s="54" t="s">
        <v>237</v>
      </c>
      <c r="L206" s="54"/>
      <c r="O206" s="425" t="s">
        <v>464</v>
      </c>
      <c r="R206" s="387"/>
      <c r="S206" s="387"/>
      <c r="T206" s="387"/>
      <c r="U206" s="387"/>
      <c r="V206" s="387"/>
      <c r="W206" s="387"/>
      <c r="X206" s="387"/>
      <c r="AQ206" s="110"/>
      <c r="AX206" t="s">
        <v>156</v>
      </c>
      <c r="AY206" t="s">
        <v>246</v>
      </c>
      <c r="AZ206" t="s">
        <v>102</v>
      </c>
      <c r="BA206" t="s">
        <v>158</v>
      </c>
      <c r="BB206" t="s">
        <v>247</v>
      </c>
      <c r="BC206" t="s">
        <v>248</v>
      </c>
      <c r="BD206" t="s">
        <v>249</v>
      </c>
      <c r="BE206" t="s">
        <v>250</v>
      </c>
      <c r="BF206" t="s">
        <v>251</v>
      </c>
      <c r="BZ206" t="s">
        <v>464</v>
      </c>
      <c r="CA206" s="112"/>
      <c r="CG206" s="122" t="s">
        <v>207</v>
      </c>
      <c r="CV206" s="388"/>
    </row>
    <row r="207" spans="1:100" customFormat="1" ht="30" customHeight="1" outlineLevel="1">
      <c r="A207" s="112"/>
      <c r="B207" s="418" t="s">
        <v>466</v>
      </c>
      <c r="C207" s="418"/>
      <c r="D207" s="418"/>
      <c r="E207" s="381"/>
      <c r="F207" s="418"/>
      <c r="G207" s="418"/>
      <c r="H207" s="421"/>
      <c r="I207" s="418">
        <f>IF(G206="喷塑",0.95,0)</f>
        <v>0.95</v>
      </c>
      <c r="J207" s="571">
        <f>3*0.8/C206</f>
        <v>0.22792022792022798</v>
      </c>
      <c r="K207" s="54" t="s">
        <v>237</v>
      </c>
      <c r="L207" s="54"/>
      <c r="O207" s="425" t="s">
        <v>464</v>
      </c>
      <c r="R207" s="387"/>
      <c r="S207" s="387"/>
      <c r="T207" s="387"/>
      <c r="U207" s="387"/>
      <c r="V207" s="387"/>
      <c r="W207" s="387"/>
      <c r="X207" s="387"/>
      <c r="AQ207" s="110"/>
      <c r="BZ207" t="s">
        <v>464</v>
      </c>
      <c r="CA207" s="112"/>
      <c r="CG207" s="122" t="s">
        <v>207</v>
      </c>
      <c r="CV207" s="388"/>
    </row>
    <row r="208" spans="1:100" customFormat="1" ht="30" customHeight="1" outlineLevel="1">
      <c r="A208" s="112"/>
      <c r="B208" s="414">
        <v>0</v>
      </c>
      <c r="C208" s="465">
        <f>报价辅助计算!$E$13</f>
        <v>0</v>
      </c>
      <c r="D208" s="418"/>
      <c r="E208" s="940"/>
      <c r="F208" s="941"/>
      <c r="G208" s="418"/>
      <c r="H208" s="421"/>
      <c r="I208" s="421"/>
      <c r="J208" s="422"/>
      <c r="K208" s="54" t="s">
        <v>237</v>
      </c>
      <c r="L208" s="54"/>
      <c r="O208" s="425" t="s">
        <v>464</v>
      </c>
      <c r="R208" s="387"/>
      <c r="S208" s="387"/>
      <c r="T208" s="387"/>
      <c r="U208" s="387"/>
      <c r="V208" s="387"/>
      <c r="W208" s="387"/>
      <c r="X208" s="387"/>
      <c r="AQ208" s="110"/>
      <c r="BZ208" t="s">
        <v>464</v>
      </c>
      <c r="CA208" s="112"/>
      <c r="CG208" s="122" t="s">
        <v>207</v>
      </c>
      <c r="CV208" s="388"/>
    </row>
    <row r="209" spans="1:100" s="376" customFormat="1" ht="30" customHeight="1">
      <c r="A209" s="472"/>
      <c r="B209" s="473"/>
      <c r="C209" s="473"/>
      <c r="D209" s="473"/>
      <c r="E209" s="474"/>
      <c r="F209" s="473"/>
      <c r="G209" s="473"/>
      <c r="H209" s="421"/>
      <c r="I209" s="421"/>
      <c r="J209" s="422"/>
      <c r="K209" s="475"/>
      <c r="L209" s="475"/>
      <c r="R209" s="387"/>
      <c r="S209" s="387"/>
      <c r="T209" s="387"/>
      <c r="U209" s="387"/>
      <c r="V209" s="387"/>
      <c r="W209" s="387"/>
      <c r="X209" s="387"/>
      <c r="AQ209" s="476"/>
      <c r="BZ209" t="s">
        <v>464</v>
      </c>
      <c r="CA209" s="112"/>
      <c r="CB209"/>
      <c r="CC209"/>
      <c r="CD209"/>
      <c r="CE209"/>
      <c r="CF209"/>
      <c r="CG209" s="122" t="s">
        <v>207</v>
      </c>
    </row>
    <row r="210" spans="1:100" customFormat="1" ht="30" customHeight="1">
      <c r="A210" s="112" t="str">
        <f>IF($C$13=1,IF(K210="报价行",IF(F210&gt;0,1," ")," ")," ")</f>
        <v xml:space="preserve"> </v>
      </c>
      <c r="B210" s="414" t="str">
        <f>IF(A210=1,SUM($A$11:A210),"托盘后档/背挡")</f>
        <v>托盘后档/背挡</v>
      </c>
      <c r="C210" s="415" t="str">
        <f>B211&amp;IF(C214=1,CHAR(10)&amp;B212," ")</f>
        <v xml:space="preserve">Pallet stopper </v>
      </c>
      <c r="D210" s="621">
        <v>1350</v>
      </c>
      <c r="E210" s="622" t="s">
        <v>371</v>
      </c>
      <c r="F210" s="418"/>
      <c r="G210" s="428">
        <f>IFERROR(Y210,"-")</f>
        <v>5.5048724999999994</v>
      </c>
      <c r="H210" s="420">
        <f>IFERROR(X210,"-")</f>
        <v>34.247797809070796</v>
      </c>
      <c r="I210" s="421" t="s">
        <v>341</v>
      </c>
      <c r="J210" s="422"/>
      <c r="K210" s="423" t="s">
        <v>217</v>
      </c>
      <c r="L210" s="54"/>
      <c r="O210" s="250" t="s">
        <v>467</v>
      </c>
      <c r="P210" s="250"/>
      <c r="R210" s="387" t="s">
        <v>219</v>
      </c>
      <c r="S210" s="426" t="s">
        <v>21</v>
      </c>
      <c r="T210" s="426">
        <f>(T212*Y212+T213*Y213)/Y210</f>
        <v>4.69814343002977</v>
      </c>
      <c r="U210" s="426">
        <f>(U212*Y212+U213*Y213)/Y210</f>
        <v>0.54065160001435097</v>
      </c>
      <c r="V210" s="426">
        <f>(V212*Y212+V213*Y213)/Y210</f>
        <v>0.98256573881488596</v>
      </c>
      <c r="W210" s="426">
        <f>AP212/Y210/1.13</f>
        <v>0</v>
      </c>
      <c r="X210" s="426">
        <f>SUM(T210:W210)*Y210</f>
        <v>34.247797809070796</v>
      </c>
      <c r="Y210" s="505">
        <f>SUM(Y212:Y213)</f>
        <v>5.5048724999999994</v>
      </c>
      <c r="Z210" s="505"/>
      <c r="AA210" t="s">
        <v>325</v>
      </c>
      <c r="AQ210" s="110"/>
      <c r="AX210" t="str">
        <f>VLOOKUP(E210,常规材料表!$1:$1048576,28,0)</f>
        <v>HS60*40*1.5 mm,</v>
      </c>
      <c r="AY210" s="494" t="e">
        <f>#REF!</f>
        <v>#REF!</v>
      </c>
      <c r="AZ210">
        <f>F210</f>
        <v>0</v>
      </c>
      <c r="BA210" s="256">
        <f>G210</f>
        <v>5.5048724999999994</v>
      </c>
      <c r="BB210">
        <f>AZ210*BA210</f>
        <v>0</v>
      </c>
      <c r="BC210">
        <f>VLOOKUP(D212,常规材料表!$1:$1048576,28,0)</f>
        <v>0</v>
      </c>
      <c r="BE210" t="str">
        <f>"面宽"&amp;VLOOKUP(AA212,常规材料表!$1:$1048576,18,0)</f>
        <v>面宽60</v>
      </c>
      <c r="BR210" t="str">
        <f>I210</f>
        <v>Orange Ral2004</v>
      </c>
      <c r="BZ210" t="s">
        <v>468</v>
      </c>
      <c r="CA210" s="112" t="s">
        <v>200</v>
      </c>
      <c r="CG210" s="122"/>
      <c r="CV210" s="388"/>
    </row>
    <row r="211" spans="1:100" customFormat="1" ht="30" customHeight="1" outlineLevel="1">
      <c r="A211" s="112"/>
      <c r="B211" s="418" t="s">
        <v>469</v>
      </c>
      <c r="C211" s="418" t="s">
        <v>166</v>
      </c>
      <c r="D211" s="447"/>
      <c r="E211" s="545"/>
      <c r="F211" s="418"/>
      <c r="G211" s="532" t="s">
        <v>236</v>
      </c>
      <c r="H211" s="421"/>
      <c r="I211" s="421"/>
      <c r="J211" s="422"/>
      <c r="K211" s="54" t="s">
        <v>237</v>
      </c>
      <c r="L211" s="54"/>
      <c r="O211" s="250" t="s">
        <v>467</v>
      </c>
      <c r="P211" s="250"/>
      <c r="R211" s="421" t="s">
        <v>238</v>
      </c>
      <c r="S211" s="420" t="s">
        <v>239</v>
      </c>
      <c r="T211" s="421" t="s">
        <v>240</v>
      </c>
      <c r="U211" s="421" t="s">
        <v>241</v>
      </c>
      <c r="V211" s="421" t="s">
        <v>242</v>
      </c>
      <c r="W211" s="420" t="s">
        <v>207</v>
      </c>
      <c r="X211" s="421" t="s">
        <v>243</v>
      </c>
      <c r="Y211" s="414" t="s">
        <v>244</v>
      </c>
      <c r="Z211" s="414" t="s">
        <v>159</v>
      </c>
      <c r="AA211" s="506" t="s">
        <v>353</v>
      </c>
      <c r="AB211" s="507" t="s">
        <v>354</v>
      </c>
      <c r="AC211" s="507" t="s">
        <v>355</v>
      </c>
      <c r="AD211" s="508"/>
      <c r="AE211" s="418" t="s">
        <v>318</v>
      </c>
      <c r="AF211" s="509" t="s">
        <v>226</v>
      </c>
      <c r="AG211" s="509" t="s">
        <v>356</v>
      </c>
      <c r="AH211" s="509" t="s">
        <v>357</v>
      </c>
      <c r="AI211" s="507" t="s">
        <v>358</v>
      </c>
      <c r="AJ211" s="507" t="s">
        <v>359</v>
      </c>
      <c r="AK211" s="508" t="s">
        <v>360</v>
      </c>
      <c r="AL211" s="509" t="s">
        <v>231</v>
      </c>
      <c r="AM211" s="509" t="s">
        <v>232</v>
      </c>
      <c r="AN211" s="509" t="s">
        <v>102</v>
      </c>
      <c r="AO211" s="509" t="s">
        <v>74</v>
      </c>
      <c r="AP211" s="509" t="s">
        <v>21</v>
      </c>
      <c r="AQ211" s="110"/>
      <c r="AW211">
        <f>IFERROR(Y212*F210,"-")</f>
        <v>0</v>
      </c>
      <c r="AX211" t="s">
        <v>156</v>
      </c>
      <c r="AY211" t="s">
        <v>246</v>
      </c>
      <c r="AZ211" t="s">
        <v>102</v>
      </c>
      <c r="BA211" t="s">
        <v>158</v>
      </c>
      <c r="BB211" t="s">
        <v>247</v>
      </c>
      <c r="BC211" t="s">
        <v>248</v>
      </c>
      <c r="BD211" t="s">
        <v>249</v>
      </c>
      <c r="BE211" t="s">
        <v>250</v>
      </c>
      <c r="BF211" t="s">
        <v>251</v>
      </c>
      <c r="BG211" t="s">
        <v>252</v>
      </c>
      <c r="BH211" t="s">
        <v>253</v>
      </c>
      <c r="BI211" t="s">
        <v>254</v>
      </c>
      <c r="BJ211" t="s">
        <v>255</v>
      </c>
      <c r="BK211" t="s">
        <v>256</v>
      </c>
      <c r="BL211" t="s">
        <v>257</v>
      </c>
      <c r="BM211" t="s">
        <v>258</v>
      </c>
      <c r="BZ211" t="s">
        <v>468</v>
      </c>
      <c r="CA211" s="112" t="s">
        <v>200</v>
      </c>
      <c r="CG211" s="122"/>
      <c r="CV211" s="388"/>
    </row>
    <row r="212" spans="1:100" customFormat="1" ht="30" customHeight="1" outlineLevel="1">
      <c r="A212" s="112"/>
      <c r="B212" s="418" t="s">
        <v>467</v>
      </c>
      <c r="C212" s="418" t="s">
        <v>362</v>
      </c>
      <c r="D212" s="54" t="s">
        <v>470</v>
      </c>
      <c r="E212" s="613"/>
      <c r="F212" s="418"/>
      <c r="G212" s="532" t="str">
        <f>G211</f>
        <v>喷塑</v>
      </c>
      <c r="H212" s="421"/>
      <c r="I212" s="421"/>
      <c r="J212" s="422"/>
      <c r="K212" s="54" t="s">
        <v>237</v>
      </c>
      <c r="L212" s="54"/>
      <c r="O212" s="250" t="s">
        <v>467</v>
      </c>
      <c r="P212" s="250"/>
      <c r="Q212" s="388" t="s">
        <v>330</v>
      </c>
      <c r="R212" s="422">
        <f>AG212</f>
        <v>4.28</v>
      </c>
      <c r="S212" s="420">
        <v>1.01</v>
      </c>
      <c r="T212" s="519">
        <f>R212*S212/1.13</f>
        <v>3.8254867256637173</v>
      </c>
      <c r="U212" s="520">
        <f>AH212/Y212+0.25</f>
        <v>0.76882819409687009</v>
      </c>
      <c r="V212" s="520">
        <f>IF(AE212="喷塑",AI212*AC212*AF212/1000000/1.13/Y212,AF212/1.13)</f>
        <v>0.75155477894895073</v>
      </c>
      <c r="W212" s="520"/>
      <c r="X212" s="519">
        <f>(T212+U212+V212)*Y212</f>
        <v>16.485980552433631</v>
      </c>
      <c r="Y212" s="521">
        <f>AK212*AJ212*AC212*Z214/1000000</f>
        <v>3.0838725</v>
      </c>
      <c r="Z212" s="508">
        <f>Y212*AB212</f>
        <v>3.0838725</v>
      </c>
      <c r="AA212" s="513" t="str">
        <f>E210</f>
        <v>HS6040.15</v>
      </c>
      <c r="AB212" s="460">
        <v>1</v>
      </c>
      <c r="AC212" s="460">
        <f>D210</f>
        <v>1350</v>
      </c>
      <c r="AD212" s="508"/>
      <c r="AE212" s="514" t="str">
        <f>G211</f>
        <v>喷塑</v>
      </c>
      <c r="AF212" s="515">
        <f>IF(AE212="预镀锌",0,IF(AE212="喷塑",VLOOKUP(AA212,常规材料表!$1:$1048576,12,0),IF(AE212="热镀锌",VLOOKUP(AA212,常规材料表!$1:$1048576,13,0),IF(AE212="冷镀锌",VLOOKUP(AA212,常规材料表!$1:$1048576,15,0),0))))</f>
        <v>9.6999999999999993</v>
      </c>
      <c r="AG212" s="515">
        <f>VLOOKUP(AA212,常规材料表!$1:$1048576,10,0)</f>
        <v>4.28</v>
      </c>
      <c r="AH212" s="515">
        <f>IF(AE212="预镀锌",VLOOKUP(AA212,常规材料表!$1:$1048576,11,0)+VLOOKUP(AA212,常规材料表!$1:$1048576,14,0),VLOOKUP(AA212,常规材料表!$1:$1048576,11,0))+IF(AC212&lt;8000,0,VLOOKUP(AA212,常规材料表!$1:$1048576,16,0))+IF(AC212&gt;1200,VLOOKUP(AA212,常规材料表!$1:$1048576,16,0),0)</f>
        <v>1.6</v>
      </c>
      <c r="AI212" s="515">
        <f>2*IF(ISNUMBER(SEARCH("B",AA212)),AK212,(VLOOKUP(AA212,常规材料表!$1:$1048576,8,0)+VLOOKUP(AA212,常规材料表!$1:$1048576,9,0)))</f>
        <v>200</v>
      </c>
      <c r="AJ212" s="515">
        <f>VLOOKUP(AA212,常规材料表!$1:$1048576,6,0)</f>
        <v>1.5</v>
      </c>
      <c r="AK212" s="508">
        <f>VLOOKUP(AA212,常规材料表!$1:$1048576,7,0)</f>
        <v>194</v>
      </c>
      <c r="AL212" s="508" t="s">
        <v>363</v>
      </c>
      <c r="AM212" s="508" t="str">
        <f>VLOOKUP(AA214,常规材料表!$1:$1048576,17,0)</f>
        <v>S.Pin.ø7.L38</v>
      </c>
      <c r="AN212" s="508">
        <f>VLOOKUP(AA214,常规材料表!$1:$1048576,18,0)</f>
        <v>0</v>
      </c>
      <c r="AO212" s="508">
        <f>VLOOKUP(AM212,标准件价格!$C:$D,2,0)</f>
        <v>0.18</v>
      </c>
      <c r="AP212" s="508">
        <f>AN212*AO212</f>
        <v>0</v>
      </c>
      <c r="AQ212" s="110"/>
      <c r="BZ212" t="s">
        <v>468</v>
      </c>
      <c r="CA212" s="112" t="s">
        <v>200</v>
      </c>
      <c r="CG212" s="122"/>
      <c r="CV212" s="388"/>
    </row>
    <row r="213" spans="1:100" customFormat="1" ht="30" customHeight="1" outlineLevel="1">
      <c r="A213" s="112"/>
      <c r="B213" s="418"/>
      <c r="C213" s="112"/>
      <c r="D213" s="463"/>
      <c r="E213" s="415"/>
      <c r="F213" s="418"/>
      <c r="G213" s="418"/>
      <c r="H213" s="421"/>
      <c r="I213" s="421"/>
      <c r="J213" s="422"/>
      <c r="K213" s="54" t="s">
        <v>237</v>
      </c>
      <c r="L213" s="54"/>
      <c r="O213" s="250" t="s">
        <v>467</v>
      </c>
      <c r="P213" s="250"/>
      <c r="Q213" t="s">
        <v>362</v>
      </c>
      <c r="R213" s="524">
        <f>IFERROR(AG214,0)</f>
        <v>6.5</v>
      </c>
      <c r="S213" s="420">
        <v>1.01</v>
      </c>
      <c r="T213" s="519">
        <f>R213*S213/1.13</f>
        <v>5.8097345132743374</v>
      </c>
      <c r="U213" s="421">
        <v>0.25</v>
      </c>
      <c r="V213" s="520">
        <f>IFERROR(IF(AE214="喷塑",AH214*AF214/Y213,AF214/1.13),0)</f>
        <v>1.2768277571251549</v>
      </c>
      <c r="W213" s="520">
        <f>IFERROR(AP212/Y213/1.13,0)</f>
        <v>0</v>
      </c>
      <c r="X213" s="519">
        <f>IFERROR((T213+U213+V213+W213)*Y213,0)</f>
        <v>17.761817256637169</v>
      </c>
      <c r="Y213" s="521">
        <f>IFERROR(VLOOKUP(AA214,常规材料表!$1:$1048576,3,0),0)</f>
        <v>2.4209999999999998</v>
      </c>
      <c r="Z213" s="508">
        <f>Y213*AB212</f>
        <v>2.4209999999999998</v>
      </c>
      <c r="AA213" s="506" t="s">
        <v>365</v>
      </c>
      <c r="AE213" s="418" t="s">
        <v>334</v>
      </c>
      <c r="AF213" s="509" t="s">
        <v>226</v>
      </c>
      <c r="AG213" s="508" t="s">
        <v>366</v>
      </c>
      <c r="AH213" s="508" t="s">
        <v>336</v>
      </c>
      <c r="AQ213" s="110"/>
      <c r="BZ213" t="s">
        <v>468</v>
      </c>
      <c r="CA213" s="112" t="s">
        <v>200</v>
      </c>
      <c r="CG213" s="122"/>
      <c r="CV213" s="388"/>
    </row>
    <row r="214" spans="1:100" customFormat="1" ht="30" customHeight="1" outlineLevel="1">
      <c r="A214" s="112"/>
      <c r="B214" s="414">
        <v>0</v>
      </c>
      <c r="C214" s="465">
        <f>报价辅助计算!$E$13</f>
        <v>0</v>
      </c>
      <c r="D214" s="418"/>
      <c r="E214" s="418"/>
      <c r="F214" s="418"/>
      <c r="G214" s="418"/>
      <c r="H214" s="421"/>
      <c r="I214" s="421"/>
      <c r="J214" s="422"/>
      <c r="K214" s="54" t="s">
        <v>237</v>
      </c>
      <c r="L214" s="54"/>
      <c r="O214" s="250" t="s">
        <v>467</v>
      </c>
      <c r="P214" s="250"/>
      <c r="R214" s="421" t="s">
        <v>412</v>
      </c>
      <c r="S214" s="420">
        <v>1.41</v>
      </c>
      <c r="T214" s="421" t="s">
        <v>424</v>
      </c>
      <c r="U214" s="420">
        <v>7</v>
      </c>
      <c r="V214" s="546"/>
      <c r="W214" s="421" t="s">
        <v>34</v>
      </c>
      <c r="X214" s="520">
        <f>X210*S214/U214</f>
        <v>6.8984849872556895</v>
      </c>
      <c r="Y214" s="509" t="s">
        <v>277</v>
      </c>
      <c r="Z214" s="458">
        <v>7.85</v>
      </c>
      <c r="AA214" s="513" t="str">
        <f>D212</f>
        <v>Bracket.DE75托盘后档</v>
      </c>
      <c r="AE214" s="514" t="str">
        <f>G212</f>
        <v>喷塑</v>
      </c>
      <c r="AF214" s="515">
        <f>IF(AE214="预镀锌",0,IF(AE214="喷塑",VLOOKUP(AA214,常规材料表!$1:$1048576,12,0),IF(AE214="热镀锌",VLOOKUP(AA214,常规材料表!$1:$1048576,13,0),IF(AE214="冷镀锌",VLOOKUP(AA214,常规材料表!$1:$1048576,15,0),0))))</f>
        <v>9.1999999999999993</v>
      </c>
      <c r="AG214" s="515">
        <f>VLOOKUP(AA214,常规材料表!$1:$1048576,10,0)</f>
        <v>6.5</v>
      </c>
      <c r="AH214" s="508">
        <f>VLOOKUP(AA214,常规材料表!$1:$1048576,4,0)</f>
        <v>0.33600000000000002</v>
      </c>
      <c r="AQ214" s="110"/>
      <c r="BZ214" t="s">
        <v>468</v>
      </c>
      <c r="CA214" s="112" t="s">
        <v>200</v>
      </c>
      <c r="CG214" s="122"/>
      <c r="CV214" s="388"/>
    </row>
    <row r="215" spans="1:100" s="376" customFormat="1" ht="30" customHeight="1">
      <c r="A215" s="472"/>
      <c r="B215" s="473"/>
      <c r="C215" s="473"/>
      <c r="D215" s="473"/>
      <c r="E215" s="474"/>
      <c r="F215" s="473"/>
      <c r="G215" s="473"/>
      <c r="H215" s="421"/>
      <c r="I215" s="421"/>
      <c r="J215" s="422"/>
      <c r="K215" s="475"/>
      <c r="L215" s="475"/>
      <c r="R215" s="387"/>
      <c r="S215" s="387"/>
      <c r="T215" s="387"/>
      <c r="U215" s="387"/>
      <c r="V215" s="387"/>
      <c r="W215" s="387"/>
      <c r="X215" s="387"/>
      <c r="AQ215" s="476"/>
      <c r="BZ215" t="s">
        <v>468</v>
      </c>
      <c r="CA215" s="112" t="s">
        <v>200</v>
      </c>
      <c r="CG215" s="477"/>
    </row>
    <row r="216" spans="1:100" customFormat="1" ht="30" customHeight="1">
      <c r="A216" s="112" t="str">
        <f>IF($C$13=1,IF(K216="报价行",IF(F216&gt;0,1," ")," ")," ")</f>
        <v xml:space="preserve"> </v>
      </c>
      <c r="B216" s="414" t="str">
        <f>IF(A216=1,SUM($A$11:A216),"PD横梁")</f>
        <v>PD横梁</v>
      </c>
      <c r="C216" s="415" t="str">
        <f>B217&amp;IF(C219=1,CHAR(10)&amp;B218," ")</f>
        <v xml:space="preserve">P&amp;D beam </v>
      </c>
      <c r="D216" s="530">
        <f>E217</f>
        <v>2700</v>
      </c>
      <c r="E216" s="415" t="str">
        <f>VLOOKUP(D217,常规材料表!$1:$1048576,28,0)</f>
        <v>B110*50*1.5 mm,</v>
      </c>
      <c r="F216" s="418"/>
      <c r="G216" s="419" t="str">
        <f>IFERROR(Y216+D219*F219/F216,"-")</f>
        <v>-</v>
      </c>
      <c r="H216" s="420">
        <f>IFERROR(X216+H219,"-")</f>
        <v>80.058862199115055</v>
      </c>
      <c r="I216" s="421" t="s">
        <v>341</v>
      </c>
      <c r="J216" s="422"/>
      <c r="K216" s="423" t="s">
        <v>217</v>
      </c>
      <c r="L216" s="54"/>
      <c r="O216" s="250" t="s">
        <v>471</v>
      </c>
      <c r="P216" s="250"/>
      <c r="R216" s="387" t="s">
        <v>219</v>
      </c>
      <c r="S216" s="426" t="s">
        <v>21</v>
      </c>
      <c r="T216" s="426">
        <f>(T218*Y218+T219*Y219)/Y216</f>
        <v>3.7685803207847224</v>
      </c>
      <c r="U216" s="426">
        <f>(U218*Y218+U219*Y219)/Y216</f>
        <v>0.40969755739514852</v>
      </c>
      <c r="V216" s="426">
        <f>(V218*Y218+V219*Y219)/Y216</f>
        <v>0.54734103770771592</v>
      </c>
      <c r="W216" s="426">
        <f>AP218/Y216/1.13</f>
        <v>0.19176752297143776</v>
      </c>
      <c r="X216" s="426">
        <f>SUM(T216:W216)*Y216</f>
        <v>80.058862199115055</v>
      </c>
      <c r="Y216" s="505">
        <f>SUM(Y218:Y219)</f>
        <v>16.280775000000002</v>
      </c>
      <c r="Z216" s="505"/>
      <c r="AQ216" s="110"/>
      <c r="AX216" t="str">
        <f>VLOOKUP(D217,常规材料表!$1:$1048576,28,0)</f>
        <v>B110*50*1.5 mm,</v>
      </c>
      <c r="AY216" s="494">
        <f>D216</f>
        <v>2700</v>
      </c>
      <c r="AZ216">
        <f>F216</f>
        <v>0</v>
      </c>
      <c r="BA216" s="256" t="str">
        <f>G216</f>
        <v>-</v>
      </c>
      <c r="BB216" t="e">
        <f>AZ216*BA216</f>
        <v>#VALUE!</v>
      </c>
      <c r="BC216" t="str">
        <f>VLOOKUP(D218,常规材料表!$1:$1048576,28,0)</f>
        <v>pitch 75, 4 claws, H340</v>
      </c>
      <c r="BE216" t="str">
        <f>"面宽"&amp;VLOOKUP(AA218,常规材料表!$1:$1048576,18,0)</f>
        <v>面宽60</v>
      </c>
      <c r="BQ216" t="str">
        <f>B219</f>
        <v>Q235</v>
      </c>
      <c r="BR216" t="str">
        <f>I216</f>
        <v>Orange Ral2004</v>
      </c>
      <c r="BZ216" t="s">
        <v>350</v>
      </c>
      <c r="CA216" s="112" t="s">
        <v>200</v>
      </c>
      <c r="CB216" t="s">
        <v>201</v>
      </c>
      <c r="CC216" t="s">
        <v>202</v>
      </c>
      <c r="CG216" s="122"/>
      <c r="CV216" s="388"/>
    </row>
    <row r="217" spans="1:100" customFormat="1" ht="30" customHeight="1" outlineLevel="1">
      <c r="A217" s="112"/>
      <c r="B217" s="897" t="s">
        <v>2306</v>
      </c>
      <c r="C217" s="418" t="s">
        <v>166</v>
      </c>
      <c r="D217" s="54" t="s">
        <v>352</v>
      </c>
      <c r="E217" s="531">
        <v>2700</v>
      </c>
      <c r="F217" s="418"/>
      <c r="G217" s="532" t="s">
        <v>236</v>
      </c>
      <c r="H217" s="421"/>
      <c r="I217" s="533"/>
      <c r="J217" s="534">
        <f>IFERROR(IF(B219="Q355",IFERROR(IF(G217="预镀锌",VLOOKUP(D217,常规材料表!$1:$1048576,30,0),VLOOKUP(D217,常规材料表!$1:$1048576,29,0)),0),0),0)</f>
        <v>0</v>
      </c>
      <c r="K217" s="54" t="s">
        <v>237</v>
      </c>
      <c r="L217" s="54"/>
      <c r="O217" s="250" t="s">
        <v>471</v>
      </c>
      <c r="P217" s="250"/>
      <c r="R217" s="421" t="s">
        <v>238</v>
      </c>
      <c r="S217" s="420" t="s">
        <v>239</v>
      </c>
      <c r="T217" s="421" t="s">
        <v>240</v>
      </c>
      <c r="U217" s="421" t="s">
        <v>241</v>
      </c>
      <c r="V217" s="421" t="s">
        <v>242</v>
      </c>
      <c r="W217" s="420" t="s">
        <v>207</v>
      </c>
      <c r="X217" s="420" t="s">
        <v>243</v>
      </c>
      <c r="Y217" s="429" t="s">
        <v>244</v>
      </c>
      <c r="Z217" s="429" t="s">
        <v>159</v>
      </c>
      <c r="AA217" s="506" t="s">
        <v>353</v>
      </c>
      <c r="AB217" s="507" t="s">
        <v>354</v>
      </c>
      <c r="AC217" s="507" t="s">
        <v>355</v>
      </c>
      <c r="AD217" s="448" t="s">
        <v>285</v>
      </c>
      <c r="AE217" s="418" t="s">
        <v>318</v>
      </c>
      <c r="AF217" s="509" t="s">
        <v>226</v>
      </c>
      <c r="AG217" s="509" t="s">
        <v>356</v>
      </c>
      <c r="AH217" s="509" t="s">
        <v>357</v>
      </c>
      <c r="AI217" s="507" t="s">
        <v>358</v>
      </c>
      <c r="AJ217" s="507" t="s">
        <v>359</v>
      </c>
      <c r="AK217" s="508" t="s">
        <v>360</v>
      </c>
      <c r="AL217" s="509" t="s">
        <v>231</v>
      </c>
      <c r="AM217" s="509" t="s">
        <v>232</v>
      </c>
      <c r="AN217" s="509" t="s">
        <v>102</v>
      </c>
      <c r="AO217" s="509" t="s">
        <v>74</v>
      </c>
      <c r="AP217" s="509" t="s">
        <v>21</v>
      </c>
      <c r="AQ217" s="110"/>
      <c r="AU217">
        <f>IFERROR(IF(J217&gt;0,Y218*F216,0),"-")</f>
        <v>0</v>
      </c>
      <c r="AV217">
        <f>IFERROR(IF(J217=0,Y218*F216,0),"-")</f>
        <v>0</v>
      </c>
      <c r="AX217" t="s">
        <v>156</v>
      </c>
      <c r="AY217" t="s">
        <v>246</v>
      </c>
      <c r="AZ217" t="s">
        <v>102</v>
      </c>
      <c r="BA217" t="s">
        <v>158</v>
      </c>
      <c r="BB217" t="s">
        <v>247</v>
      </c>
      <c r="BC217" t="s">
        <v>248</v>
      </c>
      <c r="BD217" t="s">
        <v>249</v>
      </c>
      <c r="BE217" t="s">
        <v>250</v>
      </c>
      <c r="BF217" t="s">
        <v>251</v>
      </c>
      <c r="BG217" t="s">
        <v>252</v>
      </c>
      <c r="BH217" t="s">
        <v>253</v>
      </c>
      <c r="BI217" t="s">
        <v>254</v>
      </c>
      <c r="BJ217" t="s">
        <v>255</v>
      </c>
      <c r="BK217" t="s">
        <v>256</v>
      </c>
      <c r="BL217" t="s">
        <v>257</v>
      </c>
      <c r="BM217" t="s">
        <v>258</v>
      </c>
      <c r="BQ217" t="s">
        <v>262</v>
      </c>
      <c r="BR217" t="s">
        <v>155</v>
      </c>
      <c r="BZ217" t="s">
        <v>350</v>
      </c>
      <c r="CA217" s="112" t="s">
        <v>200</v>
      </c>
      <c r="CB217" t="s">
        <v>201</v>
      </c>
      <c r="CC217" t="s">
        <v>202</v>
      </c>
      <c r="CG217" s="122"/>
      <c r="CV217" s="388"/>
    </row>
    <row r="218" spans="1:100" customFormat="1" ht="30" customHeight="1" outlineLevel="1">
      <c r="A218" s="112"/>
      <c r="B218" s="418" t="s">
        <v>361</v>
      </c>
      <c r="C218" s="418" t="s">
        <v>362</v>
      </c>
      <c r="D218" s="54" t="s">
        <v>472</v>
      </c>
      <c r="E218" s="535">
        <v>0</v>
      </c>
      <c r="F218" s="418"/>
      <c r="G218" s="532" t="str">
        <f>G217</f>
        <v>喷塑</v>
      </c>
      <c r="H218" s="421"/>
      <c r="I218" s="533"/>
      <c r="J218" s="387"/>
      <c r="K218" s="54" t="s">
        <v>237</v>
      </c>
      <c r="L218" s="54"/>
      <c r="O218" s="250" t="s">
        <v>471</v>
      </c>
      <c r="P218" s="250"/>
      <c r="Q218" s="388" t="s">
        <v>350</v>
      </c>
      <c r="R218" s="422">
        <f>IF(AD218&gt;0,AD218,AG218)</f>
        <v>3.69</v>
      </c>
      <c r="S218" s="420">
        <v>1.01</v>
      </c>
      <c r="T218" s="519">
        <f>R218*S218/1.13</f>
        <v>3.2981415929203544</v>
      </c>
      <c r="U218" s="524">
        <f>AH218/Y218+0.25</f>
        <v>0.44018673045237011</v>
      </c>
      <c r="V218" s="524">
        <f>AI218*AC218*AF218/1000000/1.13/Y218</f>
        <v>0.5145528533083048</v>
      </c>
      <c r="W218" s="524"/>
      <c r="X218" s="519">
        <f>(T218+U218+V218+W218)*Y218</f>
        <v>58.140181668141601</v>
      </c>
      <c r="Y218" s="521">
        <f>AK218*AJ218*AC218*Z220*2/1000000</f>
        <v>13.670775000000001</v>
      </c>
      <c r="Z218" s="521">
        <f>Y218*AB218</f>
        <v>13.670775000000001</v>
      </c>
      <c r="AA218" s="513" t="str">
        <f>D217</f>
        <v>B11050.15</v>
      </c>
      <c r="AB218" s="460">
        <v>1</v>
      </c>
      <c r="AC218" s="536">
        <f>E217</f>
        <v>2700</v>
      </c>
      <c r="AD218" s="471">
        <f>J217</f>
        <v>0</v>
      </c>
      <c r="AE218" s="514" t="str">
        <f>G217</f>
        <v>喷塑</v>
      </c>
      <c r="AF218" s="515">
        <f>IF(AE218="预镀锌",0,IF(AE218="喷塑",VLOOKUP(AA218,常规材料表!$1:$1048576,12,0),IF(AE218="热镀锌",VLOOKUP(AA218,常规材料表!$1:$1048576,13,0),IF(AE218="冷镀锌",VLOOKUP(AA218,常规材料表!$1:$1048576,15,0),0))))</f>
        <v>9.1999999999999993</v>
      </c>
      <c r="AG218" s="515">
        <f>VLOOKUP(AA218,常规材料表!$1:$1048576,10,0)</f>
        <v>3.69</v>
      </c>
      <c r="AH218" s="515">
        <f>IF(AE218="预镀锌",VLOOKUP(AA218,常规材料表!$1:$1048576,11,0)+VLOOKUP(AA218,常规材料表!$1:$1048576,14,0),VLOOKUP(AA218,常规材料表!$1:$1048576,11,0))+IF(AC218&lt;8000,0,VLOOKUP(AA218,常规材料表!$1:$1048576,16,0))</f>
        <v>2.6</v>
      </c>
      <c r="AI218" s="515">
        <f>(VLOOKUP(AA218,常规材料表!$1:$1048576,8,0)+VLOOKUP(AA218,常规材料表!$1:$1048576,9,0))*2</f>
        <v>320</v>
      </c>
      <c r="AJ218" s="515">
        <f>VLOOKUP(AA218,常规材料表!$1:$1048576,6,0)</f>
        <v>1.5</v>
      </c>
      <c r="AK218" s="508">
        <f>VLOOKUP(AA218,常规材料表!$1:$1048576,7,0)</f>
        <v>215</v>
      </c>
      <c r="AL218" s="508" t="s">
        <v>363</v>
      </c>
      <c r="AM218" s="508" t="str">
        <f>VLOOKUP(AA220,常规材料表!$1:$1048576,17,0)</f>
        <v>M10.L20</v>
      </c>
      <c r="AN218" s="508">
        <f>VLOOKUP(AA220,常规材料表!$1:$1048576,18,0)</f>
        <v>18</v>
      </c>
      <c r="AO218" s="521">
        <f>VLOOKUP(AM218,标准件价格!$C:$D,2,0)</f>
        <v>0.19600000000000001</v>
      </c>
      <c r="AP218" s="508">
        <f>AN218*AO218</f>
        <v>3.528</v>
      </c>
      <c r="AQ218" s="110"/>
      <c r="BZ218" t="s">
        <v>350</v>
      </c>
      <c r="CA218" s="112" t="s">
        <v>200</v>
      </c>
      <c r="CB218" t="s">
        <v>201</v>
      </c>
      <c r="CC218" t="s">
        <v>202</v>
      </c>
      <c r="CG218" s="122"/>
      <c r="CV218" s="388"/>
    </row>
    <row r="219" spans="1:100" customFormat="1" ht="30" customHeight="1" outlineLevel="1">
      <c r="A219" s="112"/>
      <c r="B219" s="112" t="s">
        <v>8</v>
      </c>
      <c r="C219" s="418" t="s">
        <v>364</v>
      </c>
      <c r="D219" s="463">
        <f>IF(E219&gt;0,E220*(E217*E219+90)/1000,0)</f>
        <v>0</v>
      </c>
      <c r="E219" s="538">
        <v>0</v>
      </c>
      <c r="F219" s="539">
        <f>IF(D219&gt;0,F216,0)</f>
        <v>0</v>
      </c>
      <c r="G219" s="418"/>
      <c r="H219" s="421">
        <f>IFERROR(D219*(I219*1.02+J220+J219*1.13)/1.13*F219/F216,0)</f>
        <v>0</v>
      </c>
      <c r="I219" s="540">
        <f>4.24</f>
        <v>4.24</v>
      </c>
      <c r="J219" s="541">
        <f>IFERROR(((0.8*E219+0.4)*D216/1000+0.4)/D219,0)</f>
        <v>0</v>
      </c>
      <c r="K219" s="54" t="s">
        <v>237</v>
      </c>
      <c r="L219" s="54"/>
      <c r="O219" s="250" t="s">
        <v>471</v>
      </c>
      <c r="P219" s="250"/>
      <c r="Q219" t="s">
        <v>362</v>
      </c>
      <c r="R219" s="422">
        <f>AG220</f>
        <v>6.97318007662835</v>
      </c>
      <c r="S219" s="420">
        <v>1.01</v>
      </c>
      <c r="T219" s="519">
        <f>R219*S219/1.13</f>
        <v>6.2326653782253398</v>
      </c>
      <c r="U219" s="422">
        <v>0.25</v>
      </c>
      <c r="V219" s="524">
        <f>AH220*AF220/Y219</f>
        <v>0.71908045977011492</v>
      </c>
      <c r="W219" s="524">
        <f>SUM(AP218)/1.13/Y219</f>
        <v>1.1962160512664024</v>
      </c>
      <c r="X219" s="519">
        <f>(T219+U219+V219+W219)*Y219</f>
        <v>21.918680530973447</v>
      </c>
      <c r="Y219" s="521">
        <f>VLOOKUP(AA220,常规材料表!$1:$1048576,3,0)</f>
        <v>2.61</v>
      </c>
      <c r="Z219" s="521">
        <f>Y219*AB218</f>
        <v>2.61</v>
      </c>
      <c r="AA219" s="506" t="s">
        <v>365</v>
      </c>
      <c r="AE219" s="418" t="s">
        <v>334</v>
      </c>
      <c r="AF219" s="509" t="s">
        <v>226</v>
      </c>
      <c r="AG219" s="508" t="s">
        <v>366</v>
      </c>
      <c r="AH219" s="508" t="s">
        <v>336</v>
      </c>
      <c r="AQ219" s="110"/>
      <c r="BZ219" t="s">
        <v>350</v>
      </c>
      <c r="CA219" s="112" t="s">
        <v>200</v>
      </c>
      <c r="CB219" t="s">
        <v>201</v>
      </c>
      <c r="CC219" t="s">
        <v>202</v>
      </c>
      <c r="CG219" s="122"/>
      <c r="CV219" s="388"/>
    </row>
    <row r="220" spans="1:100" customFormat="1" ht="30" customHeight="1" outlineLevel="1">
      <c r="A220" s="112"/>
      <c r="B220" s="414">
        <v>0</v>
      </c>
      <c r="C220" s="465">
        <f>报价辅助计算!$E$13</f>
        <v>0</v>
      </c>
      <c r="D220" s="112"/>
      <c r="E220" s="542">
        <v>1.85</v>
      </c>
      <c r="F220" s="418"/>
      <c r="G220" s="418"/>
      <c r="H220" s="543" t="s">
        <v>367</v>
      </c>
      <c r="I220" s="421"/>
      <c r="J220" s="544">
        <v>0.95</v>
      </c>
      <c r="K220" s="54" t="s">
        <v>237</v>
      </c>
      <c r="L220" s="54"/>
      <c r="O220" s="250" t="s">
        <v>471</v>
      </c>
      <c r="P220" s="250"/>
      <c r="R220" s="420"/>
      <c r="S220" s="420"/>
      <c r="T220" s="420"/>
      <c r="U220" s="420"/>
      <c r="V220" s="422"/>
      <c r="W220" s="421"/>
      <c r="X220" s="520"/>
      <c r="Y220" s="509" t="s">
        <v>277</v>
      </c>
      <c r="Z220" s="458">
        <v>7.85</v>
      </c>
      <c r="AA220" s="513" t="str">
        <f>D218</f>
        <v>Bracket.P&amp;D 75-4H+pin</v>
      </c>
      <c r="AE220" s="514" t="str">
        <f>G218</f>
        <v>喷塑</v>
      </c>
      <c r="AF220" s="515">
        <f>IF(AE220="预镀锌",0,IF(AE220="喷塑",VLOOKUP(AA220,常规材料表!$1:$1048576,12,0),IF(AE220="热镀锌",VLOOKUP(AA220,常规材料表!$1:$1048576,13,0),IF(AE220="冷镀锌",VLOOKUP(AA220,常规材料表!$1:$1048576,15,0),0))))</f>
        <v>9.1999999999999993</v>
      </c>
      <c r="AG220" s="515">
        <f>VLOOKUP(AA220,常规材料表!$1:$1048576,10,0)</f>
        <v>6.97318007662835</v>
      </c>
      <c r="AH220" s="508">
        <f>VLOOKUP(AA220,常规材料表!$1:$1048576,4,0)</f>
        <v>0.20399999999999999</v>
      </c>
      <c r="AQ220" s="110"/>
      <c r="BZ220" t="s">
        <v>350</v>
      </c>
      <c r="CA220" s="112" t="s">
        <v>200</v>
      </c>
      <c r="CB220" t="s">
        <v>201</v>
      </c>
      <c r="CC220" t="s">
        <v>202</v>
      </c>
      <c r="CG220" s="122"/>
      <c r="CV220" s="388"/>
    </row>
    <row r="221" spans="1:100" s="376" customFormat="1" ht="30" customHeight="1">
      <c r="A221" s="472"/>
      <c r="B221" s="473"/>
      <c r="C221" s="473"/>
      <c r="D221" s="473"/>
      <c r="E221" s="474"/>
      <c r="F221" s="473"/>
      <c r="G221" s="473"/>
      <c r="H221" s="421"/>
      <c r="I221" s="421"/>
      <c r="J221" s="422"/>
      <c r="K221" s="475"/>
      <c r="L221" s="475"/>
      <c r="O221" s="250" t="s">
        <v>471</v>
      </c>
      <c r="R221" s="387"/>
      <c r="S221" s="387"/>
      <c r="T221" s="387"/>
      <c r="U221" s="387"/>
      <c r="V221" s="387"/>
      <c r="W221" s="387"/>
      <c r="X221" s="387"/>
      <c r="AQ221" s="476"/>
      <c r="BZ221" t="s">
        <v>468</v>
      </c>
      <c r="CA221" s="112" t="s">
        <v>200</v>
      </c>
      <c r="CG221" s="477"/>
    </row>
    <row r="222" spans="1:100" customFormat="1" ht="30" customHeight="1">
      <c r="A222" s="112" t="str">
        <f>IF($C$13=1,IF(K222="报价行",IF(F222&gt;0,1," ")," ")," ")</f>
        <v xml:space="preserve"> </v>
      </c>
      <c r="B222" s="414" t="str">
        <f>IF(A222=1,SUM($A$11:A222),"水平拉")</f>
        <v>水平拉</v>
      </c>
      <c r="C222" s="415" t="str">
        <f>B223&amp;IF(C225=1,CHAR(10)&amp;B224," ")</f>
        <v xml:space="preserve">Cross brace </v>
      </c>
      <c r="D222" s="566" t="s">
        <v>473</v>
      </c>
      <c r="E222" s="547" t="str">
        <f>D223</f>
        <v>90.Br2440.14</v>
      </c>
      <c r="F222" s="460">
        <f>F216/2</f>
        <v>0</v>
      </c>
      <c r="G222" s="419">
        <f>IFERROR(Y222,"-")</f>
        <v>4.1983788129021313</v>
      </c>
      <c r="H222" s="420">
        <f>IFERROR(X222,"-")</f>
        <v>23.082727246244986</v>
      </c>
      <c r="I222" s="421" t="s">
        <v>292</v>
      </c>
      <c r="J222" s="422"/>
      <c r="K222" s="423" t="s">
        <v>217</v>
      </c>
      <c r="L222" s="54"/>
      <c r="O222" s="250" t="s">
        <v>471</v>
      </c>
      <c r="P222" s="250"/>
      <c r="R222" s="387" t="s">
        <v>219</v>
      </c>
      <c r="S222" s="426" t="s">
        <v>21</v>
      </c>
      <c r="T222" s="426">
        <f>(T224*Y224+T225*Y225)/Y222</f>
        <v>3.7767249761320931</v>
      </c>
      <c r="U222" s="426">
        <f>(U224*Y224+U225*Y225)/Y222</f>
        <v>0.55964333089833185</v>
      </c>
      <c r="V222" s="426">
        <f>(V224*Y224+V225*Y225)/Y222</f>
        <v>0.74681624513697042</v>
      </c>
      <c r="W222" s="426">
        <f>SUM(AP223:AP224)/Y222/1.13</f>
        <v>0.41482510225181551</v>
      </c>
      <c r="X222" s="426">
        <f>SUM(T222:W222)*Y222</f>
        <v>23.082727246244986</v>
      </c>
      <c r="Y222" s="505">
        <f>SUM(Y224:Y225)</f>
        <v>4.1983788129021313</v>
      </c>
      <c r="Z222" s="505"/>
      <c r="AA222" s="506" t="s">
        <v>315</v>
      </c>
      <c r="AB222" s="507" t="s">
        <v>316</v>
      </c>
      <c r="AC222" s="507" t="s">
        <v>317</v>
      </c>
      <c r="AD222" s="508"/>
      <c r="AE222" s="418" t="s">
        <v>318</v>
      </c>
      <c r="AF222" s="509" t="s">
        <v>226</v>
      </c>
      <c r="AG222" s="509" t="s">
        <v>319</v>
      </c>
      <c r="AH222" s="509" t="s">
        <v>287</v>
      </c>
      <c r="AI222" s="507" t="s">
        <v>320</v>
      </c>
      <c r="AJ222" s="507" t="s">
        <v>321</v>
      </c>
      <c r="AK222" s="508" t="s">
        <v>322</v>
      </c>
      <c r="AL222" s="509" t="s">
        <v>231</v>
      </c>
      <c r="AM222" s="509" t="s">
        <v>232</v>
      </c>
      <c r="AN222" s="509" t="s">
        <v>102</v>
      </c>
      <c r="AO222" s="509" t="s">
        <v>74</v>
      </c>
      <c r="AP222" s="509" t="s">
        <v>21</v>
      </c>
      <c r="AQ222" s="110"/>
      <c r="AX222" t="str">
        <f>E222</f>
        <v>90.Br2440.14</v>
      </c>
      <c r="AY222" s="494" t="str">
        <f>D222</f>
        <v>L1350*D900</v>
      </c>
      <c r="AZ222">
        <f>F222</f>
        <v>0</v>
      </c>
      <c r="BA222" s="256">
        <f>G222</f>
        <v>4.1983788129021313</v>
      </c>
      <c r="BB222">
        <f>AZ222*BA222</f>
        <v>0</v>
      </c>
      <c r="BC222" s="495"/>
      <c r="BR222" t="str">
        <f>I222</f>
        <v>Blue Ral5015</v>
      </c>
      <c r="BZ222" t="s">
        <v>474</v>
      </c>
      <c r="CD222" t="s">
        <v>203</v>
      </c>
      <c r="CG222" s="122"/>
      <c r="CV222" s="388"/>
    </row>
    <row r="223" spans="1:100" customFormat="1" ht="30" customHeight="1" outlineLevel="1">
      <c r="A223" s="112"/>
      <c r="B223" s="623" t="s">
        <v>475</v>
      </c>
      <c r="C223" s="418" t="s">
        <v>324</v>
      </c>
      <c r="D223" s="513" t="s">
        <v>476</v>
      </c>
      <c r="E223" s="624">
        <f>IFERROR((SQRT(D225^2+E225^2)/1000+0.04)*1000,"请填写长度")</f>
        <v>1662.4980739587954</v>
      </c>
      <c r="F223" s="625">
        <v>2</v>
      </c>
      <c r="G223" s="514" t="s">
        <v>236</v>
      </c>
      <c r="H223" s="421"/>
      <c r="I223" s="421"/>
      <c r="J223" s="422"/>
      <c r="K223" s="54" t="s">
        <v>237</v>
      </c>
      <c r="L223" s="54"/>
      <c r="O223" s="250" t="s">
        <v>471</v>
      </c>
      <c r="P223" s="250"/>
      <c r="R223" s="421" t="s">
        <v>238</v>
      </c>
      <c r="S223" s="420" t="s">
        <v>239</v>
      </c>
      <c r="T223" s="421" t="s">
        <v>240</v>
      </c>
      <c r="U223" s="421" t="s">
        <v>241</v>
      </c>
      <c r="V223" s="421" t="s">
        <v>242</v>
      </c>
      <c r="W223" s="420" t="s">
        <v>207</v>
      </c>
      <c r="X223" s="421" t="s">
        <v>243</v>
      </c>
      <c r="Y223" s="414" t="s">
        <v>244</v>
      </c>
      <c r="Z223" s="414" t="s">
        <v>159</v>
      </c>
      <c r="AA223" s="513" t="str">
        <f>D223</f>
        <v>90.Br2440.14</v>
      </c>
      <c r="AB223" s="460">
        <v>1</v>
      </c>
      <c r="AC223" s="460">
        <f>E223</f>
        <v>1662.4980739587954</v>
      </c>
      <c r="AD223" s="508"/>
      <c r="AE223" s="514" t="str">
        <f>G223</f>
        <v>喷塑</v>
      </c>
      <c r="AF223" s="515">
        <f>IF(AE223="预镀锌",0,IF(AE223="喷塑",VLOOKUP(AA223,常规材料表!$1:$1048576,12,0),IF(AE223="热镀锌",VLOOKUP(AA223,常规材料表!$1:$1048576,13,0),IF(AE223="冷镀锌",VLOOKUP(AA223,常规材料表!$1:$1048576,15,0),0))))</f>
        <v>9</v>
      </c>
      <c r="AG223" s="515">
        <f>VLOOKUP(AA223,常规材料表!$1:$1048576,10,0)</f>
        <v>3.69</v>
      </c>
      <c r="AH223" s="515">
        <v>1.3</v>
      </c>
      <c r="AI223" s="515">
        <f>IF((VLOOKUP(AA223,常规材料表!$1:$1048576,8,0)+VLOOKUP(AA223,常规材料表!$1:$1048576,9,0))*2/IF(ISNUMBER(SEARCH("L4040.30",AA223)),2,1)=0,AK223,(VLOOKUP(AA223,常规材料表!$1:$1048576,8,0)+VLOOKUP(AA223,常规材料表!$1:$1048576,9,0))*2/IF(ISNUMBER(SEARCH("L4040.30",AA223)),2,1))</f>
        <v>186</v>
      </c>
      <c r="AJ223" s="515">
        <f>VLOOKUP(AA223,常规材料表!$1:$1048576,6,0)</f>
        <v>1.4</v>
      </c>
      <c r="AK223" s="508">
        <f>VLOOKUP(AA223,常规材料表!$1:$1048576,7,0)</f>
        <v>93</v>
      </c>
      <c r="AL223" s="508" t="s">
        <v>326</v>
      </c>
      <c r="AM223" s="508" t="str">
        <f>VLOOKUP(AA225,常规材料表!$1:$1048576,17,0)</f>
        <v>M10.L20</v>
      </c>
      <c r="AN223" s="508">
        <v>8</v>
      </c>
      <c r="AO223" s="508">
        <f>IFERROR(VLOOKUP(AM223,标准件价格!$C:$D,2,0),0)</f>
        <v>0.19600000000000001</v>
      </c>
      <c r="AP223" s="508">
        <f>AN223*AO223*IF(ISNUMBER(SEARCH("L4040.30",AA223)),0,1)</f>
        <v>1.5680000000000001</v>
      </c>
      <c r="AQ223" s="110"/>
      <c r="AW223">
        <f>IFERROR(Y224*F222,"-")</f>
        <v>0</v>
      </c>
      <c r="AX223" t="s">
        <v>156</v>
      </c>
      <c r="AY223" t="s">
        <v>246</v>
      </c>
      <c r="AZ223" t="s">
        <v>102</v>
      </c>
      <c r="BA223" t="s">
        <v>158</v>
      </c>
      <c r="BB223" t="s">
        <v>247</v>
      </c>
      <c r="BC223" t="s">
        <v>248</v>
      </c>
      <c r="BD223" t="s">
        <v>249</v>
      </c>
      <c r="BE223" t="s">
        <v>250</v>
      </c>
      <c r="BF223" t="s">
        <v>251</v>
      </c>
      <c r="BZ223" t="s">
        <v>474</v>
      </c>
      <c r="CD223" t="s">
        <v>203</v>
      </c>
      <c r="CG223" s="122"/>
      <c r="CV223" s="388"/>
    </row>
    <row r="224" spans="1:100" customFormat="1" ht="30" customHeight="1" outlineLevel="1">
      <c r="A224" s="112"/>
      <c r="B224" s="460" t="s">
        <v>474</v>
      </c>
      <c r="C224" s="418" t="s">
        <v>329</v>
      </c>
      <c r="D224" s="513" t="s">
        <v>477</v>
      </c>
      <c r="E224" s="626">
        <f>0.2*4</f>
        <v>0.8</v>
      </c>
      <c r="F224" s="626"/>
      <c r="G224" s="627" t="s">
        <v>236</v>
      </c>
      <c r="H224" s="421"/>
      <c r="I224" s="421"/>
      <c r="J224" s="422"/>
      <c r="K224" s="54" t="s">
        <v>237</v>
      </c>
      <c r="L224" s="54"/>
      <c r="O224" s="250" t="s">
        <v>471</v>
      </c>
      <c r="P224" s="250"/>
      <c r="Q224" s="388" t="s">
        <v>330</v>
      </c>
      <c r="R224" s="420">
        <f>IFERROR(IF(AE223="预镀锌",VLOOKUP(AA223,常规材料表!$1:$1048576,5,0),AG223),0)</f>
        <v>3.69</v>
      </c>
      <c r="S224" s="420">
        <v>1.01</v>
      </c>
      <c r="T224" s="519">
        <f>R224*S224/1.13</f>
        <v>3.2981415929203544</v>
      </c>
      <c r="U224" s="520">
        <f>IFERROR(AH223/Y224+0.25,0)</f>
        <v>0.63253534157654201</v>
      </c>
      <c r="V224" s="520">
        <f>IF(AE223="喷塑",AI223*AC223*AF223/1000000/1.13/Y224,AF223/1.13)</f>
        <v>0.72471353684363138</v>
      </c>
      <c r="W224" s="520">
        <f>SUM(AP223:AP224)/Y224/1.13*IF(ISNUMBER(SEARCH("L4040.30",AA223)),1,0)</f>
        <v>0</v>
      </c>
      <c r="X224" s="519">
        <f>(T224+U224+V224+W224)*Y224</f>
        <v>15.820780343590119</v>
      </c>
      <c r="Y224" s="521">
        <f>AK223*AJ223*(AC223+IF(ISNUMBER(SEARCH("L4040.30",AA223)),66,0))*AD225/1000000*F223</f>
        <v>3.3983788129021315</v>
      </c>
      <c r="Z224" s="508">
        <f>Y224*AB223</f>
        <v>3.3983788129021315</v>
      </c>
      <c r="AA224" s="506" t="s">
        <v>331</v>
      </c>
      <c r="AB224" s="507" t="s">
        <v>332</v>
      </c>
      <c r="AC224" s="507" t="s">
        <v>333</v>
      </c>
      <c r="AD224" s="509" t="s">
        <v>277</v>
      </c>
      <c r="AE224" s="418" t="s">
        <v>334</v>
      </c>
      <c r="AF224" s="509" t="s">
        <v>226</v>
      </c>
      <c r="AG224" s="508" t="s">
        <v>335</v>
      </c>
      <c r="AH224" s="508" t="s">
        <v>336</v>
      </c>
      <c r="AI224" s="507" t="s">
        <v>337</v>
      </c>
      <c r="AL224" s="508" t="s">
        <v>338</v>
      </c>
      <c r="AM224" s="508" t="str">
        <f>VLOOKUP(AA223,常规材料表!$1:$1048576,17,0)</f>
        <v>M10.L65.Socket.Wz</v>
      </c>
      <c r="AN224" s="508">
        <f>VLOOKUP(AA223,常规材料表!$1:$1048576,18,0)</f>
        <v>1</v>
      </c>
      <c r="AO224" s="508">
        <f>IFERROR(VLOOKUP(AM224,标准件价格!$C:$D,2,0),0)</f>
        <v>0.4</v>
      </c>
      <c r="AP224" s="508">
        <f>AN224*AO224</f>
        <v>0.4</v>
      </c>
      <c r="AQ224" s="110"/>
      <c r="BZ224" t="s">
        <v>474</v>
      </c>
      <c r="CD224" t="s">
        <v>203</v>
      </c>
      <c r="CG224" s="122"/>
      <c r="CV224" s="388"/>
    </row>
    <row r="225" spans="1:100" customFormat="1" ht="30" customHeight="1" outlineLevel="1">
      <c r="A225" s="112"/>
      <c r="B225" s="414">
        <v>0</v>
      </c>
      <c r="C225" s="465">
        <f>报价辅助计算!$E$13</f>
        <v>0</v>
      </c>
      <c r="D225" s="418" t="str">
        <f>IFERROR(MID(D222,FIND("L",D222)+1,FIND("*",D222)-FIND("L",D222)-1),"无数据")</f>
        <v>1350</v>
      </c>
      <c r="E225" s="418" t="str">
        <f>IFERROR(MID(D222,FIND("D",D222)+1,LEN(D222)-FIND("D",D222)),"无数据")</f>
        <v>900</v>
      </c>
      <c r="F225" s="561"/>
      <c r="G225" s="418"/>
      <c r="H225" s="421"/>
      <c r="I225" s="421"/>
      <c r="J225" s="422"/>
      <c r="K225" s="54" t="s">
        <v>237</v>
      </c>
      <c r="L225" s="54"/>
      <c r="O225" s="250" t="s">
        <v>471</v>
      </c>
      <c r="P225" s="250"/>
      <c r="Q225" t="s">
        <v>339</v>
      </c>
      <c r="R225" s="524">
        <f>IF(AC225&gt;0,AC225,AG225)*IF(ISNUMBER(SEARCH("L4040.30",AA223)),0,1)</f>
        <v>6.5</v>
      </c>
      <c r="S225" s="420">
        <v>1.01</v>
      </c>
      <c r="T225" s="519">
        <f>R225*S225/1.13</f>
        <v>5.8097345132743374</v>
      </c>
      <c r="U225" s="421">
        <f>IFERROR((AI225/Y225+0.25)*IF(ISNUMBER(SEARCH("L4040.30",AA223)),0,1),0)</f>
        <v>0.25</v>
      </c>
      <c r="V225" s="520">
        <f>AF225/1.13*IF(ISNUMBER(SEARCH("L4040.30",AA223)),0,1)</f>
        <v>0.84070796460177</v>
      </c>
      <c r="W225" s="520">
        <f>IFERROR(AP223/Y225/1.13*IF(ISNUMBER(SEARCH("L4040.30",AA223)),0,1),0)</f>
        <v>1.7345132743362832</v>
      </c>
      <c r="X225" s="519">
        <f>IFERROR((T225+U225+V225+W225)*Y225,0)</f>
        <v>6.9079646017699137</v>
      </c>
      <c r="Y225" s="521">
        <f>IF(AB225&gt;0,AB225,VLOOKUP(AA225,常规材料表!$1:$1048576,3,0))*IF(ISNUMBER(SEARCH("L4040.30",AA223)),0,1)</f>
        <v>0.8</v>
      </c>
      <c r="Z225" s="508">
        <f>Y225*AB223</f>
        <v>0.8</v>
      </c>
      <c r="AA225" s="513" t="str">
        <f>D224</f>
        <v>Row.Spacer.End.Plate.Std.RAL</v>
      </c>
      <c r="AB225" s="525">
        <f>E224</f>
        <v>0.8</v>
      </c>
      <c r="AC225" s="525">
        <f>F224</f>
        <v>0</v>
      </c>
      <c r="AD225" s="458">
        <v>7.85</v>
      </c>
      <c r="AE225" s="514" t="str">
        <f>G224</f>
        <v>喷塑</v>
      </c>
      <c r="AF225" s="515">
        <f>IF(AE225="预镀锌",0,IF(AE225="喷塑",VLOOKUP(AA225,常规材料表!$1:$1048576,12,0),IF(AE225="热镀锌",VLOOKUP(AA225,常规材料表!$1:$1048576,13,0),IF(AE225="冷镀锌",VLOOKUP(AA225,常规材料表!$1:$1048576,15,0),0))))</f>
        <v>0.95</v>
      </c>
      <c r="AG225" s="515">
        <f>VLOOKUP(AA225,常规材料表!$1:$1048576,10,0)</f>
        <v>6.5</v>
      </c>
      <c r="AH225" s="508">
        <f>VLOOKUP(AA225,常规材料表!$1:$1048576,4,0)</f>
        <v>3.5200000000000002E-2</v>
      </c>
      <c r="AI225" s="515">
        <f>IF(AA225="预镀锌",VLOOKUP(AA225,常规材料表!$1:$1048576,11,0)+VLOOKUP(AA225,常规材料表!$1:$1048576,14,0),VLOOKUP(AA225,常规材料表!$1:$1048576,11,0))+IF(AC223&lt;8000,0,VLOOKUP(AA225,常规材料表!$1:$1048576,16,0))</f>
        <v>0</v>
      </c>
      <c r="AQ225" s="110"/>
      <c r="BZ225" t="s">
        <v>474</v>
      </c>
      <c r="CD225" t="s">
        <v>203</v>
      </c>
      <c r="CG225" s="122"/>
      <c r="CV225" s="388"/>
    </row>
    <row r="226" spans="1:100" s="376" customFormat="1" ht="30" customHeight="1">
      <c r="A226" s="472"/>
      <c r="B226" s="473"/>
      <c r="C226" s="473"/>
      <c r="D226" s="473"/>
      <c r="E226" s="474"/>
      <c r="F226" s="473"/>
      <c r="G226" s="473"/>
      <c r="H226" s="421"/>
      <c r="I226" s="421"/>
      <c r="J226" s="422"/>
      <c r="K226" s="475"/>
      <c r="L226" s="475"/>
      <c r="R226" s="387"/>
      <c r="S226" s="387"/>
      <c r="T226" s="387"/>
      <c r="U226" s="387"/>
      <c r="V226" s="387"/>
      <c r="W226" s="387"/>
      <c r="X226" s="387"/>
      <c r="AQ226" s="476"/>
      <c r="BZ226" t="s">
        <v>350</v>
      </c>
      <c r="CA226" s="112" t="s">
        <v>200</v>
      </c>
      <c r="CB226" t="s">
        <v>201</v>
      </c>
      <c r="CC226" t="s">
        <v>202</v>
      </c>
      <c r="CD226"/>
      <c r="CE226"/>
      <c r="CF226"/>
      <c r="CG226" s="122"/>
    </row>
    <row r="227" spans="1:100" s="378" customFormat="1" ht="30" customHeight="1">
      <c r="A227" s="628"/>
      <c r="B227" s="629" t="s">
        <v>201</v>
      </c>
      <c r="C227" s="629"/>
      <c r="D227" s="629"/>
      <c r="E227" s="630"/>
      <c r="F227" s="629"/>
      <c r="G227" s="629"/>
      <c r="H227" s="421"/>
      <c r="I227" s="421"/>
      <c r="J227" s="422"/>
      <c r="K227" s="631"/>
      <c r="L227" s="631"/>
      <c r="R227" s="387"/>
      <c r="S227" s="387"/>
      <c r="T227" s="387"/>
      <c r="U227" s="387"/>
      <c r="V227" s="387"/>
      <c r="W227" s="387"/>
      <c r="X227" s="387"/>
      <c r="AQ227" s="632"/>
      <c r="CA227" s="628"/>
      <c r="CG227" s="633"/>
    </row>
    <row r="228" spans="1:100" customFormat="1" ht="30" customHeight="1">
      <c r="A228" s="112" t="str">
        <f>IF($C$13=1,IF(K228="报价行",IF(F228&gt;0,1," ")," ")," ")</f>
        <v xml:space="preserve"> </v>
      </c>
      <c r="B228" s="414" t="str">
        <f>IF(A228=1,SUM($A$11:A228),"背横梁")</f>
        <v>背横梁</v>
      </c>
      <c r="C228" s="415" t="str">
        <f>B229&amp;IF(C233=1,CHAR(10)&amp;B230," ")</f>
        <v xml:space="preserve">Back Beam </v>
      </c>
      <c r="D228" s="634">
        <f>E229</f>
        <v>1350</v>
      </c>
      <c r="E228" s="635" t="str">
        <f>VLOOKUP(D229,常规材料表!$1:$1048576,28,0)&amp;VLOOKUP(D230,常规材料表!$1:$1048576,28,0)&amp;", "&amp;IF(E230&gt;0,E230&amp;" kg/level,"," ")</f>
        <v xml:space="preserve">HS80*40*1.5 mm,pitch 75, 3 claws, H200,  </v>
      </c>
      <c r="F228" s="460"/>
      <c r="G228" s="419" t="str">
        <f>IFERROR(Y228+D232*J232/F228,"-")</f>
        <v>-</v>
      </c>
      <c r="H228" s="420">
        <f>IFERROR(X228+H232,"-")</f>
        <v>27.862288078982303</v>
      </c>
      <c r="I228" s="421" t="s">
        <v>341</v>
      </c>
      <c r="J228" s="422"/>
      <c r="K228" s="423" t="s">
        <v>217</v>
      </c>
      <c r="L228" s="54"/>
      <c r="O228" s="250" t="s">
        <v>478</v>
      </c>
      <c r="P228" s="250"/>
      <c r="R228" s="387" t="s">
        <v>219</v>
      </c>
      <c r="S228" s="426" t="s">
        <v>21</v>
      </c>
      <c r="T228" s="426">
        <f>(T230*Y230+T231*Y231)/Y228</f>
        <v>4.2885115872497641</v>
      </c>
      <c r="U228" s="426">
        <f>(U230*Y230+U231*Y231)/Y228</f>
        <v>0.72730492884784292</v>
      </c>
      <c r="V228" s="426">
        <f>(V230*Y230+V231*Y231)/Y228</f>
        <v>0.70015986730812796</v>
      </c>
      <c r="W228" s="426">
        <f>AP230/Y228/1.13</f>
        <v>6.6113803149374178E-2</v>
      </c>
      <c r="X228" s="426">
        <f>SUM(T228:W228)*Y228</f>
        <v>27.862288078982303</v>
      </c>
      <c r="Y228" s="505">
        <f>SUM(Y230:Y231)</f>
        <v>4.8187224999999998</v>
      </c>
      <c r="Z228" s="505"/>
      <c r="AA228" t="s">
        <v>325</v>
      </c>
      <c r="AQ228" s="110"/>
      <c r="AX228" t="str">
        <f>VLOOKUP(D229,常规材料表!$1:$1048576,28,0)</f>
        <v>HS80*40*1.5 mm,</v>
      </c>
      <c r="AY228" s="494">
        <f>D228</f>
        <v>1350</v>
      </c>
      <c r="AZ228">
        <f>F228</f>
        <v>0</v>
      </c>
      <c r="BA228" s="256" t="str">
        <f>G228</f>
        <v>-</v>
      </c>
      <c r="BB228" t="e">
        <f>AZ228*BA228</f>
        <v>#VALUE!</v>
      </c>
      <c r="BC228" t="str">
        <f>VLOOKUP(D230,常规材料表!$1:$1048576,28,0)</f>
        <v>pitch 75, 3 claws, H200</v>
      </c>
      <c r="BE228" t="str">
        <f>"面宽"&amp;VLOOKUP(AA230,常规材料表!$1:$1048576,18,0)</f>
        <v>面宽60</v>
      </c>
      <c r="BR228" t="str">
        <f>I228</f>
        <v>Orange Ral2004</v>
      </c>
      <c r="BZ228" t="s">
        <v>369</v>
      </c>
      <c r="CA228" s="112" t="s">
        <v>200</v>
      </c>
      <c r="CB228" t="s">
        <v>201</v>
      </c>
      <c r="CC228" t="s">
        <v>202</v>
      </c>
      <c r="CD228" t="s">
        <v>203</v>
      </c>
      <c r="CG228" s="122"/>
      <c r="CV228" s="388"/>
    </row>
    <row r="229" spans="1:100" customFormat="1" ht="30" customHeight="1" outlineLevel="1">
      <c r="A229" s="112"/>
      <c r="B229" s="418" t="s">
        <v>479</v>
      </c>
      <c r="C229" s="418" t="s">
        <v>166</v>
      </c>
      <c r="D229" s="513" t="s">
        <v>480</v>
      </c>
      <c r="E229" s="636">
        <v>1350</v>
      </c>
      <c r="F229" s="418"/>
      <c r="G229" s="514" t="s">
        <v>236</v>
      </c>
      <c r="H229" s="421"/>
      <c r="I229" s="421"/>
      <c r="J229" s="422"/>
      <c r="K229" s="54" t="s">
        <v>237</v>
      </c>
      <c r="L229" s="54"/>
      <c r="O229" s="250" t="s">
        <v>478</v>
      </c>
      <c r="P229" s="250"/>
      <c r="R229" s="421" t="s">
        <v>238</v>
      </c>
      <c r="S229" s="420" t="s">
        <v>239</v>
      </c>
      <c r="T229" s="421" t="s">
        <v>240</v>
      </c>
      <c r="U229" s="421" t="s">
        <v>241</v>
      </c>
      <c r="V229" s="421" t="s">
        <v>242</v>
      </c>
      <c r="W229" s="420" t="s">
        <v>207</v>
      </c>
      <c r="X229" s="421" t="s">
        <v>243</v>
      </c>
      <c r="Y229" s="414" t="s">
        <v>244</v>
      </c>
      <c r="Z229" s="414" t="s">
        <v>159</v>
      </c>
      <c r="AA229" s="506" t="s">
        <v>353</v>
      </c>
      <c r="AB229" s="507" t="s">
        <v>354</v>
      </c>
      <c r="AC229" s="507" t="s">
        <v>355</v>
      </c>
      <c r="AD229" s="508"/>
      <c r="AE229" s="418" t="s">
        <v>318</v>
      </c>
      <c r="AF229" s="509" t="s">
        <v>226</v>
      </c>
      <c r="AG229" s="509" t="s">
        <v>356</v>
      </c>
      <c r="AH229" s="509" t="s">
        <v>357</v>
      </c>
      <c r="AI229" s="507" t="s">
        <v>358</v>
      </c>
      <c r="AJ229" s="507" t="s">
        <v>359</v>
      </c>
      <c r="AK229" s="508" t="s">
        <v>360</v>
      </c>
      <c r="AL229" s="509" t="s">
        <v>231</v>
      </c>
      <c r="AM229" s="509" t="s">
        <v>232</v>
      </c>
      <c r="AN229" s="509" t="s">
        <v>102</v>
      </c>
      <c r="AO229" s="509" t="s">
        <v>74</v>
      </c>
      <c r="AP229" s="509" t="s">
        <v>21</v>
      </c>
      <c r="AQ229" s="110"/>
      <c r="AW229">
        <f>IFERROR(Y230*F228,"-")</f>
        <v>0</v>
      </c>
      <c r="AX229" t="s">
        <v>156</v>
      </c>
      <c r="AY229" t="s">
        <v>246</v>
      </c>
      <c r="AZ229" t="s">
        <v>102</v>
      </c>
      <c r="BA229" t="s">
        <v>158</v>
      </c>
      <c r="BB229" t="s">
        <v>247</v>
      </c>
      <c r="BC229" t="s">
        <v>248</v>
      </c>
      <c r="BD229" t="s">
        <v>249</v>
      </c>
      <c r="BE229" t="s">
        <v>250</v>
      </c>
      <c r="BF229" t="s">
        <v>251</v>
      </c>
      <c r="BG229" t="s">
        <v>252</v>
      </c>
      <c r="BH229" t="s">
        <v>253</v>
      </c>
      <c r="BI229" t="s">
        <v>254</v>
      </c>
      <c r="BJ229" t="s">
        <v>255</v>
      </c>
      <c r="BK229" t="s">
        <v>256</v>
      </c>
      <c r="BL229" t="s">
        <v>257</v>
      </c>
      <c r="BM229" t="s">
        <v>258</v>
      </c>
      <c r="BZ229" t="s">
        <v>369</v>
      </c>
      <c r="CA229" s="112" t="s">
        <v>200</v>
      </c>
      <c r="CB229" t="s">
        <v>201</v>
      </c>
      <c r="CC229" t="s">
        <v>202</v>
      </c>
      <c r="CD229" t="s">
        <v>203</v>
      </c>
      <c r="CG229" s="122"/>
      <c r="CV229" s="388"/>
    </row>
    <row r="230" spans="1:100" customFormat="1" ht="30" customHeight="1" outlineLevel="1">
      <c r="A230" s="112"/>
      <c r="B230" s="418" t="s">
        <v>478</v>
      </c>
      <c r="C230" s="418" t="s">
        <v>362</v>
      </c>
      <c r="D230" s="54" t="s">
        <v>161</v>
      </c>
      <c r="E230" s="415"/>
      <c r="F230" s="418"/>
      <c r="G230" s="627" t="s">
        <v>236</v>
      </c>
      <c r="H230" s="421"/>
      <c r="I230" s="421"/>
      <c r="J230" s="422"/>
      <c r="K230" s="54" t="s">
        <v>237</v>
      </c>
      <c r="L230" s="54"/>
      <c r="O230" s="250" t="s">
        <v>478</v>
      </c>
      <c r="P230" s="250"/>
      <c r="Q230" s="388" t="s">
        <v>330</v>
      </c>
      <c r="R230" s="422">
        <f>AG230</f>
        <v>4.28</v>
      </c>
      <c r="S230" s="420">
        <v>1.01</v>
      </c>
      <c r="T230" s="519">
        <f>R230*S230/1.13</f>
        <v>3.8254867256637173</v>
      </c>
      <c r="U230" s="520">
        <f>AH230/Y230+0.25</f>
        <v>0.86832569499472068</v>
      </c>
      <c r="V230" s="520">
        <f>IF(AE230="喷塑",AI230*AC230*AF230/1000000/1.13/Y230,AF230/1.13)</f>
        <v>0.70915938116208677</v>
      </c>
      <c r="W230" s="520"/>
      <c r="X230" s="519">
        <f>(T230+U230+V230)*Y230</f>
        <v>20.097555778097348</v>
      </c>
      <c r="Y230" s="521">
        <f>AK230*AJ230*AC230*Z233/1000000</f>
        <v>3.7197225</v>
      </c>
      <c r="Z230" s="508">
        <f>Y230*AB230</f>
        <v>3.7197225</v>
      </c>
      <c r="AA230" s="513" t="str">
        <f>D229</f>
        <v>HS8040.15</v>
      </c>
      <c r="AB230" s="460">
        <v>1</v>
      </c>
      <c r="AC230" s="460">
        <f>E229</f>
        <v>1350</v>
      </c>
      <c r="AD230" s="508"/>
      <c r="AE230" s="514" t="str">
        <f>G229</f>
        <v>喷塑</v>
      </c>
      <c r="AF230" s="515">
        <f>IF(AE230="预镀锌",0,IF(AE230="喷塑",VLOOKUP(AA230,常规材料表!$1:$1048576,12,0),IF(AE230="热镀锌",VLOOKUP(AA230,常规材料表!$1:$1048576,13,0),IF(AE230="冷镀锌",VLOOKUP(AA230,常规材料表!$1:$1048576,15,0),0))))</f>
        <v>9.1999999999999993</v>
      </c>
      <c r="AG230" s="515">
        <f>VLOOKUP(AA230,常规材料表!$1:$1048576,10,0)</f>
        <v>4.28</v>
      </c>
      <c r="AH230" s="515">
        <f>IF(AE230="预镀锌",VLOOKUP(AA230,常规材料表!$1:$1048576,11,0)+VLOOKUP(AA230,常规材料表!$1:$1048576,14,0),VLOOKUP(AA230,常规材料表!$1:$1048576,11,0))+IF(AC230&lt;8000,0,VLOOKUP(AA230,常规材料表!$1:$1048576,16,0))+IF(AC230&gt;1200,VLOOKUP(AA230,常规材料表!$1:$1048576,16,0),0)</f>
        <v>2.2999999999999998</v>
      </c>
      <c r="AI230" s="515">
        <f>2*IF(ISNUMBER(SEARCH("B",AA230)),AK230,(VLOOKUP(AA230,常规材料表!$1:$1048576,8,0)+VLOOKUP(AA230,常规材料表!$1:$1048576,9,0)))</f>
        <v>240</v>
      </c>
      <c r="AJ230" s="515">
        <f>VLOOKUP(AA230,常规材料表!$1:$1048576,6,0)</f>
        <v>1.5</v>
      </c>
      <c r="AK230" s="508">
        <f>VLOOKUP(AA230,常规材料表!$1:$1048576,7,0)</f>
        <v>234</v>
      </c>
      <c r="AL230" s="508" t="s">
        <v>363</v>
      </c>
      <c r="AM230" s="508" t="str">
        <f>VLOOKUP(AA233,常规材料表!$1:$1048576,17,0)</f>
        <v>S.Pin.ø7.L38</v>
      </c>
      <c r="AN230" s="508">
        <f>VLOOKUP(AA233,常规材料表!$1:$1048576,18,0)</f>
        <v>2</v>
      </c>
      <c r="AO230" s="508">
        <f>VLOOKUP(AM230,标准件价格!$C:$D,2,0)</f>
        <v>0.18</v>
      </c>
      <c r="AP230" s="508">
        <f>AN230*AO230</f>
        <v>0.36</v>
      </c>
      <c r="AQ230" s="110"/>
      <c r="BZ230" t="s">
        <v>369</v>
      </c>
      <c r="CA230" s="112" t="s">
        <v>200</v>
      </c>
      <c r="CB230" t="s">
        <v>201</v>
      </c>
      <c r="CC230" t="s">
        <v>202</v>
      </c>
      <c r="CD230" t="s">
        <v>203</v>
      </c>
      <c r="CG230" s="122"/>
      <c r="CV230" s="388"/>
    </row>
    <row r="231" spans="1:100" customFormat="1" ht="30" customHeight="1" outlineLevel="1">
      <c r="A231" s="112"/>
      <c r="B231" s="418"/>
      <c r="C231" s="112"/>
      <c r="D231" s="637">
        <v>3</v>
      </c>
      <c r="E231" s="415"/>
      <c r="F231" s="418"/>
      <c r="G231" s="418"/>
      <c r="H231" s="421"/>
      <c r="I231" s="421"/>
      <c r="J231" s="422"/>
      <c r="K231" s="54" t="s">
        <v>237</v>
      </c>
      <c r="L231" s="54"/>
      <c r="O231" s="250" t="s">
        <v>478</v>
      </c>
      <c r="P231" s="250"/>
      <c r="Q231" t="s">
        <v>362</v>
      </c>
      <c r="R231" s="524">
        <f>IFERROR(AG233,0)</f>
        <v>6.5514103730664202</v>
      </c>
      <c r="S231" s="420">
        <v>1.01</v>
      </c>
      <c r="T231" s="519">
        <f>R231*S231/1.13</f>
        <v>5.8556853776965356</v>
      </c>
      <c r="U231" s="421">
        <v>0.25</v>
      </c>
      <c r="V231" s="520">
        <f>IFERROR(IF(AE233="喷塑",AH233*AF233/Y231,AF233/1.13),0)</f>
        <v>0.66969972702456781</v>
      </c>
      <c r="W231" s="520">
        <f>IFERROR(AP230/Y231/1.13,0)</f>
        <v>0.28988541473745244</v>
      </c>
      <c r="X231" s="519">
        <f>IFERROR((T231+U231+V231+W231)*Y231,0)</f>
        <v>7.7647323008849529</v>
      </c>
      <c r="Y231" s="521">
        <f>IFERROR(VLOOKUP(AA233,常规材料表!$1:$1048576,3,0),0)</f>
        <v>1.099</v>
      </c>
      <c r="Z231" s="508">
        <f>Y231*AB230</f>
        <v>1.099</v>
      </c>
      <c r="AA231" s="506" t="s">
        <v>365</v>
      </c>
      <c r="AE231" s="418" t="s">
        <v>334</v>
      </c>
      <c r="AF231" s="509" t="s">
        <v>226</v>
      </c>
      <c r="AG231" s="508" t="s">
        <v>366</v>
      </c>
      <c r="AH231" s="508" t="s">
        <v>336</v>
      </c>
      <c r="AQ231" s="110"/>
      <c r="BZ231" t="s">
        <v>369</v>
      </c>
      <c r="CA231" s="112" t="s">
        <v>200</v>
      </c>
      <c r="CB231" t="s">
        <v>201</v>
      </c>
      <c r="CC231" t="s">
        <v>202</v>
      </c>
      <c r="CD231" t="s">
        <v>203</v>
      </c>
      <c r="CG231" s="122"/>
      <c r="CV231" s="388"/>
    </row>
    <row r="232" spans="1:100" customFormat="1" ht="30" customHeight="1" outlineLevel="1">
      <c r="A232" s="112"/>
      <c r="B232" s="418"/>
      <c r="C232" s="418" t="s">
        <v>481</v>
      </c>
      <c r="D232" s="638">
        <f>(0.3+0.15)*D231</f>
        <v>1.3499999999999999</v>
      </c>
      <c r="E232" s="545"/>
      <c r="F232" s="447"/>
      <c r="G232" s="418"/>
      <c r="H232" s="421">
        <f>IFERROR(D232*(I232*1.02+I233+J233*1.13)/1.13*J232/F228,0)</f>
        <v>0</v>
      </c>
      <c r="I232" s="639">
        <v>6.5</v>
      </c>
      <c r="J232" s="539">
        <f>F228</f>
        <v>0</v>
      </c>
      <c r="K232" s="54"/>
      <c r="L232" s="54"/>
      <c r="O232" s="250" t="s">
        <v>478</v>
      </c>
      <c r="P232" s="250"/>
      <c r="R232" s="524"/>
      <c r="S232" s="420"/>
      <c r="T232" s="519"/>
      <c r="U232" s="421"/>
      <c r="V232" s="546"/>
      <c r="W232" s="520"/>
      <c r="X232" s="519"/>
      <c r="Y232" s="521"/>
      <c r="Z232" s="508"/>
      <c r="AA232" s="506"/>
      <c r="AE232" s="418"/>
      <c r="AF232" s="509"/>
      <c r="AG232" s="508"/>
      <c r="AH232" s="508"/>
      <c r="AQ232" s="110"/>
      <c r="BZ232" t="s">
        <v>369</v>
      </c>
      <c r="CA232" s="112" t="s">
        <v>200</v>
      </c>
      <c r="CB232" t="s">
        <v>201</v>
      </c>
      <c r="CC232" t="s">
        <v>202</v>
      </c>
      <c r="CD232" t="s">
        <v>203</v>
      </c>
      <c r="CG232" s="122"/>
      <c r="CV232" s="388"/>
    </row>
    <row r="233" spans="1:100" customFormat="1" ht="30" customHeight="1" outlineLevel="1">
      <c r="A233" s="112"/>
      <c r="B233" s="414">
        <v>0</v>
      </c>
      <c r="C233" s="465">
        <f>报价辅助计算!$E$13</f>
        <v>0</v>
      </c>
      <c r="D233" s="447"/>
      <c r="E233" s="545"/>
      <c r="F233" s="463"/>
      <c r="G233" s="418"/>
      <c r="H233" s="421"/>
      <c r="I233" s="623">
        <v>0.95</v>
      </c>
      <c r="J233" s="623">
        <f>1*3/D232</f>
        <v>2.2222222222222223</v>
      </c>
      <c r="K233" s="54" t="s">
        <v>237</v>
      </c>
      <c r="L233" s="54"/>
      <c r="O233" s="250" t="s">
        <v>478</v>
      </c>
      <c r="P233" s="250"/>
      <c r="R233" s="421" t="s">
        <v>412</v>
      </c>
      <c r="S233" s="420">
        <v>1.41</v>
      </c>
      <c r="T233" s="421" t="s">
        <v>424</v>
      </c>
      <c r="U233" s="420">
        <v>7</v>
      </c>
      <c r="V233" s="546"/>
      <c r="W233" s="421" t="s">
        <v>34</v>
      </c>
      <c r="X233" s="520">
        <f>X228*S233/U233</f>
        <v>5.6122608844807207</v>
      </c>
      <c r="Y233" s="509" t="s">
        <v>277</v>
      </c>
      <c r="Z233" s="458">
        <v>7.85</v>
      </c>
      <c r="AA233" s="513" t="str">
        <f>D230</f>
        <v>Bracket.DE75-3H+pin</v>
      </c>
      <c r="AE233" s="514" t="str">
        <f>G230</f>
        <v>喷塑</v>
      </c>
      <c r="AF233" s="515">
        <f>IF(AE233="预镀锌",0,IF(AE233="喷塑",VLOOKUP(AA233,常规材料表!$1:$1048576,12,0),IF(AE233="热镀锌",VLOOKUP(AA233,常规材料表!$1:$1048576,13,0),IF(AE233="冷镀锌",VLOOKUP(AA233,常规材料表!$1:$1048576,15,0),0))))</f>
        <v>9.1999999999999993</v>
      </c>
      <c r="AG233" s="515">
        <f>VLOOKUP(AA233,常规材料表!$1:$1048576,10,0)</f>
        <v>6.5514103730664202</v>
      </c>
      <c r="AH233" s="508">
        <f>VLOOKUP(AA233,常规材料表!$1:$1048576,4,0)</f>
        <v>0.08</v>
      </c>
      <c r="AQ233" s="110"/>
      <c r="BZ233" t="s">
        <v>369</v>
      </c>
      <c r="CA233" s="112" t="s">
        <v>200</v>
      </c>
      <c r="CB233" t="s">
        <v>201</v>
      </c>
      <c r="CC233" t="s">
        <v>202</v>
      </c>
      <c r="CD233" t="s">
        <v>203</v>
      </c>
      <c r="CG233" s="122"/>
      <c r="CV233" s="388"/>
    </row>
    <row r="234" spans="1:100" s="376" customFormat="1" ht="30" customHeight="1">
      <c r="A234" s="472"/>
      <c r="B234" s="473"/>
      <c r="C234" s="473"/>
      <c r="D234" s="473"/>
      <c r="E234" s="474"/>
      <c r="F234" s="473"/>
      <c r="G234" s="473"/>
      <c r="H234" s="421"/>
      <c r="I234" s="421"/>
      <c r="J234" s="422"/>
      <c r="K234" s="475"/>
      <c r="L234" s="475"/>
      <c r="R234" s="387"/>
      <c r="S234" s="387"/>
      <c r="T234" s="387"/>
      <c r="U234" s="387"/>
      <c r="V234" s="387"/>
      <c r="W234" s="387"/>
      <c r="X234" s="387"/>
      <c r="AQ234" s="476"/>
      <c r="BZ234" t="s">
        <v>369</v>
      </c>
      <c r="CA234" s="112" t="s">
        <v>200</v>
      </c>
      <c r="CB234" t="s">
        <v>201</v>
      </c>
      <c r="CC234" t="s">
        <v>202</v>
      </c>
      <c r="CD234" t="s">
        <v>203</v>
      </c>
      <c r="CE234"/>
      <c r="CF234"/>
      <c r="CG234" s="122"/>
    </row>
    <row r="235" spans="1:100" customFormat="1" ht="30" customHeight="1">
      <c r="A235" s="112" t="str">
        <f>IF($C$13=1,IF(K235="报价行",IF(F235&gt;0,1," ")," ")," ")</f>
        <v xml:space="preserve"> </v>
      </c>
      <c r="B235" s="414" t="str">
        <f>IF(A235=1,SUM($A$11:A235),"顶横梁")</f>
        <v>顶横梁</v>
      </c>
      <c r="C235" s="415" t="str">
        <f>B236&amp;IF(C240=1,CHAR(10)&amp;B237," ")</f>
        <v xml:space="preserve">Top Beam </v>
      </c>
      <c r="D235" s="634">
        <f>E236</f>
        <v>1350</v>
      </c>
      <c r="E235" s="635" t="str">
        <f>VLOOKUP(D236,常规材料表!$1:$1048576,28,0)&amp;VLOOKUP(D237,常规材料表!$1:$1048576,28,0)&amp;", "&amp;IF(E237&gt;0,E237&amp;" kg/level,"," ")</f>
        <v xml:space="preserve">HS80*40*1.5 mm,pitch 75, 3 claws, H200,  </v>
      </c>
      <c r="F235" s="460"/>
      <c r="G235" s="419" t="str">
        <f>IFERROR(Y235+D239*F239/F235,"-")</f>
        <v>-</v>
      </c>
      <c r="H235" s="420">
        <f>IFERROR(X235+H239,"-")</f>
        <v>27.862288078982303</v>
      </c>
      <c r="I235" s="421" t="s">
        <v>341</v>
      </c>
      <c r="J235" s="422"/>
      <c r="K235" s="423" t="s">
        <v>217</v>
      </c>
      <c r="L235" s="54"/>
      <c r="O235" s="250" t="s">
        <v>482</v>
      </c>
      <c r="P235" s="250"/>
      <c r="R235" s="387" t="s">
        <v>219</v>
      </c>
      <c r="S235" s="426" t="s">
        <v>21</v>
      </c>
      <c r="T235" s="426">
        <f>(T237*Y237+T238*Y238)/Y235</f>
        <v>4.2885115872497641</v>
      </c>
      <c r="U235" s="426">
        <f>(U237*Y237+U238*Y238)/Y235</f>
        <v>0.72730492884784292</v>
      </c>
      <c r="V235" s="426">
        <f>(V237*Y237+V238*Y238)/Y235</f>
        <v>0.70015986730812796</v>
      </c>
      <c r="W235" s="426">
        <f>AP237/Y235/1.13</f>
        <v>6.6113803149374178E-2</v>
      </c>
      <c r="X235" s="426">
        <f>SUM(T235:W235)*Y235</f>
        <v>27.862288078982303</v>
      </c>
      <c r="Y235" s="505">
        <f>SUM(Y237:Y238)</f>
        <v>4.8187224999999998</v>
      </c>
      <c r="Z235" s="505"/>
      <c r="AA235" t="s">
        <v>325</v>
      </c>
      <c r="AQ235" s="110"/>
      <c r="AX235" t="str">
        <f>VLOOKUP(D236,常规材料表!$1:$1048576,28,0)</f>
        <v>HS80*40*1.5 mm,</v>
      </c>
      <c r="AY235" s="494">
        <f>D235</f>
        <v>1350</v>
      </c>
      <c r="AZ235">
        <f>F235</f>
        <v>0</v>
      </c>
      <c r="BA235" s="256" t="str">
        <f>G235</f>
        <v>-</v>
      </c>
      <c r="BB235" t="e">
        <f>AZ235*BA235</f>
        <v>#VALUE!</v>
      </c>
      <c r="BC235" t="str">
        <f>VLOOKUP(D237,常规材料表!$1:$1048576,28,0)</f>
        <v>pitch 75, 3 claws, H200</v>
      </c>
      <c r="BE235" t="str">
        <f>"面宽"&amp;VLOOKUP(AA237,常规材料表!$1:$1048576,18,0)</f>
        <v>面宽60</v>
      </c>
      <c r="BR235" t="str">
        <f>I235</f>
        <v>Orange Ral2004</v>
      </c>
      <c r="BZ235" t="s">
        <v>369</v>
      </c>
      <c r="CA235" s="112" t="s">
        <v>200</v>
      </c>
      <c r="CB235" t="s">
        <v>201</v>
      </c>
      <c r="CC235" t="s">
        <v>202</v>
      </c>
      <c r="CD235" t="s">
        <v>203</v>
      </c>
      <c r="CG235" s="122"/>
      <c r="CV235" s="388"/>
    </row>
    <row r="236" spans="1:100" customFormat="1" ht="30" customHeight="1" outlineLevel="1">
      <c r="A236" s="112"/>
      <c r="B236" s="418" t="s">
        <v>483</v>
      </c>
      <c r="C236" s="418" t="s">
        <v>166</v>
      </c>
      <c r="D236" s="513" t="str">
        <f>D229</f>
        <v>HS8040.15</v>
      </c>
      <c r="E236" s="636">
        <f>E229</f>
        <v>1350</v>
      </c>
      <c r="F236" s="418"/>
      <c r="G236" s="514" t="s">
        <v>236</v>
      </c>
      <c r="H236" s="421"/>
      <c r="I236" s="421"/>
      <c r="J236" s="422"/>
      <c r="K236" s="54" t="s">
        <v>237</v>
      </c>
      <c r="L236" s="54"/>
      <c r="O236" s="250" t="s">
        <v>482</v>
      </c>
      <c r="P236" s="250"/>
      <c r="R236" s="421" t="s">
        <v>238</v>
      </c>
      <c r="S236" s="420" t="s">
        <v>239</v>
      </c>
      <c r="T236" s="421" t="s">
        <v>240</v>
      </c>
      <c r="U236" s="421" t="s">
        <v>241</v>
      </c>
      <c r="V236" s="421" t="s">
        <v>242</v>
      </c>
      <c r="W236" s="420" t="s">
        <v>207</v>
      </c>
      <c r="X236" s="421" t="s">
        <v>243</v>
      </c>
      <c r="Y236" s="414" t="s">
        <v>244</v>
      </c>
      <c r="Z236" s="414" t="s">
        <v>159</v>
      </c>
      <c r="AA236" s="506" t="s">
        <v>353</v>
      </c>
      <c r="AB236" s="507" t="s">
        <v>354</v>
      </c>
      <c r="AC236" s="507" t="s">
        <v>355</v>
      </c>
      <c r="AD236" s="508"/>
      <c r="AE236" s="418" t="s">
        <v>318</v>
      </c>
      <c r="AF236" s="509" t="s">
        <v>226</v>
      </c>
      <c r="AG236" s="509" t="s">
        <v>356</v>
      </c>
      <c r="AH236" s="509" t="s">
        <v>357</v>
      </c>
      <c r="AI236" s="507" t="s">
        <v>358</v>
      </c>
      <c r="AJ236" s="507" t="s">
        <v>359</v>
      </c>
      <c r="AK236" s="508" t="s">
        <v>360</v>
      </c>
      <c r="AL236" s="509" t="s">
        <v>231</v>
      </c>
      <c r="AM236" s="509" t="s">
        <v>232</v>
      </c>
      <c r="AN236" s="509" t="s">
        <v>102</v>
      </c>
      <c r="AO236" s="509" t="s">
        <v>74</v>
      </c>
      <c r="AP236" s="509" t="s">
        <v>21</v>
      </c>
      <c r="AQ236" s="110"/>
      <c r="AW236">
        <f>IFERROR(Y237*F235,"-")</f>
        <v>0</v>
      </c>
      <c r="AX236" t="s">
        <v>156</v>
      </c>
      <c r="AY236" t="s">
        <v>246</v>
      </c>
      <c r="AZ236" t="s">
        <v>102</v>
      </c>
      <c r="BA236" t="s">
        <v>158</v>
      </c>
      <c r="BB236" t="s">
        <v>247</v>
      </c>
      <c r="BC236" t="s">
        <v>248</v>
      </c>
      <c r="BD236" t="s">
        <v>249</v>
      </c>
      <c r="BE236" t="s">
        <v>250</v>
      </c>
      <c r="BF236" t="s">
        <v>251</v>
      </c>
      <c r="BG236" t="s">
        <v>252</v>
      </c>
      <c r="BH236" t="s">
        <v>253</v>
      </c>
      <c r="BI236" t="s">
        <v>254</v>
      </c>
      <c r="BJ236" t="s">
        <v>255</v>
      </c>
      <c r="BK236" t="s">
        <v>256</v>
      </c>
      <c r="BL236" t="s">
        <v>257</v>
      </c>
      <c r="BM236" t="s">
        <v>258</v>
      </c>
      <c r="BZ236" t="s">
        <v>369</v>
      </c>
      <c r="CA236" s="112" t="s">
        <v>200</v>
      </c>
      <c r="CB236" t="s">
        <v>201</v>
      </c>
      <c r="CC236" t="s">
        <v>202</v>
      </c>
      <c r="CD236" t="s">
        <v>203</v>
      </c>
      <c r="CG236" s="122"/>
      <c r="CV236" s="388"/>
    </row>
    <row r="237" spans="1:100" customFormat="1" ht="30" customHeight="1" outlineLevel="1">
      <c r="A237" s="112"/>
      <c r="B237" s="418" t="s">
        <v>482</v>
      </c>
      <c r="C237" s="418" t="s">
        <v>362</v>
      </c>
      <c r="D237" s="54" t="s">
        <v>161</v>
      </c>
      <c r="E237" s="415"/>
      <c r="F237" s="418"/>
      <c r="G237" s="627" t="s">
        <v>236</v>
      </c>
      <c r="H237" s="421"/>
      <c r="I237" s="421"/>
      <c r="J237" s="422"/>
      <c r="K237" s="54" t="s">
        <v>237</v>
      </c>
      <c r="L237" s="54"/>
      <c r="O237" s="250" t="s">
        <v>482</v>
      </c>
      <c r="P237" s="250"/>
      <c r="Q237" s="388" t="s">
        <v>330</v>
      </c>
      <c r="R237" s="422">
        <f>AG237</f>
        <v>4.28</v>
      </c>
      <c r="S237" s="420">
        <v>1.01</v>
      </c>
      <c r="T237" s="519">
        <f>R237*S237/1.13</f>
        <v>3.8254867256637173</v>
      </c>
      <c r="U237" s="520">
        <f>AH237/Y237+0.25</f>
        <v>0.86832569499472068</v>
      </c>
      <c r="V237" s="520">
        <f>IF(AE237="喷塑",AI237*AC237*AF237/1000000/1.13/Y237,AF237/1.13)</f>
        <v>0.70915938116208677</v>
      </c>
      <c r="W237" s="520"/>
      <c r="X237" s="519">
        <f>(T237+U237+V237)*Y237</f>
        <v>20.097555778097348</v>
      </c>
      <c r="Y237" s="521">
        <f>AK237*AJ237*AC237*Z240/1000000</f>
        <v>3.7197225</v>
      </c>
      <c r="Z237" s="508">
        <f>Y237*AB237</f>
        <v>3.7197225</v>
      </c>
      <c r="AA237" s="513" t="str">
        <f>D236</f>
        <v>HS8040.15</v>
      </c>
      <c r="AB237" s="460">
        <v>1</v>
      </c>
      <c r="AC237" s="460">
        <f>E236</f>
        <v>1350</v>
      </c>
      <c r="AD237" s="508"/>
      <c r="AE237" s="514" t="str">
        <f>G236</f>
        <v>喷塑</v>
      </c>
      <c r="AF237" s="515">
        <f>IF(AE237="预镀锌",0,IF(AE237="喷塑",VLOOKUP(AA237,常规材料表!$1:$1048576,12,0),IF(AE237="热镀锌",VLOOKUP(AA237,常规材料表!$1:$1048576,13,0),IF(AE237="冷镀锌",VLOOKUP(AA237,常规材料表!$1:$1048576,15,0),0))))</f>
        <v>9.1999999999999993</v>
      </c>
      <c r="AG237" s="515">
        <f>VLOOKUP(AA237,常规材料表!$1:$1048576,10,0)</f>
        <v>4.28</v>
      </c>
      <c r="AH237" s="515">
        <f>IF(AE237="预镀锌",VLOOKUP(AA237,常规材料表!$1:$1048576,11,0)+VLOOKUP(AA237,常规材料表!$1:$1048576,14,0),VLOOKUP(AA237,常规材料表!$1:$1048576,11,0))+IF(AC237&lt;8000,0,VLOOKUP(AA237,常规材料表!$1:$1048576,16,0))+IF(AC237&gt;1200,VLOOKUP(AA237,常规材料表!$1:$1048576,16,0),0)</f>
        <v>2.2999999999999998</v>
      </c>
      <c r="AI237" s="515">
        <f>2*IF(ISNUMBER(SEARCH("B",AA237)),AK237,(VLOOKUP(AA237,常规材料表!$1:$1048576,8,0)+VLOOKUP(AA237,常规材料表!$1:$1048576,9,0)))</f>
        <v>240</v>
      </c>
      <c r="AJ237" s="515">
        <f>VLOOKUP(AA237,常规材料表!$1:$1048576,6,0)</f>
        <v>1.5</v>
      </c>
      <c r="AK237" s="508">
        <f>VLOOKUP(AA237,常规材料表!$1:$1048576,7,0)</f>
        <v>234</v>
      </c>
      <c r="AL237" s="508" t="s">
        <v>363</v>
      </c>
      <c r="AM237" s="508" t="str">
        <f>VLOOKUP(AA240,常规材料表!$1:$1048576,17,0)</f>
        <v>S.Pin.ø7.L38</v>
      </c>
      <c r="AN237" s="508">
        <f>VLOOKUP(AA240,常规材料表!$1:$1048576,18,0)</f>
        <v>2</v>
      </c>
      <c r="AO237" s="508">
        <f>VLOOKUP(AM237,标准件价格!$C:$D,2,0)</f>
        <v>0.18</v>
      </c>
      <c r="AP237" s="508">
        <f>AN237*AO237</f>
        <v>0.36</v>
      </c>
      <c r="AQ237" s="110"/>
      <c r="BZ237" t="s">
        <v>369</v>
      </c>
      <c r="CA237" s="112" t="s">
        <v>200</v>
      </c>
      <c r="CB237" t="s">
        <v>201</v>
      </c>
      <c r="CC237" t="s">
        <v>202</v>
      </c>
      <c r="CD237" t="s">
        <v>203</v>
      </c>
      <c r="CG237" s="122"/>
      <c r="CV237" s="388"/>
    </row>
    <row r="238" spans="1:100" customFormat="1" ht="30" customHeight="1" outlineLevel="1">
      <c r="A238" s="112"/>
      <c r="B238" s="418"/>
      <c r="C238" s="112"/>
      <c r="D238" s="463"/>
      <c r="E238" s="415"/>
      <c r="F238" s="418"/>
      <c r="G238" s="418"/>
      <c r="H238" s="421"/>
      <c r="I238" s="421"/>
      <c r="J238" s="422"/>
      <c r="K238" s="54" t="s">
        <v>237</v>
      </c>
      <c r="L238" s="54"/>
      <c r="O238" s="250" t="s">
        <v>482</v>
      </c>
      <c r="P238" s="250"/>
      <c r="Q238" t="s">
        <v>362</v>
      </c>
      <c r="R238" s="524">
        <f>IFERROR(AG240,0)</f>
        <v>6.5514103730664202</v>
      </c>
      <c r="S238" s="420">
        <v>1.01</v>
      </c>
      <c r="T238" s="519">
        <f>R238*S238/1.13</f>
        <v>5.8556853776965356</v>
      </c>
      <c r="U238" s="421">
        <v>0.25</v>
      </c>
      <c r="V238" s="520">
        <f>IFERROR(IF(AE240="喷塑",AH240*AF240/Y238,AF240/1.13),0)</f>
        <v>0.66969972702456781</v>
      </c>
      <c r="W238" s="520">
        <f>IFERROR(AP237/Y238/1.13,0)</f>
        <v>0.28988541473745244</v>
      </c>
      <c r="X238" s="519">
        <f>IFERROR((T238+U238+V238+W238)*Y238,0)</f>
        <v>7.7647323008849529</v>
      </c>
      <c r="Y238" s="521">
        <f>IFERROR(VLOOKUP(AA240,常规材料表!$1:$1048576,3,0),0)</f>
        <v>1.099</v>
      </c>
      <c r="Z238" s="508">
        <f>Y238*AB237</f>
        <v>1.099</v>
      </c>
      <c r="AA238" s="506" t="s">
        <v>365</v>
      </c>
      <c r="AE238" s="418" t="s">
        <v>334</v>
      </c>
      <c r="AF238" s="509" t="s">
        <v>226</v>
      </c>
      <c r="AG238" s="508" t="s">
        <v>366</v>
      </c>
      <c r="AH238" s="508" t="s">
        <v>336</v>
      </c>
      <c r="AQ238" s="110"/>
      <c r="BZ238" t="s">
        <v>369</v>
      </c>
      <c r="CA238" s="112" t="s">
        <v>200</v>
      </c>
      <c r="CB238" t="s">
        <v>201</v>
      </c>
      <c r="CC238" t="s">
        <v>202</v>
      </c>
      <c r="CD238" t="s">
        <v>203</v>
      </c>
      <c r="CG238" s="122"/>
      <c r="CV238" s="388"/>
    </row>
    <row r="239" spans="1:100" customFormat="1" ht="30" customHeight="1" outlineLevel="1">
      <c r="A239" s="112"/>
      <c r="B239" s="418"/>
      <c r="C239" s="418" t="s">
        <v>481</v>
      </c>
      <c r="D239" s="640"/>
      <c r="E239" s="639"/>
      <c r="F239" s="539"/>
      <c r="G239" s="112"/>
      <c r="H239" s="421">
        <f>IFERROR(D239*(E239*1.02+E240+D240*1.13)/1.13*F239/F235,0)</f>
        <v>0</v>
      </c>
      <c r="I239" s="421"/>
      <c r="J239" s="422"/>
      <c r="K239" s="54"/>
      <c r="L239" s="54"/>
      <c r="O239" s="250" t="s">
        <v>482</v>
      </c>
      <c r="P239" s="250"/>
      <c r="R239" s="524"/>
      <c r="S239" s="420"/>
      <c r="T239" s="519"/>
      <c r="U239" s="421"/>
      <c r="V239" s="546"/>
      <c r="W239" s="520"/>
      <c r="X239" s="519"/>
      <c r="Y239" s="521"/>
      <c r="Z239" s="508"/>
      <c r="AA239" s="506"/>
      <c r="AE239" s="418"/>
      <c r="AF239" s="509"/>
      <c r="AG239" s="508"/>
      <c r="AH239" s="508"/>
      <c r="AQ239" s="110"/>
      <c r="BZ239" t="s">
        <v>369</v>
      </c>
      <c r="CA239" s="112" t="s">
        <v>200</v>
      </c>
      <c r="CB239" t="s">
        <v>201</v>
      </c>
      <c r="CC239" t="s">
        <v>202</v>
      </c>
      <c r="CD239" t="s">
        <v>203</v>
      </c>
      <c r="CG239" s="122"/>
      <c r="CV239" s="388"/>
    </row>
    <row r="240" spans="1:100" customFormat="1" ht="30" customHeight="1" outlineLevel="1">
      <c r="A240" s="112"/>
      <c r="B240" s="414">
        <v>0</v>
      </c>
      <c r="C240" s="465">
        <f>报价辅助计算!$E$13</f>
        <v>0</v>
      </c>
      <c r="D240" s="623"/>
      <c r="E240" s="623"/>
      <c r="F240" s="463"/>
      <c r="G240" s="418"/>
      <c r="H240" s="421"/>
      <c r="I240" s="421"/>
      <c r="J240" s="422"/>
      <c r="K240" s="54" t="s">
        <v>237</v>
      </c>
      <c r="L240" s="54"/>
      <c r="O240" s="250" t="s">
        <v>482</v>
      </c>
      <c r="P240" s="250"/>
      <c r="R240" s="421" t="s">
        <v>412</v>
      </c>
      <c r="S240" s="420">
        <v>1.41</v>
      </c>
      <c r="T240" s="421" t="s">
        <v>424</v>
      </c>
      <c r="U240" s="420">
        <v>7</v>
      </c>
      <c r="V240" s="546"/>
      <c r="W240" s="421" t="s">
        <v>34</v>
      </c>
      <c r="X240" s="520">
        <f>X235*S240/U240</f>
        <v>5.6122608844807207</v>
      </c>
      <c r="Y240" s="509" t="s">
        <v>277</v>
      </c>
      <c r="Z240" s="458">
        <v>7.85</v>
      </c>
      <c r="AA240" s="513" t="str">
        <f>D237</f>
        <v>Bracket.DE75-3H+pin</v>
      </c>
      <c r="AE240" s="514" t="str">
        <f>G237</f>
        <v>喷塑</v>
      </c>
      <c r="AF240" s="515">
        <f>IF(AE240="预镀锌",0,IF(AE240="喷塑",VLOOKUP(AA240,常规材料表!$1:$1048576,12,0),IF(AE240="热镀锌",VLOOKUP(AA240,常规材料表!$1:$1048576,13,0),IF(AE240="冷镀锌",VLOOKUP(AA240,常规材料表!$1:$1048576,15,0),0))))</f>
        <v>9.1999999999999993</v>
      </c>
      <c r="AG240" s="515">
        <f>VLOOKUP(AA240,常规材料表!$1:$1048576,10,0)</f>
        <v>6.5514103730664202</v>
      </c>
      <c r="AH240" s="508">
        <f>VLOOKUP(AA240,常规材料表!$1:$1048576,4,0)</f>
        <v>0.08</v>
      </c>
      <c r="AQ240" s="110"/>
      <c r="BZ240" t="s">
        <v>369</v>
      </c>
      <c r="CA240" s="112" t="s">
        <v>200</v>
      </c>
      <c r="CB240" t="s">
        <v>201</v>
      </c>
      <c r="CC240" t="s">
        <v>202</v>
      </c>
      <c r="CD240" t="s">
        <v>203</v>
      </c>
      <c r="CG240" s="122"/>
      <c r="CV240" s="388"/>
    </row>
    <row r="241" spans="1:100" s="376" customFormat="1" ht="30" customHeight="1">
      <c r="A241" s="472"/>
      <c r="B241" s="473"/>
      <c r="C241" s="473"/>
      <c r="D241" s="473"/>
      <c r="E241" s="474"/>
      <c r="F241" s="473"/>
      <c r="G241" s="473"/>
      <c r="H241" s="421"/>
      <c r="I241" s="421"/>
      <c r="J241" s="422"/>
      <c r="K241" s="475"/>
      <c r="L241" s="475"/>
      <c r="R241" s="387"/>
      <c r="S241" s="387"/>
      <c r="T241" s="387"/>
      <c r="U241" s="387"/>
      <c r="V241" s="387"/>
      <c r="W241" s="387"/>
      <c r="X241" s="387"/>
      <c r="AQ241" s="476"/>
      <c r="BZ241" t="s">
        <v>369</v>
      </c>
      <c r="CA241" s="112" t="s">
        <v>200</v>
      </c>
      <c r="CB241" t="s">
        <v>201</v>
      </c>
      <c r="CC241" t="s">
        <v>202</v>
      </c>
      <c r="CD241" t="s">
        <v>203</v>
      </c>
      <c r="CE241"/>
      <c r="CF241"/>
      <c r="CG241" s="122"/>
    </row>
    <row r="242" spans="1:100" customFormat="1" ht="30" customHeight="1">
      <c r="A242" s="112" t="str">
        <f>IF($C$13=1,IF(K242="报价行",IF(F242&gt;0,1," ")," ")," ")</f>
        <v xml:space="preserve"> </v>
      </c>
      <c r="B242" s="414" t="str">
        <f>IF(A242=1,SUM($A$11:A242),"顶拉")</f>
        <v>顶拉</v>
      </c>
      <c r="C242" s="415" t="str">
        <f>B243&amp;IF(C245=1,CHAR(10)&amp;B244," ")</f>
        <v xml:space="preserve">Top Brace </v>
      </c>
      <c r="D242" s="536"/>
      <c r="E242" s="641"/>
      <c r="F242" s="460"/>
      <c r="G242" s="419">
        <f>C243</f>
        <v>3.2067191497933258</v>
      </c>
      <c r="H242" s="420">
        <f>H243</f>
        <v>21.688379191726938</v>
      </c>
      <c r="I242" s="421" t="s">
        <v>341</v>
      </c>
      <c r="J242" s="422"/>
      <c r="K242" s="423" t="s">
        <v>217</v>
      </c>
      <c r="L242" s="54"/>
      <c r="O242" s="250" t="s">
        <v>484</v>
      </c>
      <c r="R242" s="387"/>
      <c r="S242" s="387"/>
      <c r="T242" s="387"/>
      <c r="U242" s="387"/>
      <c r="V242" s="387"/>
      <c r="W242" s="387"/>
      <c r="X242" s="387"/>
      <c r="AQ242" s="110"/>
      <c r="AX242">
        <f>E242</f>
        <v>0</v>
      </c>
      <c r="AY242" s="494">
        <f>D242</f>
        <v>0</v>
      </c>
      <c r="AZ242">
        <f>F242</f>
        <v>0</v>
      </c>
      <c r="BA242" s="256">
        <f>G242</f>
        <v>3.2067191497933258</v>
      </c>
      <c r="BB242">
        <f>AZ242*BA242</f>
        <v>0</v>
      </c>
      <c r="BC242" s="495"/>
      <c r="BR242" t="str">
        <f>I242</f>
        <v>Orange Ral2004</v>
      </c>
      <c r="BZ242" t="s">
        <v>484</v>
      </c>
      <c r="CB242" t="s">
        <v>201</v>
      </c>
      <c r="CG242" s="122"/>
      <c r="CV242" s="388"/>
    </row>
    <row r="243" spans="1:100" customFormat="1" ht="30" customHeight="1" outlineLevel="1">
      <c r="A243" s="112"/>
      <c r="B243" s="418" t="s">
        <v>485</v>
      </c>
      <c r="C243" s="642">
        <f>0.87*2*(SQRT(1590^2+850^2)/1000+0.04)</f>
        <v>3.2067191497933258</v>
      </c>
      <c r="D243" s="447"/>
      <c r="E243" s="545"/>
      <c r="F243" s="447"/>
      <c r="G243" s="627" t="s">
        <v>236</v>
      </c>
      <c r="H243" s="420">
        <f>((I244*1.01+J244+J245)/1.13+I245)*G242</f>
        <v>21.688379191726938</v>
      </c>
      <c r="I243" s="421"/>
      <c r="J243" s="422"/>
      <c r="K243" s="54" t="s">
        <v>237</v>
      </c>
      <c r="L243" s="54"/>
      <c r="O243" s="250" t="s">
        <v>484</v>
      </c>
      <c r="R243" s="387"/>
      <c r="S243" s="387"/>
      <c r="T243" s="387"/>
      <c r="U243" s="387"/>
      <c r="V243" s="387"/>
      <c r="W243" s="387"/>
      <c r="X243" s="387"/>
      <c r="AQ243" s="110"/>
      <c r="AX243" t="s">
        <v>156</v>
      </c>
      <c r="AY243" t="s">
        <v>246</v>
      </c>
      <c r="AZ243" t="s">
        <v>102</v>
      </c>
      <c r="BA243" t="s">
        <v>158</v>
      </c>
      <c r="BB243" t="s">
        <v>247</v>
      </c>
      <c r="BD243" t="s">
        <v>249</v>
      </c>
      <c r="BE243" t="s">
        <v>250</v>
      </c>
      <c r="BF243" t="s">
        <v>251</v>
      </c>
      <c r="BZ243" t="s">
        <v>484</v>
      </c>
      <c r="CB243" t="s">
        <v>201</v>
      </c>
      <c r="CG243" s="122"/>
      <c r="CV243" s="388"/>
    </row>
    <row r="244" spans="1:100" customFormat="1" ht="30" customHeight="1" outlineLevel="1">
      <c r="A244" s="112"/>
      <c r="B244" s="418" t="s">
        <v>484</v>
      </c>
      <c r="C244" s="418"/>
      <c r="D244" s="418"/>
      <c r="E244" s="545"/>
      <c r="F244" s="418"/>
      <c r="G244" s="418"/>
      <c r="H244" s="421"/>
      <c r="I244" s="418">
        <f>4.8</f>
        <v>4.8</v>
      </c>
      <c r="J244" s="418">
        <v>1.58</v>
      </c>
      <c r="K244" s="54" t="s">
        <v>237</v>
      </c>
      <c r="L244" s="54"/>
      <c r="O244" s="250" t="s">
        <v>484</v>
      </c>
      <c r="R244" s="387"/>
      <c r="S244" s="387"/>
      <c r="T244" s="387"/>
      <c r="U244" s="387"/>
      <c r="V244" s="387"/>
      <c r="W244" s="387"/>
      <c r="X244" s="387"/>
      <c r="AQ244" s="110"/>
      <c r="BZ244" t="s">
        <v>484</v>
      </c>
      <c r="CB244" t="s">
        <v>201</v>
      </c>
      <c r="CG244" s="122"/>
      <c r="CV244" s="388"/>
    </row>
    <row r="245" spans="1:100" customFormat="1" ht="30" customHeight="1" outlineLevel="1">
      <c r="A245" s="112"/>
      <c r="B245" s="414">
        <v>0</v>
      </c>
      <c r="C245" s="465">
        <f>报价辅助计算!$E$13</f>
        <v>0</v>
      </c>
      <c r="D245" s="418"/>
      <c r="E245" s="940"/>
      <c r="F245" s="941"/>
      <c r="G245" s="418"/>
      <c r="H245" s="421"/>
      <c r="I245" s="418">
        <f>0.8/C243*2+0.3</f>
        <v>0.79895233266783605</v>
      </c>
      <c r="J245" s="571">
        <f>(0.25*2*2)/C243</f>
        <v>0.31184520791739756</v>
      </c>
      <c r="K245" s="54" t="s">
        <v>237</v>
      </c>
      <c r="L245" s="54"/>
      <c r="O245" s="250" t="s">
        <v>484</v>
      </c>
      <c r="R245" s="387"/>
      <c r="S245" s="387"/>
      <c r="T245" s="387"/>
      <c r="U245" s="387"/>
      <c r="V245" s="387"/>
      <c r="W245" s="387"/>
      <c r="X245" s="387"/>
      <c r="AQ245" s="110"/>
      <c r="BZ245" t="s">
        <v>484</v>
      </c>
      <c r="CB245" t="s">
        <v>201</v>
      </c>
      <c r="CG245" s="122"/>
      <c r="CV245" s="388"/>
    </row>
    <row r="246" spans="1:100" s="376" customFormat="1" ht="30" customHeight="1">
      <c r="A246" s="472"/>
      <c r="B246" s="473"/>
      <c r="C246" s="473"/>
      <c r="D246" s="473"/>
      <c r="E246" s="474"/>
      <c r="F246" s="473"/>
      <c r="G246" s="473"/>
      <c r="H246" s="421"/>
      <c r="I246" s="421"/>
      <c r="J246" s="422"/>
      <c r="K246" s="475"/>
      <c r="L246" s="475"/>
      <c r="R246" s="387"/>
      <c r="S246" s="387"/>
      <c r="T246" s="387"/>
      <c r="U246" s="387"/>
      <c r="V246" s="387"/>
      <c r="W246" s="387"/>
      <c r="X246" s="387"/>
      <c r="AQ246" s="476"/>
      <c r="BZ246" t="s">
        <v>484</v>
      </c>
      <c r="CA246"/>
      <c r="CB246" t="s">
        <v>201</v>
      </c>
      <c r="CC246"/>
      <c r="CD246"/>
      <c r="CE246"/>
      <c r="CF246"/>
      <c r="CG246" s="122"/>
    </row>
    <row r="247" spans="1:100" customFormat="1" ht="30" customHeight="1">
      <c r="A247" s="112" t="str">
        <f>IF($C$13=1,IF(K247="报价行",IF(F247&gt;0,1," ")," ")," ")</f>
        <v xml:space="preserve"> </v>
      </c>
      <c r="B247" s="414" t="str">
        <f>IF(A247=1,SUM($A$11:A247),"背拉")</f>
        <v>背拉</v>
      </c>
      <c r="C247" s="415" t="str">
        <f>B248&amp;IF(C250=1,CHAR(10)&amp;B249," ")</f>
        <v xml:space="preserve">Back Brace </v>
      </c>
      <c r="D247" s="643"/>
      <c r="E247" s="643"/>
      <c r="F247" s="460"/>
      <c r="G247" s="419">
        <f>C248</f>
        <v>17.594199510477392</v>
      </c>
      <c r="H247" s="420">
        <f>H248</f>
        <v>112.81765317469075</v>
      </c>
      <c r="I247" s="421" t="s">
        <v>341</v>
      </c>
      <c r="J247" s="422"/>
      <c r="K247" s="423" t="s">
        <v>217</v>
      </c>
      <c r="L247" s="54"/>
      <c r="O247" s="250" t="s">
        <v>486</v>
      </c>
      <c r="R247" s="387"/>
      <c r="S247" s="387"/>
      <c r="T247" s="387"/>
      <c r="U247" s="387"/>
      <c r="V247" s="387"/>
      <c r="W247" s="387"/>
      <c r="X247" s="387"/>
      <c r="AQ247" s="110"/>
      <c r="AX247">
        <f>E247</f>
        <v>0</v>
      </c>
      <c r="AY247" s="494">
        <f>D247</f>
        <v>0</v>
      </c>
      <c r="AZ247">
        <f>F247</f>
        <v>0</v>
      </c>
      <c r="BA247" s="256">
        <f>G247</f>
        <v>17.594199510477392</v>
      </c>
      <c r="BB247">
        <f>AZ247*BA247</f>
        <v>0</v>
      </c>
      <c r="BC247" s="495"/>
      <c r="BR247" t="str">
        <f>I247</f>
        <v>Orange Ral2004</v>
      </c>
      <c r="BZ247" t="s">
        <v>486</v>
      </c>
      <c r="CB247" t="s">
        <v>201</v>
      </c>
      <c r="CG247" s="122"/>
      <c r="CV247" s="388"/>
    </row>
    <row r="248" spans="1:100" customFormat="1" ht="30" customHeight="1" outlineLevel="1">
      <c r="A248" s="112"/>
      <c r="B248" s="418" t="s">
        <v>487</v>
      </c>
      <c r="C248" s="642">
        <f>1.13*6*(SQRT(1590^2+2000^2)/1000+0.04)</f>
        <v>17.594199510477392</v>
      </c>
      <c r="D248" s="644">
        <v>6</v>
      </c>
      <c r="E248" s="381"/>
      <c r="F248" s="380"/>
      <c r="G248" s="627" t="s">
        <v>236</v>
      </c>
      <c r="H248" s="420">
        <f>((I249*1.01+J249+J250)/1.13+I250)*G247</f>
        <v>112.81765317469075</v>
      </c>
      <c r="I248" s="421"/>
      <c r="J248" s="422"/>
      <c r="K248" s="54" t="s">
        <v>237</v>
      </c>
      <c r="L248" s="54"/>
      <c r="O248" s="250" t="s">
        <v>486</v>
      </c>
      <c r="R248" s="387"/>
      <c r="S248" s="387"/>
      <c r="T248" s="387"/>
      <c r="U248" s="387"/>
      <c r="V248" s="387"/>
      <c r="W248" s="387"/>
      <c r="X248" s="387"/>
      <c r="AQ248" s="110"/>
      <c r="AX248" t="s">
        <v>156</v>
      </c>
      <c r="AY248" t="s">
        <v>246</v>
      </c>
      <c r="AZ248" t="s">
        <v>102</v>
      </c>
      <c r="BA248" t="s">
        <v>158</v>
      </c>
      <c r="BB248" t="s">
        <v>247</v>
      </c>
      <c r="BD248" t="s">
        <v>249</v>
      </c>
      <c r="BE248" t="s">
        <v>250</v>
      </c>
      <c r="BF248" t="s">
        <v>251</v>
      </c>
      <c r="BZ248" t="s">
        <v>486</v>
      </c>
      <c r="CB248" t="s">
        <v>201</v>
      </c>
      <c r="CG248" s="122"/>
      <c r="CV248" s="388"/>
    </row>
    <row r="249" spans="1:100" customFormat="1" ht="30" customHeight="1" outlineLevel="1">
      <c r="A249" s="112"/>
      <c r="B249" s="418" t="s">
        <v>486</v>
      </c>
      <c r="C249" s="418"/>
      <c r="D249" s="380"/>
      <c r="E249" s="381"/>
      <c r="F249" s="418"/>
      <c r="G249" s="418"/>
      <c r="H249" s="421"/>
      <c r="I249" s="418">
        <f>4.8</f>
        <v>4.8</v>
      </c>
      <c r="J249" s="418">
        <v>1.58</v>
      </c>
      <c r="K249" s="54" t="s">
        <v>237</v>
      </c>
      <c r="L249" s="54"/>
      <c r="O249" s="250" t="s">
        <v>486</v>
      </c>
      <c r="R249" s="387"/>
      <c r="S249" s="387"/>
      <c r="T249" s="387"/>
      <c r="U249" s="387"/>
      <c r="V249" s="387"/>
      <c r="W249" s="387"/>
      <c r="X249" s="387"/>
      <c r="AQ249" s="110"/>
      <c r="BZ249" t="s">
        <v>486</v>
      </c>
      <c r="CB249" t="s">
        <v>201</v>
      </c>
      <c r="CG249" s="122"/>
      <c r="CV249" s="388"/>
    </row>
    <row r="250" spans="1:100" customFormat="1" ht="30" customHeight="1" outlineLevel="1">
      <c r="A250" s="112"/>
      <c r="B250" s="414">
        <v>0</v>
      </c>
      <c r="C250" s="465">
        <f>报价辅助计算!$E$13</f>
        <v>0</v>
      </c>
      <c r="D250" s="418"/>
      <c r="E250" s="940"/>
      <c r="F250" s="941"/>
      <c r="G250" s="418"/>
      <c r="H250" s="421"/>
      <c r="I250" s="418">
        <f>0.8/C248*D248+0.3</f>
        <v>0.5728171859789124</v>
      </c>
      <c r="J250" s="571">
        <f>(0.25*2*D248)/C248</f>
        <v>0.17051074123682025</v>
      </c>
      <c r="K250" s="54" t="s">
        <v>237</v>
      </c>
      <c r="L250" s="54"/>
      <c r="O250" s="250" t="s">
        <v>486</v>
      </c>
      <c r="R250" s="387"/>
      <c r="S250" s="387"/>
      <c r="T250" s="387"/>
      <c r="U250" s="387"/>
      <c r="V250" s="387"/>
      <c r="W250" s="387"/>
      <c r="X250" s="387"/>
      <c r="AQ250" s="110"/>
      <c r="BZ250" t="s">
        <v>486</v>
      </c>
      <c r="CB250" t="s">
        <v>201</v>
      </c>
      <c r="CG250" s="122"/>
      <c r="CV250" s="388"/>
    </row>
    <row r="251" spans="1:100" s="376" customFormat="1" ht="30" customHeight="1">
      <c r="A251" s="472"/>
      <c r="B251" s="473"/>
      <c r="C251" s="473"/>
      <c r="D251" s="473"/>
      <c r="E251" s="474"/>
      <c r="F251" s="473"/>
      <c r="G251" s="473"/>
      <c r="H251" s="421"/>
      <c r="I251" s="421"/>
      <c r="J251" s="422"/>
      <c r="K251" s="475"/>
      <c r="L251" s="475"/>
      <c r="R251" s="387"/>
      <c r="S251" s="387"/>
      <c r="T251" s="387"/>
      <c r="U251" s="387"/>
      <c r="V251" s="387"/>
      <c r="W251" s="387"/>
      <c r="X251" s="387"/>
      <c r="AQ251" s="476"/>
      <c r="BZ251" t="s">
        <v>486</v>
      </c>
      <c r="CA251"/>
      <c r="CB251" t="s">
        <v>201</v>
      </c>
      <c r="CC251"/>
      <c r="CD251"/>
      <c r="CE251"/>
      <c r="CF251"/>
      <c r="CG251" s="122"/>
    </row>
    <row r="252" spans="1:100" customFormat="1" ht="30" customHeight="1">
      <c r="A252" s="112" t="str">
        <f>IF($C$13=1,IF(K252="报价行",IF(F252&gt;0,1," ")," ")," ")</f>
        <v xml:space="preserve"> </v>
      </c>
      <c r="B252" s="414" t="str">
        <f>IF(A252=1,SUM($A$11:A252),"单牛腿")</f>
        <v>单牛腿</v>
      </c>
      <c r="C252" s="415" t="str">
        <f>B253&amp;IF(C255=1,CHAR(10)&amp;B254," ")</f>
        <v xml:space="preserve">Single bracket </v>
      </c>
      <c r="D252" s="645"/>
      <c r="E252" s="641"/>
      <c r="F252" s="460"/>
      <c r="G252" s="419">
        <f>C253</f>
        <v>0</v>
      </c>
      <c r="H252" s="420" t="str">
        <f>H253</f>
        <v>-</v>
      </c>
      <c r="I252" s="421" t="s">
        <v>341</v>
      </c>
      <c r="J252" s="422"/>
      <c r="K252" s="423" t="s">
        <v>217</v>
      </c>
      <c r="L252" s="54"/>
      <c r="O252" s="250" t="s">
        <v>488</v>
      </c>
      <c r="R252" s="387"/>
      <c r="S252" s="387"/>
      <c r="T252" s="387"/>
      <c r="U252" s="387"/>
      <c r="V252" s="387"/>
      <c r="W252" s="387"/>
      <c r="X252" s="387"/>
      <c r="AQ252" s="110"/>
      <c r="AX252">
        <f>E252</f>
        <v>0</v>
      </c>
      <c r="AY252" s="494">
        <f>D252</f>
        <v>0</v>
      </c>
      <c r="AZ252">
        <f>F252</f>
        <v>0</v>
      </c>
      <c r="BA252" s="256">
        <f>G252</f>
        <v>0</v>
      </c>
      <c r="BB252">
        <f>AZ252*BA252</f>
        <v>0</v>
      </c>
      <c r="BC252" s="495"/>
      <c r="BR252" t="str">
        <f>I252</f>
        <v>Orange Ral2004</v>
      </c>
      <c r="BZ252" t="s">
        <v>488</v>
      </c>
      <c r="CB252" t="s">
        <v>201</v>
      </c>
      <c r="CG252" s="122"/>
      <c r="CV252" s="388"/>
    </row>
    <row r="253" spans="1:100" customFormat="1" ht="30" customHeight="1" outlineLevel="1">
      <c r="A253" s="112"/>
      <c r="B253" s="418" t="s">
        <v>489</v>
      </c>
      <c r="C253" s="646">
        <f>0.2*D252/1000*7.85*3</f>
        <v>0</v>
      </c>
      <c r="D253" s="418">
        <f>6.5</f>
        <v>6.5</v>
      </c>
      <c r="E253" s="418">
        <f>IF(G253="喷塑",0.95,0)</f>
        <v>0.95</v>
      </c>
      <c r="F253" s="571" t="str">
        <f>IFERROR(0.17*2/C253,"-")</f>
        <v>-</v>
      </c>
      <c r="G253" s="627" t="s">
        <v>236</v>
      </c>
      <c r="H253" s="420" t="str">
        <f>IFERROR((D253*1.01+E253+F253)*C253/1.13,"-")</f>
        <v>-</v>
      </c>
      <c r="I253" s="421"/>
      <c r="J253" s="422"/>
      <c r="K253" s="54" t="s">
        <v>237</v>
      </c>
      <c r="L253" s="54"/>
      <c r="O253" s="250" t="s">
        <v>488</v>
      </c>
      <c r="R253" s="387"/>
      <c r="S253" s="387"/>
      <c r="T253" s="387"/>
      <c r="U253" s="387"/>
      <c r="V253" s="387"/>
      <c r="W253" s="387"/>
      <c r="X253" s="387"/>
      <c r="AQ253" s="110"/>
      <c r="AX253" t="s">
        <v>156</v>
      </c>
      <c r="AY253" t="s">
        <v>246</v>
      </c>
      <c r="AZ253" t="s">
        <v>102</v>
      </c>
      <c r="BA253" t="s">
        <v>158</v>
      </c>
      <c r="BB253" t="s">
        <v>247</v>
      </c>
      <c r="BD253" t="s">
        <v>249</v>
      </c>
      <c r="BE253" t="s">
        <v>250</v>
      </c>
      <c r="BF253" t="s">
        <v>251</v>
      </c>
      <c r="BZ253" t="s">
        <v>488</v>
      </c>
      <c r="CB253" t="s">
        <v>201</v>
      </c>
      <c r="CG253" s="122"/>
      <c r="CV253" s="388"/>
    </row>
    <row r="254" spans="1:100" customFormat="1" ht="30" customHeight="1" outlineLevel="1">
      <c r="A254" s="112"/>
      <c r="B254" s="418" t="s">
        <v>488</v>
      </c>
      <c r="C254" s="418"/>
      <c r="D254" s="418"/>
      <c r="E254" s="418"/>
      <c r="F254" s="418"/>
      <c r="G254" s="418"/>
      <c r="H254" s="421"/>
      <c r="I254" s="421"/>
      <c r="J254" s="422"/>
      <c r="K254" s="54" t="s">
        <v>237</v>
      </c>
      <c r="L254" s="54"/>
      <c r="O254" s="250" t="s">
        <v>488</v>
      </c>
      <c r="R254" s="387"/>
      <c r="S254" s="387"/>
      <c r="T254" s="387"/>
      <c r="U254" s="387"/>
      <c r="V254" s="387"/>
      <c r="W254" s="387"/>
      <c r="X254" s="387"/>
      <c r="AQ254" s="110"/>
      <c r="BZ254" t="s">
        <v>488</v>
      </c>
      <c r="CB254" t="s">
        <v>201</v>
      </c>
      <c r="CG254" s="122"/>
      <c r="CV254" s="388"/>
    </row>
    <row r="255" spans="1:100" customFormat="1" ht="30" customHeight="1" outlineLevel="1">
      <c r="A255" s="112"/>
      <c r="B255" s="414">
        <v>0</v>
      </c>
      <c r="C255" s="465">
        <f>报价辅助计算!$E$13</f>
        <v>0</v>
      </c>
      <c r="D255" s="418"/>
      <c r="E255" s="940" t="s">
        <v>490</v>
      </c>
      <c r="F255" s="941"/>
      <c r="G255" s="418"/>
      <c r="H255" s="421"/>
      <c r="I255" s="421"/>
      <c r="J255" s="422"/>
      <c r="K255" s="54" t="s">
        <v>237</v>
      </c>
      <c r="L255" s="54"/>
      <c r="O255" s="250" t="s">
        <v>488</v>
      </c>
      <c r="R255" s="387"/>
      <c r="S255" s="387"/>
      <c r="T255" s="387"/>
      <c r="U255" s="387"/>
      <c r="V255" s="387"/>
      <c r="W255" s="387"/>
      <c r="X255" s="387"/>
      <c r="AQ255" s="110"/>
      <c r="BZ255" t="s">
        <v>488</v>
      </c>
      <c r="CB255" t="s">
        <v>201</v>
      </c>
      <c r="CG255" s="122"/>
      <c r="CV255" s="388"/>
    </row>
    <row r="256" spans="1:100" s="376" customFormat="1" ht="30" customHeight="1">
      <c r="A256" s="472"/>
      <c r="B256" s="473"/>
      <c r="C256" s="473"/>
      <c r="D256" s="473"/>
      <c r="E256" s="474"/>
      <c r="F256" s="473"/>
      <c r="G256" s="473"/>
      <c r="H256" s="421"/>
      <c r="I256" s="421"/>
      <c r="J256" s="422"/>
      <c r="K256" s="475"/>
      <c r="L256" s="475"/>
      <c r="R256" s="387"/>
      <c r="S256" s="387"/>
      <c r="T256" s="387"/>
      <c r="U256" s="387"/>
      <c r="V256" s="387"/>
      <c r="W256" s="387"/>
      <c r="X256" s="387"/>
      <c r="AQ256" s="476"/>
      <c r="BZ256" t="s">
        <v>488</v>
      </c>
      <c r="CA256"/>
      <c r="CB256" t="s">
        <v>201</v>
      </c>
      <c r="CC256"/>
      <c r="CD256"/>
      <c r="CE256"/>
      <c r="CF256"/>
      <c r="CG256" s="122"/>
    </row>
    <row r="257" spans="1:100" customFormat="1" ht="30" customHeight="1">
      <c r="A257" s="112" t="str">
        <f>IF($C$13=1,IF(K257="报价行",IF(F257&gt;0,1," ")," ")," ")</f>
        <v xml:space="preserve"> </v>
      </c>
      <c r="B257" s="414" t="str">
        <f>IF(A257=1,SUM($A$11:A257),"双牛腿")</f>
        <v>双牛腿</v>
      </c>
      <c r="C257" s="415" t="str">
        <f>B258&amp;IF(C260=1,CHAR(10)&amp;B259," ")</f>
        <v xml:space="preserve">Double bracket </v>
      </c>
      <c r="D257" s="643"/>
      <c r="E257" s="643"/>
      <c r="F257" s="460"/>
      <c r="G257" s="419">
        <f>C258</f>
        <v>0</v>
      </c>
      <c r="H257" s="420" t="str">
        <f>H258</f>
        <v>-</v>
      </c>
      <c r="I257" s="421" t="s">
        <v>341</v>
      </c>
      <c r="J257" s="422"/>
      <c r="K257" s="423" t="s">
        <v>217</v>
      </c>
      <c r="L257" s="54"/>
      <c r="O257" s="250" t="s">
        <v>491</v>
      </c>
      <c r="R257" s="387"/>
      <c r="S257" s="387"/>
      <c r="T257" s="387"/>
      <c r="U257" s="387"/>
      <c r="V257" s="387"/>
      <c r="W257" s="387"/>
      <c r="X257" s="387"/>
      <c r="AQ257" s="110"/>
      <c r="AX257">
        <f>E257</f>
        <v>0</v>
      </c>
      <c r="AY257" s="494">
        <f>D257</f>
        <v>0</v>
      </c>
      <c r="AZ257">
        <f>F257</f>
        <v>0</v>
      </c>
      <c r="BA257" s="256">
        <f>G257</f>
        <v>0</v>
      </c>
      <c r="BB257">
        <f>AZ257*BA257</f>
        <v>0</v>
      </c>
      <c r="BC257" s="495"/>
      <c r="BR257" t="str">
        <f>I257</f>
        <v>Orange Ral2004</v>
      </c>
      <c r="BZ257" t="s">
        <v>491</v>
      </c>
      <c r="CB257" t="s">
        <v>201</v>
      </c>
      <c r="CG257" s="122"/>
      <c r="CV257" s="388"/>
    </row>
    <row r="258" spans="1:100" customFormat="1" ht="30" customHeight="1" outlineLevel="1">
      <c r="A258" s="112"/>
      <c r="B258" s="418" t="s">
        <v>492</v>
      </c>
      <c r="C258" s="646">
        <f>0.2*D257/1000*7.85*3</f>
        <v>0</v>
      </c>
      <c r="D258" s="418">
        <f>6.5</f>
        <v>6.5</v>
      </c>
      <c r="E258" s="418">
        <f>IF(G253="喷塑",0.95,0)</f>
        <v>0.95</v>
      </c>
      <c r="F258" s="571" t="str">
        <f>IFERROR(0.17*2/C258,"-")</f>
        <v>-</v>
      </c>
      <c r="G258" s="627" t="s">
        <v>236</v>
      </c>
      <c r="H258" s="420" t="str">
        <f>IFERROR((D258*1.02+E258+F258)*C258/1.13,"-")</f>
        <v>-</v>
      </c>
      <c r="I258" s="421"/>
      <c r="J258" s="422"/>
      <c r="K258" s="54" t="s">
        <v>237</v>
      </c>
      <c r="L258" s="54"/>
      <c r="O258" s="250" t="s">
        <v>491</v>
      </c>
      <c r="R258" s="387"/>
      <c r="S258" s="387"/>
      <c r="T258" s="387"/>
      <c r="U258" s="387"/>
      <c r="V258" s="387"/>
      <c r="W258" s="387"/>
      <c r="X258" s="387"/>
      <c r="AQ258" s="110"/>
      <c r="AX258" t="s">
        <v>156</v>
      </c>
      <c r="AY258" t="s">
        <v>246</v>
      </c>
      <c r="AZ258" t="s">
        <v>102</v>
      </c>
      <c r="BA258" t="s">
        <v>158</v>
      </c>
      <c r="BB258" t="s">
        <v>247</v>
      </c>
      <c r="BD258" t="s">
        <v>249</v>
      </c>
      <c r="BE258" t="s">
        <v>250</v>
      </c>
      <c r="BF258" t="s">
        <v>251</v>
      </c>
      <c r="BZ258" t="s">
        <v>491</v>
      </c>
      <c r="CB258" t="s">
        <v>201</v>
      </c>
      <c r="CG258" s="122"/>
      <c r="CV258" s="388"/>
    </row>
    <row r="259" spans="1:100" customFormat="1" ht="30" customHeight="1" outlineLevel="1">
      <c r="A259" s="112"/>
      <c r="B259" s="418" t="s">
        <v>491</v>
      </c>
      <c r="C259" s="418"/>
      <c r="D259" s="418"/>
      <c r="E259" s="418"/>
      <c r="F259" s="418"/>
      <c r="G259" s="418"/>
      <c r="H259" s="421"/>
      <c r="I259" s="421"/>
      <c r="J259" s="422"/>
      <c r="K259" s="54" t="s">
        <v>237</v>
      </c>
      <c r="L259" s="54"/>
      <c r="O259" s="250" t="s">
        <v>491</v>
      </c>
      <c r="R259" s="387"/>
      <c r="S259" s="387"/>
      <c r="T259" s="387"/>
      <c r="U259" s="387"/>
      <c r="V259" s="387"/>
      <c r="W259" s="387"/>
      <c r="X259" s="387"/>
      <c r="AQ259" s="110"/>
      <c r="BZ259" t="s">
        <v>491</v>
      </c>
      <c r="CB259" t="s">
        <v>201</v>
      </c>
      <c r="CG259" s="122"/>
      <c r="CV259" s="388"/>
    </row>
    <row r="260" spans="1:100" customFormat="1" ht="30" customHeight="1" outlineLevel="1">
      <c r="A260" s="112"/>
      <c r="B260" s="414">
        <v>0</v>
      </c>
      <c r="C260" s="465">
        <f>报价辅助计算!$E$13</f>
        <v>0</v>
      </c>
      <c r="D260" s="418"/>
      <c r="E260" s="940" t="s">
        <v>493</v>
      </c>
      <c r="F260" s="941"/>
      <c r="G260" s="418"/>
      <c r="H260" s="421"/>
      <c r="I260" s="421"/>
      <c r="J260" s="422"/>
      <c r="K260" s="54" t="s">
        <v>237</v>
      </c>
      <c r="L260" s="54"/>
      <c r="O260" s="250" t="s">
        <v>491</v>
      </c>
      <c r="R260" s="387"/>
      <c r="S260" s="387"/>
      <c r="T260" s="387"/>
      <c r="U260" s="387"/>
      <c r="V260" s="387"/>
      <c r="W260" s="387"/>
      <c r="X260" s="387"/>
      <c r="AQ260" s="110"/>
      <c r="BZ260" t="s">
        <v>491</v>
      </c>
      <c r="CB260" t="s">
        <v>201</v>
      </c>
      <c r="CG260" s="122"/>
      <c r="CV260" s="388"/>
    </row>
    <row r="261" spans="1:100" s="376" customFormat="1" ht="30" customHeight="1">
      <c r="A261" s="472"/>
      <c r="B261" s="473"/>
      <c r="C261" s="473"/>
      <c r="D261" s="473"/>
      <c r="E261" s="474"/>
      <c r="F261" s="473"/>
      <c r="G261" s="473"/>
      <c r="H261" s="421"/>
      <c r="I261" s="421"/>
      <c r="J261" s="422"/>
      <c r="K261" s="475"/>
      <c r="L261" s="475"/>
      <c r="R261" s="387"/>
      <c r="S261" s="387"/>
      <c r="T261" s="387"/>
      <c r="U261" s="387"/>
      <c r="V261" s="387"/>
      <c r="W261" s="387"/>
      <c r="X261" s="387"/>
      <c r="AQ261" s="476"/>
      <c r="BZ261" t="s">
        <v>491</v>
      </c>
      <c r="CA261"/>
      <c r="CB261" t="s">
        <v>201</v>
      </c>
      <c r="CC261"/>
      <c r="CD261"/>
      <c r="CE261"/>
      <c r="CF261"/>
      <c r="CG261" s="122"/>
    </row>
    <row r="262" spans="1:100" customFormat="1" ht="30" customHeight="1">
      <c r="A262" s="112" t="str">
        <f>IF($C$13=1,IF(K262="报价行",IF(F262&gt;0,1," ")," ")," ")</f>
        <v xml:space="preserve"> </v>
      </c>
      <c r="B262" s="414" t="str">
        <f>IF(A262=1,SUM($A$11:A262),"驶入式牛腿梁")</f>
        <v>驶入式牛腿梁</v>
      </c>
      <c r="C262" s="415" t="str">
        <f>B263&amp;IF(C265=1,CHAR(10)&amp;B264," ")</f>
        <v xml:space="preserve">Pallet rail </v>
      </c>
      <c r="D262" s="643"/>
      <c r="E262" s="643"/>
      <c r="F262" s="460"/>
      <c r="G262" s="419">
        <f>C263</f>
        <v>0.3</v>
      </c>
      <c r="H262" s="420">
        <f>H263</f>
        <v>1.2691712389380532</v>
      </c>
      <c r="I262" s="421" t="s">
        <v>425</v>
      </c>
      <c r="J262" s="422"/>
      <c r="K262" s="423" t="s">
        <v>217</v>
      </c>
      <c r="L262" s="54"/>
      <c r="O262" s="250" t="s">
        <v>494</v>
      </c>
      <c r="R262" s="387"/>
      <c r="S262" s="387"/>
      <c r="T262" s="387"/>
      <c r="U262" s="387"/>
      <c r="V262" s="387"/>
      <c r="W262" s="387"/>
      <c r="X262" s="387"/>
      <c r="AQ262" s="110"/>
      <c r="AX262">
        <f>E262</f>
        <v>0</v>
      </c>
      <c r="AY262" s="494">
        <f>D262</f>
        <v>0</v>
      </c>
      <c r="AZ262">
        <f>F262</f>
        <v>0</v>
      </c>
      <c r="BA262" s="256">
        <f>G262</f>
        <v>0.3</v>
      </c>
      <c r="BB262">
        <f>AZ262*BA262</f>
        <v>0</v>
      </c>
      <c r="BC262" s="495"/>
      <c r="BR262" t="str">
        <f>I262</f>
        <v>Pre gal</v>
      </c>
      <c r="BZ262" t="s">
        <v>494</v>
      </c>
      <c r="CB262" t="s">
        <v>201</v>
      </c>
      <c r="CG262" s="122"/>
      <c r="CV262" s="388"/>
    </row>
    <row r="263" spans="1:100" customFormat="1" ht="30" customHeight="1" outlineLevel="1">
      <c r="A263" s="112"/>
      <c r="B263" s="623" t="s">
        <v>495</v>
      </c>
      <c r="C263" s="642">
        <f>0.258*2*7.85*D262/1000+0.3</f>
        <v>0.3</v>
      </c>
      <c r="D263" s="418">
        <f>VLOOKUP(C264,材料信息更新!$B:$C,2,0)</f>
        <v>4.67</v>
      </c>
      <c r="E263" s="418">
        <f>0.05*1.13</f>
        <v>5.6499999999999995E-2</v>
      </c>
      <c r="F263" s="571">
        <f>D262/1000*2*0.25/C263</f>
        <v>0</v>
      </c>
      <c r="G263" s="627" t="s">
        <v>236</v>
      </c>
      <c r="H263" s="420">
        <f>(D263*1.01+E263*1.13+F263+IF(G263="喷塑",E264,0))*G262/1.13</f>
        <v>1.2691712389380532</v>
      </c>
      <c r="I263" s="421"/>
      <c r="J263" s="422"/>
      <c r="K263" s="54" t="s">
        <v>237</v>
      </c>
      <c r="L263" s="54"/>
      <c r="O263" s="250" t="s">
        <v>494</v>
      </c>
      <c r="R263" s="387"/>
      <c r="S263" s="387"/>
      <c r="T263" s="387"/>
      <c r="U263" s="387"/>
      <c r="V263" s="387"/>
      <c r="W263" s="387"/>
      <c r="X263" s="387"/>
      <c r="AQ263" s="110"/>
      <c r="AX263" t="s">
        <v>156</v>
      </c>
      <c r="AY263" t="s">
        <v>246</v>
      </c>
      <c r="AZ263" t="s">
        <v>102</v>
      </c>
      <c r="BA263" t="s">
        <v>158</v>
      </c>
      <c r="BB263" t="s">
        <v>247</v>
      </c>
      <c r="BC263" t="s">
        <v>248</v>
      </c>
      <c r="BD263" t="s">
        <v>249</v>
      </c>
      <c r="BE263" t="s">
        <v>250</v>
      </c>
      <c r="BF263" t="s">
        <v>251</v>
      </c>
      <c r="BZ263" t="s">
        <v>494</v>
      </c>
      <c r="CB263" t="s">
        <v>201</v>
      </c>
      <c r="CG263" s="122"/>
      <c r="CV263" s="388"/>
    </row>
    <row r="264" spans="1:100" customFormat="1" ht="30" customHeight="1" outlineLevel="1">
      <c r="A264" s="112"/>
      <c r="B264" s="418" t="s">
        <v>496</v>
      </c>
      <c r="C264" s="460" t="s">
        <v>497</v>
      </c>
      <c r="D264" s="418"/>
      <c r="E264" s="418"/>
      <c r="F264" s="418"/>
      <c r="G264" s="418"/>
      <c r="H264" s="421"/>
      <c r="I264" s="421"/>
      <c r="J264" s="422"/>
      <c r="K264" s="54" t="s">
        <v>237</v>
      </c>
      <c r="L264" s="54"/>
      <c r="O264" s="250" t="s">
        <v>494</v>
      </c>
      <c r="R264" s="387"/>
      <c r="S264" s="387"/>
      <c r="T264" s="387"/>
      <c r="U264" s="387"/>
      <c r="V264" s="387"/>
      <c r="W264" s="387"/>
      <c r="X264" s="387"/>
      <c r="AQ264" s="110"/>
      <c r="BZ264" t="s">
        <v>494</v>
      </c>
      <c r="CB264" t="s">
        <v>201</v>
      </c>
      <c r="CG264" s="122"/>
      <c r="CV264" s="388"/>
    </row>
    <row r="265" spans="1:100" customFormat="1" ht="30" customHeight="1" outlineLevel="1">
      <c r="A265" s="112"/>
      <c r="B265" s="414">
        <v>0</v>
      </c>
      <c r="C265" s="465">
        <f>报价辅助计算!$E$13</f>
        <v>0</v>
      </c>
      <c r="D265" s="418"/>
      <c r="E265" s="647"/>
      <c r="F265" s="561"/>
      <c r="G265" s="418"/>
      <c r="H265" s="421"/>
      <c r="I265" s="421"/>
      <c r="J265" s="422"/>
      <c r="K265" s="54" t="s">
        <v>237</v>
      </c>
      <c r="L265" s="54"/>
      <c r="O265" s="250" t="s">
        <v>494</v>
      </c>
      <c r="R265" s="387"/>
      <c r="S265" s="387"/>
      <c r="T265" s="387"/>
      <c r="U265" s="387"/>
      <c r="V265" s="387"/>
      <c r="W265" s="387"/>
      <c r="X265" s="387"/>
      <c r="AQ265" s="110"/>
      <c r="BZ265" t="s">
        <v>494</v>
      </c>
      <c r="CB265" t="s">
        <v>201</v>
      </c>
      <c r="CG265" s="122"/>
      <c r="CV265" s="388"/>
    </row>
    <row r="266" spans="1:100" s="376" customFormat="1" ht="30" customHeight="1">
      <c r="A266" s="472"/>
      <c r="B266" s="473"/>
      <c r="C266" s="473"/>
      <c r="D266" s="473"/>
      <c r="E266" s="474"/>
      <c r="F266" s="473"/>
      <c r="G266" s="473"/>
      <c r="H266" s="421"/>
      <c r="I266" s="421"/>
      <c r="J266" s="422"/>
      <c r="K266" s="475"/>
      <c r="L266" s="475"/>
      <c r="R266" s="387"/>
      <c r="S266" s="387"/>
      <c r="T266" s="387"/>
      <c r="U266" s="387"/>
      <c r="V266" s="387"/>
      <c r="W266" s="387"/>
      <c r="X266" s="387"/>
      <c r="AQ266" s="476"/>
      <c r="BZ266" t="s">
        <v>494</v>
      </c>
      <c r="CA266"/>
      <c r="CB266" t="s">
        <v>201</v>
      </c>
      <c r="CC266"/>
      <c r="CD266"/>
      <c r="CE266"/>
      <c r="CF266"/>
      <c r="CG266" s="122"/>
    </row>
    <row r="267" spans="1:100" customFormat="1" ht="30" customHeight="1">
      <c r="A267" s="112" t="str">
        <f>IF($C$13=1,IF(K267="报价行",IF(F267&gt;0,1," ")," ")," ")</f>
        <v xml:space="preserve"> </v>
      </c>
      <c r="B267" s="414" t="str">
        <f>IF(A267=1,SUM($A$11:A267),"L驶入式地轨")</f>
        <v>L驶入式地轨</v>
      </c>
      <c r="C267" s="415" t="str">
        <f>B268&amp;IF(C270=1,CHAR(10)&amp;B269," ")</f>
        <v xml:space="preserve">Guide Rail for drive in </v>
      </c>
      <c r="D267" s="648">
        <v>1000</v>
      </c>
      <c r="E267" s="649" t="s">
        <v>498</v>
      </c>
      <c r="F267" s="460"/>
      <c r="G267" s="419">
        <f>C268</f>
        <v>5.40625</v>
      </c>
      <c r="H267" s="420">
        <f>H268</f>
        <v>29.874333517699121</v>
      </c>
      <c r="I267" s="421" t="s">
        <v>387</v>
      </c>
      <c r="J267" s="422"/>
      <c r="K267" s="423" t="s">
        <v>217</v>
      </c>
      <c r="L267" s="54"/>
      <c r="O267" t="s">
        <v>499</v>
      </c>
      <c r="R267" s="387"/>
      <c r="S267" s="387"/>
      <c r="T267" s="387"/>
      <c r="U267" s="387"/>
      <c r="V267" s="387"/>
      <c r="W267" s="387"/>
      <c r="X267" s="387"/>
      <c r="AQ267" s="110"/>
      <c r="AX267" t="str">
        <f>E267</f>
        <v>L75*50*5.0</v>
      </c>
      <c r="AY267" s="494">
        <f>D267</f>
        <v>1000</v>
      </c>
      <c r="AZ267">
        <f>F267</f>
        <v>0</v>
      </c>
      <c r="BA267" s="256">
        <f>G267</f>
        <v>5.40625</v>
      </c>
      <c r="BB267">
        <f>AZ267*BA267</f>
        <v>0</v>
      </c>
      <c r="BC267" s="495"/>
      <c r="BR267" t="str">
        <f>I267</f>
        <v>Yellow Ral1023</v>
      </c>
      <c r="BZ267" t="s">
        <v>500</v>
      </c>
      <c r="CB267" t="s">
        <v>201</v>
      </c>
      <c r="CG267" s="122"/>
      <c r="CV267" s="388"/>
    </row>
    <row r="268" spans="1:100" customFormat="1" ht="30" customHeight="1" outlineLevel="1">
      <c r="A268" s="112"/>
      <c r="B268" s="623" t="s">
        <v>501</v>
      </c>
      <c r="C268" s="619">
        <f>(VLOOKUP(C269,常规材料表!$1:$1048576,3,0)+0.25*2)*D267/1000</f>
        <v>5.40625</v>
      </c>
      <c r="D268" s="418">
        <f>VLOOKUP(C269,常规材料表!$1:$1048576,10,0)</f>
        <v>3.83</v>
      </c>
      <c r="E268" s="418">
        <f>1*1.13</f>
        <v>1.1299999999999999</v>
      </c>
      <c r="F268" s="571">
        <f>D267/1000*2*0.8/C268</f>
        <v>0.29595375722543354</v>
      </c>
      <c r="G268" s="627" t="s">
        <v>236</v>
      </c>
      <c r="H268" s="420">
        <f>(D268*1.01+E268+F268+E269)*G267/1.13</f>
        <v>29.874333517699121</v>
      </c>
      <c r="I268" s="421"/>
      <c r="J268" s="422"/>
      <c r="K268" s="54" t="s">
        <v>237</v>
      </c>
      <c r="L268" s="54"/>
      <c r="O268" t="s">
        <v>499</v>
      </c>
      <c r="R268" s="387"/>
      <c r="S268" s="387"/>
      <c r="T268" s="387"/>
      <c r="U268" s="387"/>
      <c r="V268" s="387"/>
      <c r="W268" s="387"/>
      <c r="X268" s="387"/>
      <c r="AQ268" s="110"/>
      <c r="AX268" t="s">
        <v>156</v>
      </c>
      <c r="AY268" t="s">
        <v>246</v>
      </c>
      <c r="AZ268" t="s">
        <v>102</v>
      </c>
      <c r="BA268" t="s">
        <v>158</v>
      </c>
      <c r="BB268" t="s">
        <v>247</v>
      </c>
      <c r="BD268" t="s">
        <v>249</v>
      </c>
      <c r="BE268" t="s">
        <v>250</v>
      </c>
      <c r="BF268" t="s">
        <v>251</v>
      </c>
      <c r="BZ268" t="s">
        <v>461</v>
      </c>
      <c r="CB268" t="s">
        <v>201</v>
      </c>
      <c r="CG268" s="122"/>
      <c r="CV268" s="388"/>
    </row>
    <row r="269" spans="1:100" customFormat="1" ht="30" customHeight="1" outlineLevel="1">
      <c r="A269" s="112"/>
      <c r="B269" s="418" t="s">
        <v>500</v>
      </c>
      <c r="C269" s="460" t="s">
        <v>498</v>
      </c>
      <c r="D269" s="418"/>
      <c r="E269" s="418">
        <f>IF(G268="喷塑",0.95,0)</f>
        <v>0.95</v>
      </c>
      <c r="F269" s="418"/>
      <c r="G269" s="418"/>
      <c r="H269" s="421"/>
      <c r="I269" s="421"/>
      <c r="J269" s="422"/>
      <c r="K269" s="54" t="s">
        <v>237</v>
      </c>
      <c r="L269" s="54"/>
      <c r="O269" t="s">
        <v>499</v>
      </c>
      <c r="R269" s="387"/>
      <c r="S269" s="387"/>
      <c r="T269" s="387"/>
      <c r="U269" s="387"/>
      <c r="V269" s="387"/>
      <c r="W269" s="387"/>
      <c r="X269" s="387"/>
      <c r="AQ269" s="110"/>
      <c r="BZ269" t="s">
        <v>461</v>
      </c>
      <c r="CB269" t="s">
        <v>201</v>
      </c>
      <c r="CG269" s="122"/>
      <c r="CV269" s="388"/>
    </row>
    <row r="270" spans="1:100" customFormat="1" ht="30" customHeight="1" outlineLevel="1">
      <c r="A270" s="112"/>
      <c r="B270" s="414">
        <v>0</v>
      </c>
      <c r="C270" s="465">
        <f>报价辅助计算!$E$13</f>
        <v>0</v>
      </c>
      <c r="D270" s="418"/>
      <c r="E270" s="940"/>
      <c r="F270" s="941"/>
      <c r="G270" s="418"/>
      <c r="H270" s="421"/>
      <c r="I270" s="421"/>
      <c r="J270" s="422"/>
      <c r="K270" s="54" t="s">
        <v>237</v>
      </c>
      <c r="L270" s="54"/>
      <c r="O270" t="s">
        <v>499</v>
      </c>
      <c r="R270" s="387"/>
      <c r="S270" s="387"/>
      <c r="T270" s="387"/>
      <c r="U270" s="387"/>
      <c r="V270" s="387"/>
      <c r="W270" s="387"/>
      <c r="X270" s="387"/>
      <c r="AQ270" s="110"/>
      <c r="BZ270" t="s">
        <v>461</v>
      </c>
      <c r="CB270" t="s">
        <v>201</v>
      </c>
      <c r="CG270" s="122"/>
      <c r="CV270" s="388"/>
    </row>
    <row r="271" spans="1:100" s="376" customFormat="1" ht="30" customHeight="1">
      <c r="A271" s="472"/>
      <c r="B271" s="473"/>
      <c r="C271" s="473"/>
      <c r="D271" s="473"/>
      <c r="E271" s="474"/>
      <c r="F271" s="473"/>
      <c r="G271" s="473"/>
      <c r="H271" s="421"/>
      <c r="I271" s="421"/>
      <c r="J271" s="422"/>
      <c r="K271" s="475"/>
      <c r="L271" s="475"/>
      <c r="R271" s="387"/>
      <c r="S271" s="387"/>
      <c r="T271" s="387"/>
      <c r="U271" s="387"/>
      <c r="V271" s="387"/>
      <c r="W271" s="387"/>
      <c r="X271" s="387"/>
      <c r="AQ271" s="476"/>
      <c r="BZ271" t="s">
        <v>461</v>
      </c>
      <c r="CA271"/>
      <c r="CB271" t="s">
        <v>201</v>
      </c>
      <c r="CC271"/>
      <c r="CD271"/>
      <c r="CE271"/>
      <c r="CF271"/>
      <c r="CG271" s="122"/>
    </row>
    <row r="272" spans="1:100" customFormat="1" ht="30" customHeight="1">
      <c r="A272" s="112" t="str">
        <f>IF($C$13=1,IF(K272="报价行",IF(F272&gt;0,1," ")," ")," ")</f>
        <v xml:space="preserve"> </v>
      </c>
      <c r="B272" s="414" t="str">
        <f>IF(A272=1,SUM($A$11:A272),"U驶入式地轨")</f>
        <v>U驶入式地轨</v>
      </c>
      <c r="C272" s="415" t="str">
        <f>B273&amp;IF(C275=1,CHAR(10)&amp;B274," ")</f>
        <v xml:space="preserve">U Guide Rail for drive in </v>
      </c>
      <c r="D272" s="648"/>
      <c r="E272" s="649" t="s">
        <v>502</v>
      </c>
      <c r="F272" s="460"/>
      <c r="G272" s="419">
        <f>C273</f>
        <v>1.5307500000000003</v>
      </c>
      <c r="H272" s="420">
        <f>H273</f>
        <v>10.342722345132746</v>
      </c>
      <c r="I272" s="421" t="s">
        <v>387</v>
      </c>
      <c r="J272" s="422"/>
      <c r="K272" s="423" t="s">
        <v>217</v>
      </c>
      <c r="L272" s="54"/>
      <c r="O272" t="s">
        <v>503</v>
      </c>
      <c r="R272" s="387"/>
      <c r="S272" s="387"/>
      <c r="T272" s="387"/>
      <c r="U272" s="387"/>
      <c r="V272" s="387"/>
      <c r="W272" s="387"/>
      <c r="X272" s="387"/>
      <c r="AQ272" s="110"/>
      <c r="AX272" t="str">
        <f>E272</f>
        <v>U15*50*160*50*15*3.0</v>
      </c>
      <c r="AY272" s="494">
        <f>D272</f>
        <v>0</v>
      </c>
      <c r="AZ272">
        <f>F272</f>
        <v>0</v>
      </c>
      <c r="BA272" s="256">
        <f>G272</f>
        <v>1.5307500000000003</v>
      </c>
      <c r="BB272">
        <f>AZ272*BA272</f>
        <v>0</v>
      </c>
      <c r="BC272" s="495"/>
      <c r="BR272" t="str">
        <f>I272</f>
        <v>Yellow Ral1023</v>
      </c>
      <c r="BZ272" t="s">
        <v>500</v>
      </c>
      <c r="CB272" t="s">
        <v>201</v>
      </c>
      <c r="CG272" s="122"/>
      <c r="CV272" s="388"/>
    </row>
    <row r="273" spans="1:100" customFormat="1" ht="30" customHeight="1" outlineLevel="1">
      <c r="A273" s="112"/>
      <c r="B273" s="623" t="s">
        <v>504</v>
      </c>
      <c r="C273" s="619">
        <f>0.24*3*7.85*D272/1000+0.13*0.05*3*7.85*D274</f>
        <v>1.5307500000000003</v>
      </c>
      <c r="D273" s="418">
        <f>VLOOKUP(C274,常规材料表!$1:$1048576,10,0)</f>
        <v>5.5</v>
      </c>
      <c r="E273" s="418">
        <f>1*1.13</f>
        <v>1.1299999999999999</v>
      </c>
      <c r="F273" s="571">
        <f>D272/1000*2*0.8/C273</f>
        <v>0</v>
      </c>
      <c r="G273" s="627" t="s">
        <v>236</v>
      </c>
      <c r="H273" s="420">
        <f>(D273*1.01+E273+F273+E274)*G272/1.13</f>
        <v>10.342722345132746</v>
      </c>
      <c r="I273" s="421"/>
      <c r="J273" s="422"/>
      <c r="K273" s="54" t="s">
        <v>237</v>
      </c>
      <c r="L273" s="54"/>
      <c r="O273" t="s">
        <v>503</v>
      </c>
      <c r="R273" s="387"/>
      <c r="S273" s="387"/>
      <c r="T273" s="387"/>
      <c r="U273" s="387"/>
      <c r="V273" s="387"/>
      <c r="W273" s="387"/>
      <c r="X273" s="387"/>
      <c r="AQ273" s="110"/>
      <c r="AX273" t="s">
        <v>156</v>
      </c>
      <c r="AY273" t="s">
        <v>246</v>
      </c>
      <c r="AZ273" t="s">
        <v>102</v>
      </c>
      <c r="BA273" t="s">
        <v>158</v>
      </c>
      <c r="BB273" t="s">
        <v>247</v>
      </c>
      <c r="BD273" t="s">
        <v>249</v>
      </c>
      <c r="BE273" t="s">
        <v>250</v>
      </c>
      <c r="BF273" t="s">
        <v>251</v>
      </c>
      <c r="BZ273" t="s">
        <v>461</v>
      </c>
      <c r="CB273" t="s">
        <v>201</v>
      </c>
      <c r="CG273" s="122"/>
      <c r="CV273" s="388"/>
    </row>
    <row r="274" spans="1:100" customFormat="1" ht="30" customHeight="1" outlineLevel="1">
      <c r="A274" s="112"/>
      <c r="B274" s="418" t="s">
        <v>505</v>
      </c>
      <c r="C274" s="460" t="s">
        <v>502</v>
      </c>
      <c r="D274" s="460">
        <v>10</v>
      </c>
      <c r="E274" s="418">
        <f>IF(G273="喷塑",0.95,0)</f>
        <v>0.95</v>
      </c>
      <c r="F274" s="418"/>
      <c r="G274" s="418"/>
      <c r="H274" s="421"/>
      <c r="I274" s="421"/>
      <c r="J274" s="422"/>
      <c r="K274" s="54" t="s">
        <v>237</v>
      </c>
      <c r="L274" s="54"/>
      <c r="O274" t="s">
        <v>503</v>
      </c>
      <c r="R274" s="387"/>
      <c r="S274" s="387"/>
      <c r="T274" s="387"/>
      <c r="U274" s="387"/>
      <c r="V274" s="387"/>
      <c r="W274" s="387"/>
      <c r="X274" s="387"/>
      <c r="AQ274" s="110"/>
      <c r="BZ274" t="s">
        <v>461</v>
      </c>
      <c r="CB274" t="s">
        <v>201</v>
      </c>
      <c r="CG274" s="122"/>
      <c r="CV274" s="388"/>
    </row>
    <row r="275" spans="1:100" customFormat="1" ht="30" customHeight="1" outlineLevel="1">
      <c r="A275" s="112"/>
      <c r="B275" s="414">
        <v>0</v>
      </c>
      <c r="C275" s="465">
        <f>报价辅助计算!$E$13</f>
        <v>0</v>
      </c>
      <c r="D275" s="418"/>
      <c r="E275" s="940"/>
      <c r="F275" s="941"/>
      <c r="G275" s="418"/>
      <c r="H275" s="421"/>
      <c r="I275" s="421"/>
      <c r="J275" s="422"/>
      <c r="K275" s="54" t="s">
        <v>237</v>
      </c>
      <c r="L275" s="54"/>
      <c r="O275" t="s">
        <v>503</v>
      </c>
      <c r="R275" s="387"/>
      <c r="S275" s="387"/>
      <c r="T275" s="387"/>
      <c r="U275" s="387"/>
      <c r="V275" s="387"/>
      <c r="W275" s="387"/>
      <c r="X275" s="387"/>
      <c r="AQ275" s="110"/>
      <c r="BZ275" t="s">
        <v>461</v>
      </c>
      <c r="CB275" t="s">
        <v>201</v>
      </c>
      <c r="CG275" s="122"/>
      <c r="CV275" s="388"/>
    </row>
    <row r="276" spans="1:100" s="376" customFormat="1" ht="30" customHeight="1">
      <c r="A276" s="472"/>
      <c r="B276" s="473"/>
      <c r="C276" s="473"/>
      <c r="D276" s="473"/>
      <c r="E276" s="474"/>
      <c r="F276" s="473"/>
      <c r="G276" s="473"/>
      <c r="H276" s="421"/>
      <c r="I276" s="421"/>
      <c r="J276" s="422"/>
      <c r="K276" s="475"/>
      <c r="L276" s="475"/>
      <c r="R276" s="387"/>
      <c r="S276" s="387"/>
      <c r="T276" s="387"/>
      <c r="U276" s="387"/>
      <c r="V276" s="387"/>
      <c r="W276" s="387"/>
      <c r="X276" s="387"/>
      <c r="AQ276" s="476"/>
      <c r="BZ276" t="s">
        <v>461</v>
      </c>
      <c r="CA276"/>
      <c r="CB276" t="s">
        <v>201</v>
      </c>
      <c r="CC276"/>
      <c r="CD276"/>
      <c r="CE276"/>
      <c r="CF276"/>
      <c r="CG276" s="122"/>
    </row>
    <row r="277" spans="1:100" customFormat="1" ht="30" customHeight="1">
      <c r="A277" s="112" t="str">
        <f>IF($C$13=1,IF(K277="报价行",IF(F277&gt;0,1," ")," ")," ")</f>
        <v xml:space="preserve"> </v>
      </c>
      <c r="B277" s="414" t="str">
        <f>IF(A277=1,SUM($A$11:A277),"驶入式护脚")</f>
        <v>驶入式护脚</v>
      </c>
      <c r="C277" s="415" t="str">
        <f>B278&amp;IF(C280=1,CHAR(10)&amp;B279," ")</f>
        <v xml:space="preserve">Upright protector </v>
      </c>
      <c r="D277" s="650"/>
      <c r="E277" s="547" t="str">
        <f>C278</f>
        <v>H400×4.5t D</v>
      </c>
      <c r="F277" s="460"/>
      <c r="G277" s="419">
        <f>C279</f>
        <v>6.4248403500000002</v>
      </c>
      <c r="H277" s="420">
        <f>H278</f>
        <v>49.34831710840708</v>
      </c>
      <c r="I277" s="421" t="s">
        <v>387</v>
      </c>
      <c r="J277" s="422"/>
      <c r="K277" s="423" t="s">
        <v>217</v>
      </c>
      <c r="L277" s="54"/>
      <c r="O277" t="s">
        <v>506</v>
      </c>
      <c r="R277" s="387"/>
      <c r="S277" s="387"/>
      <c r="T277" s="387"/>
      <c r="U277" s="387"/>
      <c r="V277" s="387"/>
      <c r="W277" s="387"/>
      <c r="X277" s="387"/>
      <c r="AQ277" s="110"/>
      <c r="AX277" t="str">
        <f>E277</f>
        <v>H400×4.5t D</v>
      </c>
      <c r="AY277" s="494">
        <f>D277</f>
        <v>0</v>
      </c>
      <c r="AZ277">
        <f>F277</f>
        <v>0</v>
      </c>
      <c r="BA277" s="256">
        <f>G277</f>
        <v>6.4248403500000002</v>
      </c>
      <c r="BB277">
        <f>AZ277*BA277</f>
        <v>0</v>
      </c>
      <c r="BC277" s="495"/>
      <c r="BR277" t="str">
        <f>I277</f>
        <v>Yellow Ral1023</v>
      </c>
      <c r="BZ277" t="s">
        <v>389</v>
      </c>
      <c r="CA277" s="112" t="s">
        <v>200</v>
      </c>
      <c r="CB277" t="s">
        <v>201</v>
      </c>
      <c r="CG277" s="122" t="s">
        <v>207</v>
      </c>
      <c r="CV277" s="388"/>
    </row>
    <row r="278" spans="1:100" customFormat="1" ht="30" customHeight="1" outlineLevel="1">
      <c r="A278" s="112"/>
      <c r="B278" s="460" t="s">
        <v>507</v>
      </c>
      <c r="C278" s="651" t="s">
        <v>508</v>
      </c>
      <c r="D278" s="418">
        <f>VLOOKUP(C278,常规材料表!$1:$1048576,10,0)</f>
        <v>7.1597109802113597</v>
      </c>
      <c r="E278" s="418"/>
      <c r="F278" s="418">
        <v>1</v>
      </c>
      <c r="G278" s="514" t="s">
        <v>236</v>
      </c>
      <c r="H278" s="421">
        <f>C279*(D278*1.01+E278*1.13+D279+E279)/1.13*F278</f>
        <v>49.34831710840708</v>
      </c>
      <c r="I278" s="421"/>
      <c r="J278" s="422"/>
      <c r="K278" s="54" t="s">
        <v>237</v>
      </c>
      <c r="L278" s="54"/>
      <c r="O278" t="s">
        <v>506</v>
      </c>
      <c r="R278" s="387"/>
      <c r="S278" s="387"/>
      <c r="T278" s="387"/>
      <c r="U278" s="387"/>
      <c r="V278" s="387"/>
      <c r="W278" s="387"/>
      <c r="X278" s="387"/>
      <c r="AQ278" s="110"/>
      <c r="AX278" t="s">
        <v>156</v>
      </c>
      <c r="AY278" t="s">
        <v>246</v>
      </c>
      <c r="AZ278" t="s">
        <v>102</v>
      </c>
      <c r="BA278" t="s">
        <v>158</v>
      </c>
      <c r="BB278" t="s">
        <v>247</v>
      </c>
      <c r="BD278" t="s">
        <v>249</v>
      </c>
      <c r="BE278" t="s">
        <v>250</v>
      </c>
      <c r="BF278" t="s">
        <v>251</v>
      </c>
      <c r="BZ278" t="s">
        <v>389</v>
      </c>
      <c r="CA278" s="112" t="s">
        <v>200</v>
      </c>
      <c r="CB278" t="s">
        <v>201</v>
      </c>
      <c r="CG278" s="122" t="s">
        <v>207</v>
      </c>
      <c r="CV278" s="388"/>
    </row>
    <row r="279" spans="1:100" customFormat="1" ht="30" customHeight="1" outlineLevel="1">
      <c r="A279" s="112"/>
      <c r="B279" s="418" t="s">
        <v>509</v>
      </c>
      <c r="C279" s="623">
        <f>VLOOKUP(C278,常规材料表!$1:$1048576,3,0)</f>
        <v>6.4248403500000002</v>
      </c>
      <c r="D279" s="564">
        <v>0.95</v>
      </c>
      <c r="E279" s="564">
        <f>0.8*4/C279</f>
        <v>0.49806685079731206</v>
      </c>
      <c r="F279" s="561"/>
      <c r="G279" s="418"/>
      <c r="H279" s="421"/>
      <c r="I279" s="421"/>
      <c r="J279" s="422"/>
      <c r="K279" s="54" t="s">
        <v>237</v>
      </c>
      <c r="L279" s="54"/>
      <c r="O279" t="s">
        <v>506</v>
      </c>
      <c r="R279" s="387"/>
      <c r="S279" s="387"/>
      <c r="T279" s="387"/>
      <c r="U279" s="387"/>
      <c r="V279" s="387"/>
      <c r="W279" s="387"/>
      <c r="X279" s="387"/>
      <c r="AQ279" s="110"/>
      <c r="BZ279" t="s">
        <v>389</v>
      </c>
      <c r="CA279" s="112" t="s">
        <v>200</v>
      </c>
      <c r="CB279" t="s">
        <v>201</v>
      </c>
      <c r="CG279" s="122" t="s">
        <v>207</v>
      </c>
      <c r="CV279" s="388"/>
    </row>
    <row r="280" spans="1:100" customFormat="1" ht="30" customHeight="1" outlineLevel="1">
      <c r="A280" s="112"/>
      <c r="B280" s="414">
        <v>0</v>
      </c>
      <c r="C280" s="465">
        <f>报价辅助计算!$E$13</f>
        <v>0</v>
      </c>
      <c r="D280" s="564"/>
      <c r="E280" s="564"/>
      <c r="F280" s="561"/>
      <c r="G280" s="418"/>
      <c r="H280" s="421"/>
      <c r="I280" s="421"/>
      <c r="J280" s="422"/>
      <c r="K280" s="54" t="s">
        <v>237</v>
      </c>
      <c r="L280" s="54"/>
      <c r="O280" t="s">
        <v>506</v>
      </c>
      <c r="R280" s="387"/>
      <c r="S280" s="387"/>
      <c r="T280" s="387"/>
      <c r="U280" s="387"/>
      <c r="V280" s="387"/>
      <c r="W280" s="387"/>
      <c r="X280" s="387"/>
      <c r="AQ280" s="110"/>
      <c r="BZ280" t="s">
        <v>389</v>
      </c>
      <c r="CA280" s="112" t="s">
        <v>200</v>
      </c>
      <c r="CB280" t="s">
        <v>201</v>
      </c>
      <c r="CG280" s="122" t="s">
        <v>207</v>
      </c>
      <c r="CV280" s="388"/>
    </row>
    <row r="281" spans="1:100" s="376" customFormat="1" ht="30" customHeight="1">
      <c r="A281" s="472"/>
      <c r="B281" s="473"/>
      <c r="C281" s="473"/>
      <c r="D281" s="473"/>
      <c r="E281" s="474"/>
      <c r="F281" s="473"/>
      <c r="G281" s="473"/>
      <c r="H281" s="421"/>
      <c r="I281" s="421"/>
      <c r="J281" s="422"/>
      <c r="K281" s="475"/>
      <c r="L281" s="475"/>
      <c r="R281" s="387"/>
      <c r="S281" s="387"/>
      <c r="T281" s="387"/>
      <c r="U281" s="387"/>
      <c r="V281" s="387"/>
      <c r="W281" s="387"/>
      <c r="X281" s="387"/>
      <c r="AQ281" s="476"/>
      <c r="BZ281" t="s">
        <v>389</v>
      </c>
      <c r="CA281" s="112" t="s">
        <v>200</v>
      </c>
      <c r="CB281" t="s">
        <v>201</v>
      </c>
      <c r="CC281"/>
      <c r="CD281"/>
      <c r="CE281"/>
      <c r="CF281"/>
      <c r="CG281" s="122" t="s">
        <v>207</v>
      </c>
    </row>
    <row r="282" spans="1:100" s="378" customFormat="1" ht="30" customHeight="1">
      <c r="A282" s="628"/>
      <c r="B282" s="629" t="s">
        <v>510</v>
      </c>
      <c r="C282" s="629"/>
      <c r="D282" s="629"/>
      <c r="E282" s="630"/>
      <c r="F282" s="629"/>
      <c r="G282" s="629"/>
      <c r="H282" s="421"/>
      <c r="I282" s="421"/>
      <c r="J282" s="422"/>
      <c r="K282" s="631"/>
      <c r="L282" s="631"/>
      <c r="R282" s="387"/>
      <c r="S282" s="387"/>
      <c r="T282" s="387"/>
      <c r="U282" s="387"/>
      <c r="V282" s="387"/>
      <c r="W282" s="387"/>
      <c r="X282" s="387"/>
      <c r="AQ282" s="632"/>
      <c r="CG282" s="633"/>
    </row>
    <row r="283" spans="1:100" customFormat="1" ht="30" customHeight="1">
      <c r="A283" s="112" t="str">
        <f>IF($C$13=1,IF(K283="报价行",IF(F283&gt;0,1," ")," ")," ")</f>
        <v xml:space="preserve"> </v>
      </c>
      <c r="B283" s="414" t="str">
        <f>IF(A283=1,SUM($A$11:A283),"立柱对焊+脚底板")</f>
        <v>立柱对焊+脚底板</v>
      </c>
      <c r="C283" s="415" t="str">
        <f>B284&amp;IF(C288=1,CHAR(10)&amp;B285," ")</f>
        <v xml:space="preserve">Post for Mezzanine </v>
      </c>
      <c r="D283" s="429" t="str">
        <f>"H"&amp;F284</f>
        <v>H4725</v>
      </c>
      <c r="E283" s="652" t="str">
        <f>"Pitch "&amp;C286&amp;", "&amp;E288&amp;", Post: Double "&amp;VLOOKUP(D284,常规材料表!$1:$1048576,28,0)</f>
        <v>Pitch 75, Q235, Post: Double 100*70*2.3 mm,</v>
      </c>
      <c r="F283" s="460"/>
      <c r="G283" s="419" t="str">
        <f>IFERROR(Y285+Y287+D287*F287/F283,"-")</f>
        <v>-</v>
      </c>
      <c r="H283" s="420" t="str">
        <f>IFERROR(SUM(H284:H286)+H287/F283,"-")</f>
        <v>-</v>
      </c>
      <c r="I283" s="421" t="s">
        <v>292</v>
      </c>
      <c r="J283" s="422"/>
      <c r="K283" s="423" t="s">
        <v>217</v>
      </c>
      <c r="L283" s="424">
        <f>C286</f>
        <v>75</v>
      </c>
      <c r="O283" s="425" t="s">
        <v>511</v>
      </c>
      <c r="P283" s="425"/>
      <c r="Q283" s="460">
        <v>600</v>
      </c>
      <c r="R283" s="387" t="s">
        <v>219</v>
      </c>
      <c r="S283" s="426" t="s">
        <v>220</v>
      </c>
      <c r="T283" s="426">
        <f>(T285*Y285)/Y283</f>
        <v>3.3398230088495588</v>
      </c>
      <c r="U283" s="426">
        <f>(U285*Y285)/Y283</f>
        <v>0.63342046166308508</v>
      </c>
      <c r="V283" s="426">
        <f>(V285*Y285)/Y283</f>
        <v>0.88225995789659439</v>
      </c>
      <c r="W283" s="426">
        <f>(W285*Y285)/Y283</f>
        <v>0</v>
      </c>
      <c r="X283" s="426">
        <f>SUM(T283:W283)*Y283</f>
        <v>223.68009089141833</v>
      </c>
      <c r="Y283" s="427">
        <f>SUM(Y285:Y285)</f>
        <v>46.067332499999999</v>
      </c>
      <c r="Z283" s="427"/>
      <c r="AA283" s="428" t="s">
        <v>221</v>
      </c>
      <c r="AB283" s="428" t="s">
        <v>222</v>
      </c>
      <c r="AC283" s="428" t="s">
        <v>223</v>
      </c>
      <c r="AD283" s="428" t="s">
        <v>224</v>
      </c>
      <c r="AE283" s="446" t="s">
        <v>297</v>
      </c>
      <c r="AF283" s="428" t="s">
        <v>225</v>
      </c>
      <c r="AG283" s="429" t="s">
        <v>226</v>
      </c>
      <c r="AH283" s="429" t="s">
        <v>227</v>
      </c>
      <c r="AI283" s="429" t="s">
        <v>228</v>
      </c>
      <c r="AJ283" s="429" t="s">
        <v>229</v>
      </c>
      <c r="AK283" s="429"/>
      <c r="AL283" s="429" t="s">
        <v>231</v>
      </c>
      <c r="AM283" s="429" t="s">
        <v>232</v>
      </c>
      <c r="AN283" s="429" t="s">
        <v>102</v>
      </c>
      <c r="AO283" s="429" t="s">
        <v>74</v>
      </c>
      <c r="AP283" s="429" t="s">
        <v>21</v>
      </c>
      <c r="AQ283" s="110"/>
      <c r="AX283" t="str">
        <f>VLOOKUP(D284,常规材料表!$1:$1048576,28,0)</f>
        <v>100*70*2.3 mm,</v>
      </c>
      <c r="AY283" s="256">
        <f>F284</f>
        <v>4725</v>
      </c>
      <c r="AZ283">
        <f>F283</f>
        <v>0</v>
      </c>
      <c r="BA283" s="256">
        <f>Y285</f>
        <v>46.067332499999999</v>
      </c>
      <c r="BB283">
        <f>BA283*AZ283</f>
        <v>0</v>
      </c>
      <c r="BN283">
        <f>AZ283</f>
        <v>0</v>
      </c>
      <c r="BO283" s="256">
        <f>Y287</f>
        <v>1.8840000000000003</v>
      </c>
      <c r="BP283">
        <f>BN283*BO283</f>
        <v>0</v>
      </c>
      <c r="BQ283" t="str">
        <f>E288</f>
        <v>Q235</v>
      </c>
      <c r="BR283" t="str">
        <f>I283</f>
        <v>Blue Ral5015</v>
      </c>
      <c r="BZ283" t="s">
        <v>303</v>
      </c>
      <c r="CA283" s="112" t="s">
        <v>200</v>
      </c>
      <c r="CB283" t="s">
        <v>201</v>
      </c>
      <c r="CC283" t="s">
        <v>202</v>
      </c>
      <c r="CG283" s="122"/>
      <c r="CV283" s="388"/>
    </row>
    <row r="284" spans="1:100" customFormat="1" ht="30" customHeight="1" outlineLevel="1">
      <c r="A284" s="112"/>
      <c r="B284" s="418" t="s">
        <v>512</v>
      </c>
      <c r="C284" s="418" t="s">
        <v>10</v>
      </c>
      <c r="D284" s="653" t="s">
        <v>513</v>
      </c>
      <c r="E284" s="418"/>
      <c r="F284" s="636">
        <v>4725</v>
      </c>
      <c r="G284" s="439" t="s">
        <v>236</v>
      </c>
      <c r="H284" s="420">
        <f>IFERROR(X285,"-")</f>
        <v>223.68009089141827</v>
      </c>
      <c r="I284" s="421"/>
      <c r="J284" s="387" t="s">
        <v>449</v>
      </c>
      <c r="K284" s="54" t="s">
        <v>237</v>
      </c>
      <c r="L284" s="54"/>
      <c r="O284" s="425" t="s">
        <v>511</v>
      </c>
      <c r="P284" s="425"/>
      <c r="Q284" s="256"/>
      <c r="R284" s="420" t="s">
        <v>238</v>
      </c>
      <c r="S284" s="420" t="s">
        <v>239</v>
      </c>
      <c r="T284" s="420" t="s">
        <v>240</v>
      </c>
      <c r="U284" s="420" t="s">
        <v>241</v>
      </c>
      <c r="V284" s="420" t="s">
        <v>242</v>
      </c>
      <c r="W284" s="420" t="s">
        <v>207</v>
      </c>
      <c r="X284" s="420" t="s">
        <v>243</v>
      </c>
      <c r="Y284" s="429" t="s">
        <v>244</v>
      </c>
      <c r="Z284" s="429" t="s">
        <v>159</v>
      </c>
      <c r="AA284" s="437" t="str">
        <f>D284</f>
        <v>10070-23</v>
      </c>
      <c r="AB284" s="438">
        <v>1</v>
      </c>
      <c r="AC284" s="438">
        <f>F284</f>
        <v>4725</v>
      </c>
      <c r="AD284" s="438">
        <f>E284</f>
        <v>0</v>
      </c>
      <c r="AE284" s="438" t="str">
        <f>F285</f>
        <v>外部冲孔时填写印尼</v>
      </c>
      <c r="AF284" s="439" t="str">
        <f>G284</f>
        <v>喷塑</v>
      </c>
      <c r="AG284" s="440">
        <f>IF(AF284="预镀锌",0,IF(AF284="喷塑",VLOOKUP(AA284,常规材料表!$1:$1048576,12,0),IF(AF284="热镀锌",VLOOKUP(AA284,常规材料表!$1:$1048576,13,0),IF(AF284="冷镀锌",VLOOKUP(AA284,常规材料表!$1:$1048576,15,0),0))))</f>
        <v>9</v>
      </c>
      <c r="AH284" s="440">
        <f>IF(AF284="预镀锌",VLOOKUP(AA284,常规材料表!$1:$1048576,11,0)+VLOOKUP(AA284,常规材料表!$1:$1048576,14,0),VLOOKUP(AA284,常规材料表!$1:$1048576,11,0))+IF(AC284&lt;8000,0,VLOOKUP(AA284,常规材料表!$1:$1048576,16,0))</f>
        <v>2.2000000000000002</v>
      </c>
      <c r="AI284" s="440">
        <f>VLOOKUP(AA284,常规材料表!$1:$1048576,7,0)</f>
        <v>270</v>
      </c>
      <c r="AJ284" s="440">
        <f>VLOOKUP(AA284,常规材料表!$1:$1048576,6,0)</f>
        <v>2.2999999999999998</v>
      </c>
      <c r="AK284" s="429"/>
      <c r="AL284" s="441" t="s">
        <v>280</v>
      </c>
      <c r="AM284" s="441"/>
      <c r="AN284" s="441" t="e">
        <f>VLOOKUP(AA287,常规材料表!$1:$1048576,18,0)</f>
        <v>#N/A</v>
      </c>
      <c r="AO284" s="441" t="e">
        <f>VLOOKUP(AM284,标准件价格!$C:$D,2,0)</f>
        <v>#N/A</v>
      </c>
      <c r="AP284" s="441" t="e">
        <f>AN284*AO284</f>
        <v>#N/A</v>
      </c>
      <c r="AQ284" s="111">
        <f>IFERROR(VLOOKUP(AM284,标准件价格!$C:$E,3,0),0)</f>
        <v>0</v>
      </c>
      <c r="AR284">
        <f>IFERROR(IF(J285&gt;0,Y285*F283,0),"-")</f>
        <v>0</v>
      </c>
      <c r="AS284">
        <f>IFERROR(IF(J285=0,Y285*F283,0),"-")</f>
        <v>0</v>
      </c>
      <c r="AX284" t="s">
        <v>305</v>
      </c>
      <c r="AY284" t="s">
        <v>306</v>
      </c>
      <c r="AZ284" t="s">
        <v>307</v>
      </c>
      <c r="BA284" t="s">
        <v>308</v>
      </c>
      <c r="BB284" t="s">
        <v>309</v>
      </c>
      <c r="BN284" t="s">
        <v>259</v>
      </c>
      <c r="BO284" t="s">
        <v>260</v>
      </c>
      <c r="BP284" t="s">
        <v>261</v>
      </c>
      <c r="BQ284" t="s">
        <v>262</v>
      </c>
      <c r="BR284" t="s">
        <v>155</v>
      </c>
      <c r="BZ284" t="s">
        <v>303</v>
      </c>
      <c r="CA284" s="112" t="s">
        <v>200</v>
      </c>
      <c r="CB284" t="s">
        <v>201</v>
      </c>
      <c r="CC284" t="s">
        <v>202</v>
      </c>
      <c r="CG284" s="122"/>
      <c r="CV284" s="388"/>
    </row>
    <row r="285" spans="1:100" customFormat="1" ht="30" customHeight="1" outlineLevel="1">
      <c r="A285" s="112"/>
      <c r="B285" s="463" t="s">
        <v>514</v>
      </c>
      <c r="C285" s="418" t="s">
        <v>274</v>
      </c>
      <c r="D285" s="59" t="s">
        <v>515</v>
      </c>
      <c r="E285" s="245">
        <f>0.2*0.2*6*7.85</f>
        <v>1.8840000000000003</v>
      </c>
      <c r="F285" s="438" t="s">
        <v>299</v>
      </c>
      <c r="G285" s="439" t="s">
        <v>236</v>
      </c>
      <c r="H285" s="420">
        <f>IFERROR(X287,"-")</f>
        <v>19.047047787610627</v>
      </c>
      <c r="I285" s="421"/>
      <c r="J285" s="422">
        <f>IFERROR(IF(E288="Q355",IFERROR(IF(G284="预镀锌",VLOOKUP(D284,常规材料表!$1:$1048576,30,0),VLOOKUP(D284,常规材料表!$1:$1048576,29,0)),0),0),0)</f>
        <v>0</v>
      </c>
      <c r="K285" s="54" t="s">
        <v>237</v>
      </c>
      <c r="L285" s="54"/>
      <c r="O285" s="425" t="s">
        <v>511</v>
      </c>
      <c r="P285" s="425"/>
      <c r="Q285" s="445" t="s">
        <v>10</v>
      </c>
      <c r="R285" s="420">
        <f>IF(AD287&gt;0,AD287,IFERROR(IF(AF284="预镀锌",VLOOKUP(AA284,常规材料表!$1:$1048576,5,0),VLOOKUP(AA284,常规材料表!$1:$1048576,10,0)),0))</f>
        <v>3.7</v>
      </c>
      <c r="S285" s="420">
        <v>1.02</v>
      </c>
      <c r="T285" s="420">
        <f>R285*S285/1.13</f>
        <v>3.3398230088495584</v>
      </c>
      <c r="U285" s="420">
        <f>(AH284*2/Y285)+IF(ISNUMBER(SEARCH("L60",AA329)),1.4,0.25)+IF(AE284="印尼",0.2,0)+(8+200/38)/Y285</f>
        <v>0.63342046166308508</v>
      </c>
      <c r="V285" s="420">
        <f>AI284*AC284*2*AG284/1000000/Y285/1.13*2</f>
        <v>0.88225995789659439</v>
      </c>
      <c r="W285" s="420"/>
      <c r="X285" s="420">
        <f>(T285+U285+V285)*Y285</f>
        <v>223.68009089141827</v>
      </c>
      <c r="Y285" s="429">
        <f>AI284*AJ284*AC284*7.85/1000000*2</f>
        <v>46.067332499999999</v>
      </c>
      <c r="Z285" s="429">
        <f>Y285*AB284</f>
        <v>46.067332499999999</v>
      </c>
      <c r="AA285" s="428"/>
      <c r="AB285" s="428"/>
      <c r="AC285" s="428"/>
      <c r="AE285" s="428"/>
      <c r="AF285" s="429"/>
      <c r="AG285" s="429"/>
      <c r="AH285" s="429"/>
      <c r="AI285" s="429"/>
      <c r="AJ285" s="429"/>
      <c r="AK285" s="429"/>
      <c r="AL285" s="441" t="s">
        <v>290</v>
      </c>
      <c r="AM285" s="441"/>
      <c r="AN285" s="441" t="e">
        <f>VLOOKUP(AA287,常规材料表!$1:$1048576,20,0)</f>
        <v>#N/A</v>
      </c>
      <c r="AO285" s="441">
        <f>IFERROR(VLOOKUP(AM285,标准件价格!$C:$D,2,0),0)</f>
        <v>0</v>
      </c>
      <c r="AP285" s="441" t="e">
        <f>AN285*AO285</f>
        <v>#N/A</v>
      </c>
      <c r="AQ285" s="111">
        <f>IFERROR(VLOOKUP(AM285,标准件价格!$C:$E,3,0),0)</f>
        <v>0</v>
      </c>
      <c r="BZ285" t="s">
        <v>303</v>
      </c>
      <c r="CA285" s="112" t="s">
        <v>200</v>
      </c>
      <c r="CB285" t="s">
        <v>201</v>
      </c>
      <c r="CC285" t="s">
        <v>202</v>
      </c>
      <c r="CG285" s="122"/>
      <c r="CV285" s="388"/>
    </row>
    <row r="286" spans="1:100" customFormat="1" ht="30" customHeight="1" outlineLevel="1">
      <c r="A286" s="112"/>
      <c r="B286" s="418"/>
      <c r="C286" s="453">
        <f>报价辅助计算!$E$1</f>
        <v>75</v>
      </c>
      <c r="D286" s="418">
        <v>6.5</v>
      </c>
      <c r="E286" s="615"/>
      <c r="F286" s="615"/>
      <c r="G286" s="418"/>
      <c r="H286" s="421"/>
      <c r="I286" s="421"/>
      <c r="J286" s="450" t="s">
        <v>456</v>
      </c>
      <c r="K286" s="54" t="s">
        <v>237</v>
      </c>
      <c r="L286" s="54"/>
      <c r="O286" s="425" t="s">
        <v>511</v>
      </c>
      <c r="P286" s="425"/>
      <c r="Q286" s="445" t="s">
        <v>274</v>
      </c>
      <c r="R286" s="420" t="s">
        <v>238</v>
      </c>
      <c r="S286" s="420" t="s">
        <v>239</v>
      </c>
      <c r="T286" s="420" t="s">
        <v>240</v>
      </c>
      <c r="U286" s="420" t="s">
        <v>241</v>
      </c>
      <c r="V286" s="420" t="s">
        <v>242</v>
      </c>
      <c r="W286" s="420" t="s">
        <v>207</v>
      </c>
      <c r="X286" s="420" t="s">
        <v>282</v>
      </c>
      <c r="Y286" s="429" t="s">
        <v>283</v>
      </c>
      <c r="Z286" s="429" t="s">
        <v>159</v>
      </c>
      <c r="AA286" s="438" t="s">
        <v>284</v>
      </c>
      <c r="AB286" s="429" t="s">
        <v>221</v>
      </c>
      <c r="AC286" s="429" t="s">
        <v>222</v>
      </c>
      <c r="AD286" s="448" t="s">
        <v>285</v>
      </c>
      <c r="AE286" s="428" t="s">
        <v>286</v>
      </c>
      <c r="AF286" s="429" t="s">
        <v>226</v>
      </c>
      <c r="AG286" s="441" t="s">
        <v>238</v>
      </c>
      <c r="AH286" s="441" t="s">
        <v>287</v>
      </c>
      <c r="AI286" s="441" t="s">
        <v>288</v>
      </c>
      <c r="AJ286" s="452"/>
      <c r="AK286" s="429"/>
      <c r="AL286" s="441" t="s">
        <v>291</v>
      </c>
      <c r="AM286" s="441"/>
      <c r="AN286" s="441" t="e">
        <f>VLOOKUP(AA287,常规材料表!$1:$1048576,22,0)</f>
        <v>#N/A</v>
      </c>
      <c r="AO286" s="441" t="e">
        <f>VLOOKUP(AM286,标准件价格!$C:$D,2,0)</f>
        <v>#N/A</v>
      </c>
      <c r="AP286" s="441" t="e">
        <f>AN286*AO286</f>
        <v>#N/A</v>
      </c>
      <c r="AQ286" s="111">
        <f>IFERROR(VLOOKUP(AM286,标准件价格!$C:$E,3,0),0)</f>
        <v>0</v>
      </c>
      <c r="BZ286" t="s">
        <v>303</v>
      </c>
      <c r="CA286" s="112" t="s">
        <v>200</v>
      </c>
      <c r="CB286" t="s">
        <v>201</v>
      </c>
      <c r="CC286" t="s">
        <v>202</v>
      </c>
      <c r="CG286" s="122"/>
      <c r="CV286" s="388"/>
    </row>
    <row r="287" spans="1:100" customFormat="1" ht="30" customHeight="1" outlineLevel="1">
      <c r="A287" s="112"/>
      <c r="B287" s="418"/>
      <c r="C287" s="418" t="s">
        <v>516</v>
      </c>
      <c r="D287" s="460"/>
      <c r="E287" s="639">
        <f>IFERROR((6.5*1.02+2+0.25*2/D287)/1.13+1,0)</f>
        <v>0</v>
      </c>
      <c r="F287" s="636">
        <f>IF(D287&gt;0,F335,0)</f>
        <v>0</v>
      </c>
      <c r="G287" s="418"/>
      <c r="H287" s="421">
        <f>D287*E287*F287</f>
        <v>0</v>
      </c>
      <c r="I287" s="386"/>
      <c r="J287" s="450"/>
      <c r="K287" s="54" t="s">
        <v>237</v>
      </c>
      <c r="L287" s="54"/>
      <c r="O287" s="425" t="s">
        <v>511</v>
      </c>
      <c r="P287" s="425"/>
      <c r="R287" s="420">
        <f>D286</f>
        <v>6.5</v>
      </c>
      <c r="S287" s="420">
        <v>1.01</v>
      </c>
      <c r="T287" s="420">
        <f>R287*S287/1.13</f>
        <v>5.8097345132743374</v>
      </c>
      <c r="U287" s="420">
        <f>0.25</f>
        <v>0.25</v>
      </c>
      <c r="V287" s="420">
        <f>AF287</f>
        <v>0.95</v>
      </c>
      <c r="W287" s="420">
        <f>1.1*6/Y287/1.13</f>
        <v>3.1001634631644213</v>
      </c>
      <c r="X287" s="420">
        <f>(T287+U287+V287+W287)*Y287</f>
        <v>19.047047787610627</v>
      </c>
      <c r="Y287" s="469">
        <f>E285</f>
        <v>1.8840000000000003</v>
      </c>
      <c r="Z287" s="427">
        <f>Y287*AC287</f>
        <v>1.8840000000000003</v>
      </c>
      <c r="AA287" s="470" t="str">
        <f>D285</f>
        <v>200*200*t6</v>
      </c>
      <c r="AB287" s="440" t="str">
        <f>AA284</f>
        <v>10070-23</v>
      </c>
      <c r="AC287" s="429">
        <f>AB284</f>
        <v>1</v>
      </c>
      <c r="AD287" s="471">
        <f>J285</f>
        <v>0</v>
      </c>
      <c r="AE287" s="439" t="str">
        <f>G285</f>
        <v>喷塑</v>
      </c>
      <c r="AF287" s="440">
        <f>IF(AE287="预镀锌",0,IF(AE287="喷塑",0.95,IF(AE287="热镀锌",3,IF(AE287="冷镀锌",2.2,0))))</f>
        <v>0.95</v>
      </c>
      <c r="AG287" s="440"/>
      <c r="AH287" s="429"/>
      <c r="AI287" s="441"/>
      <c r="AL287" s="429"/>
      <c r="AM287" s="429"/>
      <c r="AN287" s="429"/>
      <c r="AO287" s="429"/>
      <c r="AP287" s="429"/>
      <c r="AQ287" s="111">
        <f>IFERROR(VLOOKUP(AM287,标准件价格!$C:$E,3,0),0)</f>
        <v>0</v>
      </c>
      <c r="BZ287" t="s">
        <v>303</v>
      </c>
      <c r="CA287" s="112" t="s">
        <v>200</v>
      </c>
      <c r="CB287" t="s">
        <v>201</v>
      </c>
      <c r="CC287" t="s">
        <v>202</v>
      </c>
      <c r="CG287" s="122"/>
      <c r="CV287" s="388"/>
    </row>
    <row r="288" spans="1:100" customFormat="1" ht="30" customHeight="1" outlineLevel="1">
      <c r="A288" s="112"/>
      <c r="B288" s="414">
        <v>0</v>
      </c>
      <c r="C288" s="465">
        <f>报价辅助计算!$E$13</f>
        <v>0</v>
      </c>
      <c r="D288" s="380"/>
      <c r="E288" s="651" t="s">
        <v>8</v>
      </c>
      <c r="F288" s="654"/>
      <c r="G288" s="418"/>
      <c r="H288" s="421"/>
      <c r="I288" s="421"/>
      <c r="J288" s="422"/>
      <c r="K288" s="54" t="s">
        <v>237</v>
      </c>
      <c r="L288" s="54"/>
      <c r="O288" s="425" t="s">
        <v>511</v>
      </c>
      <c r="P288" s="425"/>
      <c r="R288" s="387"/>
      <c r="S288" s="387"/>
      <c r="T288" s="387"/>
      <c r="U288" s="387"/>
      <c r="V288" s="387"/>
      <c r="W288" s="387"/>
      <c r="X288" s="387"/>
      <c r="AQ288" s="110"/>
      <c r="BZ288" t="s">
        <v>303</v>
      </c>
      <c r="CA288" s="112" t="s">
        <v>200</v>
      </c>
      <c r="CB288" t="s">
        <v>201</v>
      </c>
      <c r="CC288" t="s">
        <v>202</v>
      </c>
      <c r="CG288" s="122"/>
      <c r="CV288" s="388"/>
    </row>
    <row r="289" spans="1:100" s="376" customFormat="1" ht="30" customHeight="1">
      <c r="A289" s="472"/>
      <c r="B289" s="473"/>
      <c r="C289" s="473"/>
      <c r="D289" s="473"/>
      <c r="E289" s="474"/>
      <c r="F289" s="473"/>
      <c r="G289" s="473"/>
      <c r="H289" s="421"/>
      <c r="I289" s="421"/>
      <c r="J289" s="422"/>
      <c r="K289" s="475"/>
      <c r="L289" s="475"/>
      <c r="R289" s="387"/>
      <c r="S289" s="387"/>
      <c r="T289" s="387"/>
      <c r="U289" s="387"/>
      <c r="V289" s="387"/>
      <c r="W289" s="387"/>
      <c r="X289" s="387"/>
      <c r="AQ289" s="476"/>
      <c r="BZ289" t="s">
        <v>303</v>
      </c>
      <c r="CA289" s="112" t="s">
        <v>200</v>
      </c>
      <c r="CB289" t="s">
        <v>201</v>
      </c>
      <c r="CC289" t="s">
        <v>202</v>
      </c>
      <c r="CD289"/>
      <c r="CE289"/>
      <c r="CF289"/>
      <c r="CG289" s="122"/>
    </row>
    <row r="290" spans="1:100" customFormat="1" ht="30" customHeight="1">
      <c r="A290" s="112" t="str">
        <f>IF($C$13=1,IF(K290="报价行",IF(F290&gt;0,1," ")," ")," ")</f>
        <v xml:space="preserve"> </v>
      </c>
      <c r="B290" s="414" t="str">
        <f>IF(A290=1,SUM($A$11:A290),"平台立柱/主次梁")</f>
        <v>平台立柱/主次梁</v>
      </c>
      <c r="C290" s="460" t="s">
        <v>312</v>
      </c>
      <c r="D290" s="645">
        <v>3600</v>
      </c>
      <c r="E290" s="547" t="s">
        <v>517</v>
      </c>
      <c r="F290" s="460"/>
      <c r="G290" s="419" t="e">
        <f>C291+C292*F292/F290</f>
        <v>#DIV/0!</v>
      </c>
      <c r="H290" s="420" t="e">
        <f>H291+H292</f>
        <v>#DIV/0!</v>
      </c>
      <c r="I290" s="421" t="s">
        <v>292</v>
      </c>
      <c r="J290" s="422"/>
      <c r="K290" s="423" t="s">
        <v>217</v>
      </c>
      <c r="L290" s="54"/>
      <c r="O290" t="s">
        <v>518</v>
      </c>
      <c r="R290" s="387"/>
      <c r="S290" s="387"/>
      <c r="T290" s="387"/>
      <c r="U290" s="387"/>
      <c r="V290" s="387"/>
      <c r="W290" s="387"/>
      <c r="X290" s="387"/>
      <c r="AQ290" s="110"/>
      <c r="AX290" t="str">
        <f>E290</f>
        <v>HS200*200*4.0</v>
      </c>
      <c r="AY290" s="494">
        <f>D290</f>
        <v>3600</v>
      </c>
      <c r="AZ290">
        <f>F290</f>
        <v>0</v>
      </c>
      <c r="BA290" s="256" t="e">
        <f>G290</f>
        <v>#DIV/0!</v>
      </c>
      <c r="BB290" t="e">
        <f>AZ290*BA290</f>
        <v>#DIV/0!</v>
      </c>
      <c r="BC290" s="495"/>
      <c r="BR290" t="str">
        <f>I290</f>
        <v>Blue Ral5015</v>
      </c>
      <c r="BZ290" t="s">
        <v>518</v>
      </c>
      <c r="CC290" t="s">
        <v>202</v>
      </c>
      <c r="CG290" s="122"/>
      <c r="CV290" s="388"/>
    </row>
    <row r="291" spans="1:100" customFormat="1" ht="30" customHeight="1" outlineLevel="1">
      <c r="A291" s="112"/>
      <c r="B291" s="418"/>
      <c r="C291" s="460">
        <f>0.8*4*7.85*D290/1000+(0.28*0.28*13+0.2*0.15*10*6)*7.85+6</f>
        <v>118.56272</v>
      </c>
      <c r="D291" s="460">
        <v>5.5</v>
      </c>
      <c r="E291" s="460">
        <f>0.9+0.2</f>
        <v>1.1000000000000001</v>
      </c>
      <c r="F291" s="418">
        <f>F290</f>
        <v>0</v>
      </c>
      <c r="G291" s="514" t="s">
        <v>236</v>
      </c>
      <c r="H291" s="421" t="e">
        <f>C291*(D291*1.01+E291)/1.13*F291/F290</f>
        <v>#DIV/0!</v>
      </c>
      <c r="I291" s="421"/>
      <c r="J291" s="422"/>
      <c r="K291" s="54" t="s">
        <v>237</v>
      </c>
      <c r="L291" s="54"/>
      <c r="O291" t="s">
        <v>518</v>
      </c>
      <c r="R291" s="387"/>
      <c r="S291" s="387"/>
      <c r="T291" s="387"/>
      <c r="U291" s="387"/>
      <c r="V291" s="387"/>
      <c r="W291" s="387"/>
      <c r="X291" s="387"/>
      <c r="AQ291" s="110"/>
      <c r="AX291" t="s">
        <v>156</v>
      </c>
      <c r="AY291" t="s">
        <v>246</v>
      </c>
      <c r="AZ291" t="s">
        <v>102</v>
      </c>
      <c r="BA291" t="s">
        <v>158</v>
      </c>
      <c r="BB291" t="s">
        <v>247</v>
      </c>
      <c r="BC291" t="s">
        <v>248</v>
      </c>
      <c r="BD291" t="s">
        <v>249</v>
      </c>
      <c r="BE291" t="s">
        <v>250</v>
      </c>
      <c r="BF291" t="s">
        <v>251</v>
      </c>
      <c r="BZ291" t="s">
        <v>518</v>
      </c>
      <c r="CC291" t="s">
        <v>202</v>
      </c>
      <c r="CG291" s="122"/>
      <c r="CV291" s="388"/>
    </row>
    <row r="292" spans="1:100" customFormat="1" ht="30" customHeight="1" outlineLevel="1">
      <c r="A292" s="112"/>
      <c r="B292" s="418" t="s">
        <v>519</v>
      </c>
      <c r="C292" s="112">
        <f>0.23*0.18*8*7.85</f>
        <v>2.59992</v>
      </c>
      <c r="D292" s="655">
        <v>6</v>
      </c>
      <c r="E292" s="655">
        <f>0.9+0.2</f>
        <v>1.1000000000000001</v>
      </c>
      <c r="F292" s="561"/>
      <c r="G292" s="418"/>
      <c r="H292" s="421" t="e">
        <f>C292*(D292*1.01+E292)/1.13*F292/F291</f>
        <v>#DIV/0!</v>
      </c>
      <c r="I292" s="421"/>
      <c r="J292" s="422"/>
      <c r="K292" s="54" t="s">
        <v>237</v>
      </c>
      <c r="L292" s="54"/>
      <c r="O292" t="s">
        <v>518</v>
      </c>
      <c r="R292" s="387"/>
      <c r="S292" s="387"/>
      <c r="T292" s="387"/>
      <c r="U292" s="387"/>
      <c r="V292" s="387"/>
      <c r="W292" s="387"/>
      <c r="X292" s="387"/>
      <c r="AQ292" s="110"/>
      <c r="BZ292" t="s">
        <v>518</v>
      </c>
      <c r="CC292" t="s">
        <v>202</v>
      </c>
      <c r="CG292" s="122"/>
      <c r="CV292" s="388"/>
    </row>
    <row r="293" spans="1:100" customFormat="1" ht="30" customHeight="1" outlineLevel="1">
      <c r="A293" s="112"/>
      <c r="B293" s="414">
        <v>0</v>
      </c>
      <c r="C293" s="418"/>
      <c r="D293" s="564" t="s">
        <v>520</v>
      </c>
      <c r="E293" s="564" t="s">
        <v>521</v>
      </c>
      <c r="F293" s="561"/>
      <c r="G293" s="418"/>
      <c r="H293" s="421"/>
      <c r="I293" s="421"/>
      <c r="J293" s="422"/>
      <c r="K293" s="54" t="s">
        <v>237</v>
      </c>
      <c r="L293" s="54"/>
      <c r="O293" t="s">
        <v>518</v>
      </c>
      <c r="R293" s="387"/>
      <c r="S293" s="387"/>
      <c r="T293" s="387"/>
      <c r="U293" s="387"/>
      <c r="V293" s="387"/>
      <c r="W293" s="387"/>
      <c r="X293" s="387"/>
      <c r="AQ293" s="110"/>
      <c r="BZ293" t="s">
        <v>518</v>
      </c>
      <c r="CC293" t="s">
        <v>202</v>
      </c>
      <c r="CG293" s="122"/>
      <c r="CV293" s="388"/>
    </row>
    <row r="294" spans="1:100" s="376" customFormat="1" ht="30" customHeight="1">
      <c r="A294" s="472"/>
      <c r="B294" s="473"/>
      <c r="C294" s="473"/>
      <c r="D294" s="473"/>
      <c r="E294" s="474"/>
      <c r="F294" s="473"/>
      <c r="G294" s="473"/>
      <c r="H294" s="421"/>
      <c r="I294" s="421"/>
      <c r="J294" s="422"/>
      <c r="K294" s="475"/>
      <c r="L294" s="475"/>
      <c r="R294" s="387"/>
      <c r="S294" s="387"/>
      <c r="T294" s="387"/>
      <c r="U294" s="387"/>
      <c r="V294" s="387"/>
      <c r="W294" s="387"/>
      <c r="X294" s="387"/>
      <c r="AQ294" s="476"/>
      <c r="BZ294" t="s">
        <v>518</v>
      </c>
      <c r="CA294"/>
      <c r="CB294"/>
      <c r="CC294" t="s">
        <v>202</v>
      </c>
      <c r="CD294"/>
      <c r="CE294"/>
      <c r="CF294"/>
      <c r="CG294" s="122"/>
    </row>
    <row r="295" spans="1:100" customFormat="1" ht="30" customHeight="1">
      <c r="A295" s="112" t="str">
        <f>IF($C$13=1,IF(K295="报价行",IF(F295&gt;0,1," ")," ")," ")</f>
        <v xml:space="preserve"> </v>
      </c>
      <c r="B295" s="414" t="str">
        <f>IF(A295=1,SUM($A$11:A295),"平台其他")</f>
        <v>平台其他</v>
      </c>
      <c r="C295" s="460" t="s">
        <v>522</v>
      </c>
      <c r="D295" s="645"/>
      <c r="E295" s="547"/>
      <c r="F295" s="460"/>
      <c r="G295" s="419">
        <f>C296</f>
        <v>28.13072</v>
      </c>
      <c r="H295" s="420" t="e">
        <f>H296</f>
        <v>#DIV/0!</v>
      </c>
      <c r="I295" s="421" t="s">
        <v>292</v>
      </c>
      <c r="J295" s="422"/>
      <c r="K295" s="423" t="s">
        <v>217</v>
      </c>
      <c r="L295" s="54"/>
      <c r="O295" t="s">
        <v>523</v>
      </c>
      <c r="R295" s="387"/>
      <c r="S295" s="387"/>
      <c r="T295" s="387"/>
      <c r="U295" s="387"/>
      <c r="V295" s="387"/>
      <c r="W295" s="387"/>
      <c r="X295" s="387"/>
      <c r="AQ295" s="110"/>
      <c r="AX295">
        <f>E295</f>
        <v>0</v>
      </c>
      <c r="AY295" s="494">
        <f>D295</f>
        <v>0</v>
      </c>
      <c r="AZ295">
        <f>F295</f>
        <v>0</v>
      </c>
      <c r="BA295" s="256">
        <f>G295</f>
        <v>28.13072</v>
      </c>
      <c r="BB295">
        <f>AZ295*BA295</f>
        <v>0</v>
      </c>
      <c r="BC295" s="495"/>
      <c r="BR295" t="str">
        <f>I295</f>
        <v>Blue Ral5015</v>
      </c>
      <c r="BZ295" t="s">
        <v>523</v>
      </c>
      <c r="CC295" t="s">
        <v>202</v>
      </c>
      <c r="CG295" s="122"/>
      <c r="CV295" s="388"/>
    </row>
    <row r="296" spans="1:100" customFormat="1" ht="30" customHeight="1" outlineLevel="1">
      <c r="A296" s="112"/>
      <c r="B296" s="418"/>
      <c r="C296" s="460">
        <f>0.8*4*7.85*D295/1000+(0.28*0.28*13+0.2*0.15*10*6)*7.85+6</f>
        <v>28.13072</v>
      </c>
      <c r="D296" s="460">
        <v>6</v>
      </c>
      <c r="E296" s="460">
        <f>0.9+0.2</f>
        <v>1.1000000000000001</v>
      </c>
      <c r="F296" s="418">
        <f>F295</f>
        <v>0</v>
      </c>
      <c r="G296" s="514" t="s">
        <v>236</v>
      </c>
      <c r="H296" s="421" t="e">
        <f>C296*(D296*1.01+E296)/1.13*F296/F295</f>
        <v>#DIV/0!</v>
      </c>
      <c r="I296" s="421"/>
      <c r="J296" s="422"/>
      <c r="K296" s="54" t="s">
        <v>237</v>
      </c>
      <c r="L296" s="54"/>
      <c r="O296" t="s">
        <v>523</v>
      </c>
      <c r="R296" s="387"/>
      <c r="S296" s="387"/>
      <c r="T296" s="387"/>
      <c r="U296" s="387"/>
      <c r="V296" s="387"/>
      <c r="W296" s="387"/>
      <c r="X296" s="387"/>
      <c r="AQ296" s="110"/>
      <c r="AX296" t="s">
        <v>156</v>
      </c>
      <c r="AY296" t="s">
        <v>246</v>
      </c>
      <c r="AZ296" t="s">
        <v>102</v>
      </c>
      <c r="BA296" t="s">
        <v>158</v>
      </c>
      <c r="BB296" t="s">
        <v>247</v>
      </c>
      <c r="BC296" t="s">
        <v>248</v>
      </c>
      <c r="BD296" t="s">
        <v>249</v>
      </c>
      <c r="BE296" t="s">
        <v>250</v>
      </c>
      <c r="BF296" t="s">
        <v>251</v>
      </c>
      <c r="BZ296" t="s">
        <v>523</v>
      </c>
      <c r="CC296" t="s">
        <v>202</v>
      </c>
      <c r="CG296" s="122"/>
      <c r="CV296" s="388"/>
    </row>
    <row r="297" spans="1:100" customFormat="1" ht="30" customHeight="1" outlineLevel="1">
      <c r="A297" s="112"/>
      <c r="B297" s="418"/>
      <c r="C297" s="656" t="s">
        <v>524</v>
      </c>
      <c r="D297" s="418" t="s">
        <v>525</v>
      </c>
      <c r="E297" s="418" t="s">
        <v>526</v>
      </c>
      <c r="F297" s="418"/>
      <c r="G297" s="418"/>
      <c r="H297" s="421"/>
      <c r="I297" s="421"/>
      <c r="J297" s="422"/>
      <c r="K297" s="54" t="s">
        <v>237</v>
      </c>
      <c r="L297" s="54"/>
      <c r="O297" t="s">
        <v>523</v>
      </c>
      <c r="R297" s="387"/>
      <c r="S297" s="387"/>
      <c r="T297" s="387"/>
      <c r="U297" s="387"/>
      <c r="V297" s="387"/>
      <c r="W297" s="387"/>
      <c r="X297" s="387"/>
      <c r="AQ297" s="110"/>
      <c r="BZ297" t="s">
        <v>523</v>
      </c>
      <c r="CC297" t="s">
        <v>202</v>
      </c>
      <c r="CG297" s="122"/>
      <c r="CV297" s="388"/>
    </row>
    <row r="298" spans="1:100" customFormat="1" ht="30" customHeight="1" outlineLevel="1">
      <c r="A298" s="112"/>
      <c r="B298" s="414">
        <v>0</v>
      </c>
      <c r="C298" s="418" t="s">
        <v>527</v>
      </c>
      <c r="D298" s="564" t="s">
        <v>522</v>
      </c>
      <c r="E298" s="564" t="s">
        <v>528</v>
      </c>
      <c r="F298" s="561" t="s">
        <v>529</v>
      </c>
      <c r="G298" s="418" t="s">
        <v>530</v>
      </c>
      <c r="H298" s="421" t="s">
        <v>531</v>
      </c>
      <c r="I298" s="421"/>
      <c r="J298" s="422"/>
      <c r="K298" s="54" t="s">
        <v>237</v>
      </c>
      <c r="L298" s="54"/>
      <c r="O298" t="s">
        <v>523</v>
      </c>
      <c r="R298" s="387"/>
      <c r="S298" s="387"/>
      <c r="T298" s="387"/>
      <c r="U298" s="387"/>
      <c r="V298" s="387"/>
      <c r="W298" s="387"/>
      <c r="X298" s="387"/>
      <c r="AQ298" s="110"/>
      <c r="BZ298" t="s">
        <v>523</v>
      </c>
      <c r="CC298" t="s">
        <v>202</v>
      </c>
      <c r="CG298" s="122"/>
      <c r="CV298" s="388"/>
    </row>
    <row r="299" spans="1:100" s="376" customFormat="1" ht="30" customHeight="1">
      <c r="A299" s="472"/>
      <c r="B299" s="473"/>
      <c r="C299" s="473"/>
      <c r="D299" s="473"/>
      <c r="E299" s="474"/>
      <c r="F299" s="473"/>
      <c r="G299" s="473"/>
      <c r="H299" s="421"/>
      <c r="I299" s="421"/>
      <c r="J299" s="422"/>
      <c r="K299" s="475"/>
      <c r="L299" s="475"/>
      <c r="R299" s="387"/>
      <c r="S299" s="387"/>
      <c r="T299" s="387"/>
      <c r="U299" s="387"/>
      <c r="V299" s="387"/>
      <c r="W299" s="387"/>
      <c r="X299" s="387"/>
      <c r="AQ299" s="476"/>
      <c r="BZ299" t="s">
        <v>523</v>
      </c>
      <c r="CA299"/>
      <c r="CB299"/>
      <c r="CC299" t="s">
        <v>202</v>
      </c>
      <c r="CD299"/>
      <c r="CE299"/>
      <c r="CF299"/>
      <c r="CG299" s="122"/>
    </row>
    <row r="300" spans="1:100" customFormat="1" ht="30" customHeight="1">
      <c r="A300" s="112" t="str">
        <f>IF($C$13=1,IF(K300="报价行",IF(F300&gt;0,1," ")," ")," ")</f>
        <v xml:space="preserve"> </v>
      </c>
      <c r="B300" s="414" t="str">
        <f>IF(A300=1,SUM($A$11:A300),"标准件")</f>
        <v>标准件</v>
      </c>
      <c r="C300" s="415" t="str">
        <f>B301&amp;IF(C304=1,CHAR(10)&amp;B302," ")</f>
        <v xml:space="preserve">Turnbuckle </v>
      </c>
      <c r="D300" s="536"/>
      <c r="E300" s="641" t="s">
        <v>532</v>
      </c>
      <c r="F300" s="460"/>
      <c r="G300" s="419">
        <v>0.71</v>
      </c>
      <c r="H300" s="420">
        <f>D301*1.01/1.13+D302/1.06</f>
        <v>8.2230088495575231</v>
      </c>
      <c r="I300" s="421"/>
      <c r="J300" s="422"/>
      <c r="K300" s="423" t="s">
        <v>217</v>
      </c>
      <c r="L300" s="54"/>
      <c r="O300" t="s">
        <v>533</v>
      </c>
      <c r="R300" s="387"/>
      <c r="S300" s="387"/>
      <c r="T300" s="387"/>
      <c r="U300" s="387"/>
      <c r="V300" s="387"/>
      <c r="W300" s="387"/>
      <c r="X300" s="387"/>
      <c r="AQ300" s="110"/>
      <c r="AX300" t="str">
        <f>E300</f>
        <v>M12*200</v>
      </c>
      <c r="AY300" s="494">
        <f>D300</f>
        <v>0</v>
      </c>
      <c r="AZ300">
        <f>F300</f>
        <v>0</v>
      </c>
      <c r="BA300" s="256">
        <f>G300</f>
        <v>0.71</v>
      </c>
      <c r="BB300">
        <f>AZ300*BA300</f>
        <v>0</v>
      </c>
      <c r="BC300" s="495"/>
      <c r="BR300">
        <f>I300</f>
        <v>0</v>
      </c>
      <c r="BZ300" t="s">
        <v>533</v>
      </c>
      <c r="CC300" t="s">
        <v>202</v>
      </c>
      <c r="CG300" s="122"/>
      <c r="CV300" s="388"/>
    </row>
    <row r="301" spans="1:100" customFormat="1" ht="30" customHeight="1" outlineLevel="1">
      <c r="A301" s="112"/>
      <c r="B301" s="112" t="s">
        <v>534</v>
      </c>
      <c r="C301" s="418" t="s">
        <v>535</v>
      </c>
      <c r="D301" s="640">
        <f>VLOOKUP(C301,标准件价格!C:D,2,0)</f>
        <v>9.1999999999999993</v>
      </c>
      <c r="E301" s="486" t="s">
        <v>536</v>
      </c>
      <c r="F301" s="418"/>
      <c r="G301" s="418"/>
      <c r="H301" s="421"/>
      <c r="I301" s="421"/>
      <c r="J301" s="422"/>
      <c r="K301" s="54" t="s">
        <v>237</v>
      </c>
      <c r="L301" s="54"/>
      <c r="O301" t="s">
        <v>533</v>
      </c>
      <c r="R301" s="387"/>
      <c r="S301" s="387"/>
      <c r="T301" s="387"/>
      <c r="U301" s="387"/>
      <c r="V301" s="387"/>
      <c r="W301" s="387"/>
      <c r="X301" s="387"/>
      <c r="AQ301" s="110"/>
      <c r="AX301" t="s">
        <v>156</v>
      </c>
      <c r="AY301" t="s">
        <v>246</v>
      </c>
      <c r="AZ301" t="s">
        <v>102</v>
      </c>
      <c r="BA301" t="s">
        <v>158</v>
      </c>
      <c r="BB301" t="s">
        <v>247</v>
      </c>
      <c r="BC301" t="s">
        <v>248</v>
      </c>
      <c r="BD301" t="s">
        <v>249</v>
      </c>
      <c r="BE301" t="s">
        <v>250</v>
      </c>
      <c r="BF301" t="s">
        <v>251</v>
      </c>
      <c r="BZ301" t="s">
        <v>533</v>
      </c>
      <c r="CC301" t="s">
        <v>202</v>
      </c>
      <c r="CG301" s="122"/>
      <c r="CV301" s="388"/>
    </row>
    <row r="302" spans="1:100" customFormat="1" ht="30" customHeight="1" outlineLevel="1">
      <c r="A302" s="112"/>
      <c r="B302" s="418" t="s">
        <v>537</v>
      </c>
      <c r="C302" s="112" t="s">
        <v>538</v>
      </c>
      <c r="D302" s="640"/>
      <c r="E302" s="486" t="s">
        <v>539</v>
      </c>
      <c r="F302" s="418"/>
      <c r="G302" s="418"/>
      <c r="H302" s="421"/>
      <c r="I302" s="421"/>
      <c r="J302" s="422"/>
      <c r="K302" s="54" t="s">
        <v>237</v>
      </c>
      <c r="L302" s="54"/>
      <c r="O302" t="s">
        <v>533</v>
      </c>
      <c r="R302" s="387"/>
      <c r="S302" s="387"/>
      <c r="T302" s="387"/>
      <c r="U302" s="387"/>
      <c r="V302" s="387"/>
      <c r="W302" s="387"/>
      <c r="X302" s="387"/>
      <c r="AQ302" s="110"/>
      <c r="BZ302" t="s">
        <v>533</v>
      </c>
      <c r="CC302" t="s">
        <v>202</v>
      </c>
      <c r="CG302" s="122"/>
      <c r="CV302" s="388"/>
    </row>
    <row r="303" spans="1:100" customFormat="1" ht="30" customHeight="1" outlineLevel="1">
      <c r="A303" s="112"/>
      <c r="B303" s="418"/>
      <c r="C303" s="112"/>
      <c r="D303" s="463"/>
      <c r="E303" s="415"/>
      <c r="F303" s="418"/>
      <c r="G303" s="418"/>
      <c r="H303" s="421"/>
      <c r="I303" s="421"/>
      <c r="J303" s="422"/>
      <c r="K303" s="54" t="s">
        <v>237</v>
      </c>
      <c r="L303" s="54"/>
      <c r="O303" t="s">
        <v>533</v>
      </c>
      <c r="R303" s="387"/>
      <c r="S303" s="387"/>
      <c r="T303" s="387"/>
      <c r="U303" s="387"/>
      <c r="V303" s="387"/>
      <c r="W303" s="387"/>
      <c r="X303" s="387"/>
      <c r="AQ303" s="110"/>
      <c r="BZ303" t="s">
        <v>533</v>
      </c>
      <c r="CC303" t="s">
        <v>202</v>
      </c>
      <c r="CG303" s="122"/>
      <c r="CV303" s="388"/>
    </row>
    <row r="304" spans="1:100" customFormat="1" ht="30" customHeight="1" outlineLevel="1">
      <c r="A304" s="112"/>
      <c r="B304" s="414">
        <v>0</v>
      </c>
      <c r="C304" s="465">
        <f>报价辅助计算!$E$13</f>
        <v>0</v>
      </c>
      <c r="D304" s="418"/>
      <c r="E304" s="415"/>
      <c r="F304" s="418"/>
      <c r="G304" s="418"/>
      <c r="H304" s="421"/>
      <c r="I304" s="421"/>
      <c r="J304" s="422"/>
      <c r="K304" s="54" t="s">
        <v>237</v>
      </c>
      <c r="L304" s="54"/>
      <c r="O304" t="s">
        <v>533</v>
      </c>
      <c r="R304" s="387"/>
      <c r="S304" s="387"/>
      <c r="T304" s="387"/>
      <c r="U304" s="387"/>
      <c r="V304" s="387"/>
      <c r="W304" s="387"/>
      <c r="X304" s="387"/>
      <c r="AQ304" s="110"/>
      <c r="BZ304" t="s">
        <v>533</v>
      </c>
      <c r="CC304" t="s">
        <v>202</v>
      </c>
      <c r="CG304" s="122"/>
      <c r="CV304" s="388"/>
    </row>
    <row r="305" spans="1:100" s="376" customFormat="1" ht="30" customHeight="1">
      <c r="A305" s="472"/>
      <c r="B305" s="473"/>
      <c r="C305" s="473"/>
      <c r="D305" s="473"/>
      <c r="E305" s="474"/>
      <c r="F305" s="473"/>
      <c r="G305" s="473"/>
      <c r="H305" s="421"/>
      <c r="I305" s="421"/>
      <c r="J305" s="422"/>
      <c r="K305" s="475"/>
      <c r="L305" s="475"/>
      <c r="R305" s="387"/>
      <c r="S305" s="387"/>
      <c r="T305" s="387"/>
      <c r="U305" s="387"/>
      <c r="V305" s="387"/>
      <c r="W305" s="387"/>
      <c r="X305" s="387"/>
      <c r="AQ305" s="476"/>
      <c r="BZ305" t="s">
        <v>533</v>
      </c>
      <c r="CA305"/>
      <c r="CB305"/>
      <c r="CC305" t="s">
        <v>202</v>
      </c>
      <c r="CD305"/>
      <c r="CE305"/>
      <c r="CF305"/>
      <c r="CG305" s="122"/>
    </row>
    <row r="306" spans="1:100" customFormat="1" ht="30" customHeight="1">
      <c r="A306" s="112" t="str">
        <f>IF($C$13=1,IF(K306="报价行",IF(F306&gt;0,1," ")," ")," ")</f>
        <v xml:space="preserve"> </v>
      </c>
      <c r="B306" s="414" t="str">
        <f>IF(A306=1,SUM($A$11:A306),"楼板")</f>
        <v>楼板</v>
      </c>
      <c r="C306" s="415" t="str">
        <f>B307&amp;IF(C309=1,CHAR(10)&amp;B308," ")</f>
        <v xml:space="preserve">Steel flooring without hole </v>
      </c>
      <c r="D306" s="536" t="s">
        <v>540</v>
      </c>
      <c r="E306" s="547" t="s">
        <v>541</v>
      </c>
      <c r="F306" s="657"/>
      <c r="G306" s="419">
        <f>C307</f>
        <v>24</v>
      </c>
      <c r="H306" s="420">
        <f>(D307*1.01+E307)*G306/1.13</f>
        <v>110.77168141592921</v>
      </c>
      <c r="I306" s="421" t="s">
        <v>542</v>
      </c>
      <c r="J306" s="422"/>
      <c r="K306" s="423" t="s">
        <v>217</v>
      </c>
      <c r="L306" s="54"/>
      <c r="O306" t="s">
        <v>543</v>
      </c>
      <c r="R306" s="387"/>
      <c r="S306" s="387"/>
      <c r="T306" s="387"/>
      <c r="U306" s="387"/>
      <c r="V306" s="387"/>
      <c r="W306" s="387"/>
      <c r="X306" s="387"/>
      <c r="AQ306" s="110"/>
      <c r="AX306" t="str">
        <f>E306</f>
        <v>C200*40*2.0</v>
      </c>
      <c r="AY306" s="494" t="str">
        <f>D306</f>
        <v>㎡</v>
      </c>
      <c r="AZ306">
        <f>F306</f>
        <v>0</v>
      </c>
      <c r="BA306" s="256">
        <f>G306</f>
        <v>24</v>
      </c>
      <c r="BB306">
        <f>AZ306*BA306</f>
        <v>0</v>
      </c>
      <c r="BC306" s="495"/>
      <c r="BR306" t="str">
        <f>I306</f>
        <v>Grey Ral7047</v>
      </c>
      <c r="BZ306" t="s">
        <v>543</v>
      </c>
      <c r="CC306" t="s">
        <v>202</v>
      </c>
      <c r="CG306" s="122"/>
      <c r="CV306" s="388"/>
    </row>
    <row r="307" spans="1:100" customFormat="1" ht="30" customHeight="1" outlineLevel="1">
      <c r="A307" s="112"/>
      <c r="B307" s="418" t="s">
        <v>544</v>
      </c>
      <c r="C307" s="619">
        <v>24</v>
      </c>
      <c r="D307" s="418">
        <f>VLOOKUP(C308,常规材料表!$1:$1048576,10,0)</f>
        <v>4.05</v>
      </c>
      <c r="E307" s="418">
        <f>IF(G307="喷塑",0.3*2*9*5/C307,0)</f>
        <v>1.1249999999999998</v>
      </c>
      <c r="F307" s="418"/>
      <c r="G307" s="514" t="s">
        <v>236</v>
      </c>
      <c r="H307" s="421"/>
      <c r="I307" s="421"/>
      <c r="J307" s="422"/>
      <c r="K307" s="54" t="s">
        <v>237</v>
      </c>
      <c r="L307" s="54"/>
      <c r="O307" t="s">
        <v>543</v>
      </c>
      <c r="R307" s="387"/>
      <c r="S307" s="387"/>
      <c r="T307" s="387"/>
      <c r="U307" s="387"/>
      <c r="V307" s="387"/>
      <c r="W307" s="387"/>
      <c r="X307" s="387"/>
      <c r="AQ307" s="110"/>
      <c r="AX307" t="s">
        <v>156</v>
      </c>
      <c r="AY307" t="s">
        <v>246</v>
      </c>
      <c r="AZ307" t="s">
        <v>102</v>
      </c>
      <c r="BA307" t="s">
        <v>158</v>
      </c>
      <c r="BB307" t="s">
        <v>247</v>
      </c>
      <c r="BD307" t="s">
        <v>249</v>
      </c>
      <c r="BE307" t="s">
        <v>250</v>
      </c>
      <c r="BF307" t="s">
        <v>251</v>
      </c>
      <c r="BZ307" t="s">
        <v>543</v>
      </c>
      <c r="CC307" t="s">
        <v>202</v>
      </c>
      <c r="CG307" s="122"/>
      <c r="CV307" s="388"/>
    </row>
    <row r="308" spans="1:100" customFormat="1" ht="30" customHeight="1" outlineLevel="1">
      <c r="A308" s="112"/>
      <c r="B308" s="418" t="s">
        <v>545</v>
      </c>
      <c r="C308" s="460" t="s">
        <v>546</v>
      </c>
      <c r="D308" s="418"/>
      <c r="E308" s="418"/>
      <c r="F308" s="418"/>
      <c r="G308" s="418"/>
      <c r="H308" s="421"/>
      <c r="I308" s="421"/>
      <c r="J308" s="422"/>
      <c r="K308" s="54" t="s">
        <v>237</v>
      </c>
      <c r="L308" s="54"/>
      <c r="O308" t="s">
        <v>543</v>
      </c>
      <c r="R308" s="387"/>
      <c r="S308" s="387"/>
      <c r="T308" s="387"/>
      <c r="U308" s="387"/>
      <c r="V308" s="387"/>
      <c r="W308" s="387"/>
      <c r="X308" s="387"/>
      <c r="AQ308" s="110"/>
      <c r="BZ308" t="s">
        <v>543</v>
      </c>
      <c r="CC308" t="s">
        <v>202</v>
      </c>
      <c r="CG308" s="122"/>
      <c r="CV308" s="388"/>
    </row>
    <row r="309" spans="1:100" customFormat="1" ht="30" customHeight="1" outlineLevel="1">
      <c r="A309" s="112"/>
      <c r="B309" s="414">
        <v>0</v>
      </c>
      <c r="C309" s="465">
        <f>报价辅助计算!$E$13</f>
        <v>0</v>
      </c>
      <c r="D309" s="564"/>
      <c r="E309" s="564"/>
      <c r="F309" s="561"/>
      <c r="G309" s="418"/>
      <c r="H309" s="421"/>
      <c r="I309" s="421"/>
      <c r="J309" s="422"/>
      <c r="K309" s="54" t="s">
        <v>237</v>
      </c>
      <c r="L309" s="54"/>
      <c r="O309" t="s">
        <v>543</v>
      </c>
      <c r="R309" s="387"/>
      <c r="S309" s="387"/>
      <c r="T309" s="387"/>
      <c r="U309" s="387"/>
      <c r="V309" s="387"/>
      <c r="W309" s="387"/>
      <c r="X309" s="387"/>
      <c r="AQ309" s="110"/>
      <c r="BZ309" t="s">
        <v>543</v>
      </c>
      <c r="CC309" t="s">
        <v>202</v>
      </c>
      <c r="CG309" s="122"/>
      <c r="CV309" s="388"/>
    </row>
    <row r="310" spans="1:100" s="376" customFormat="1" ht="30" customHeight="1">
      <c r="A310" s="472"/>
      <c r="B310" s="473"/>
      <c r="C310" s="473"/>
      <c r="D310" s="473"/>
      <c r="E310" s="474"/>
      <c r="F310" s="473"/>
      <c r="G310" s="473"/>
      <c r="H310" s="421"/>
      <c r="I310" s="421"/>
      <c r="J310" s="422"/>
      <c r="K310" s="475"/>
      <c r="L310" s="475"/>
      <c r="R310" s="387"/>
      <c r="S310" s="387"/>
      <c r="T310" s="387"/>
      <c r="U310" s="387"/>
      <c r="V310" s="387"/>
      <c r="W310" s="387"/>
      <c r="X310" s="387"/>
      <c r="AQ310" s="476"/>
      <c r="BZ310" t="s">
        <v>543</v>
      </c>
      <c r="CA310"/>
      <c r="CB310"/>
      <c r="CC310" t="s">
        <v>202</v>
      </c>
      <c r="CD310"/>
      <c r="CE310"/>
      <c r="CF310"/>
      <c r="CG310" s="122"/>
    </row>
    <row r="311" spans="1:100" customFormat="1" ht="30" customHeight="1">
      <c r="A311" s="112" t="str">
        <f>IF($C$13=1,IF(K311="报价行",IF(F311&gt;0,1," ")," ")," ")</f>
        <v xml:space="preserve"> </v>
      </c>
      <c r="B311" s="414" t="str">
        <f>IF(A311=1,SUM($A$11:A311),"楼板扣件")</f>
        <v>楼板扣件</v>
      </c>
      <c r="C311" s="415" t="str">
        <f>B312&amp;IF(C314=1,CHAR(10)&amp;B313," ")</f>
        <v xml:space="preserve">Bolt for steel flooring </v>
      </c>
      <c r="D311" s="536"/>
      <c r="E311" s="547"/>
      <c r="F311" s="460"/>
      <c r="G311" s="419">
        <f>C312</f>
        <v>0.2</v>
      </c>
      <c r="H311" s="420">
        <f>(D312*1.01+E312)*G311/1.13</f>
        <v>1.0940176991150443</v>
      </c>
      <c r="I311" s="421" t="s">
        <v>396</v>
      </c>
      <c r="J311" s="422"/>
      <c r="K311" s="423" t="s">
        <v>217</v>
      </c>
      <c r="L311" s="54"/>
      <c r="O311" t="s">
        <v>547</v>
      </c>
      <c r="R311" s="387"/>
      <c r="S311" s="387"/>
      <c r="T311" s="387"/>
      <c r="U311" s="387"/>
      <c r="V311" s="387"/>
      <c r="W311" s="387"/>
      <c r="X311" s="387"/>
      <c r="AQ311" s="110"/>
      <c r="AX311">
        <f>E311</f>
        <v>0</v>
      </c>
      <c r="AY311" s="494">
        <f>D311</f>
        <v>0</v>
      </c>
      <c r="AZ311">
        <f>F311</f>
        <v>0</v>
      </c>
      <c r="BA311" s="256">
        <f>G311</f>
        <v>0.2</v>
      </c>
      <c r="BB311">
        <f>AZ311*BA311</f>
        <v>0</v>
      </c>
      <c r="BC311" s="495"/>
      <c r="BR311" t="str">
        <f>I311</f>
        <v>Gal</v>
      </c>
      <c r="BZ311" t="s">
        <v>547</v>
      </c>
      <c r="CC311" t="s">
        <v>202</v>
      </c>
      <c r="CG311" s="122"/>
      <c r="CV311" s="388"/>
    </row>
    <row r="312" spans="1:100" customFormat="1" ht="30" customHeight="1" outlineLevel="1">
      <c r="A312" s="112"/>
      <c r="B312" s="623" t="s">
        <v>548</v>
      </c>
      <c r="C312" s="619">
        <v>0.2</v>
      </c>
      <c r="D312" s="418">
        <f>1.2/C312*1.02</f>
        <v>6.1199999999999992</v>
      </c>
      <c r="E312" s="418">
        <f>IF(G312="喷塑",0.95,0)</f>
        <v>0</v>
      </c>
      <c r="F312" s="418"/>
      <c r="G312" s="514" t="s">
        <v>549</v>
      </c>
      <c r="H312" s="421"/>
      <c r="I312" s="421"/>
      <c r="J312" s="422"/>
      <c r="K312" s="54" t="s">
        <v>237</v>
      </c>
      <c r="L312" s="54"/>
      <c r="O312" t="s">
        <v>547</v>
      </c>
      <c r="R312" s="387"/>
      <c r="S312" s="387"/>
      <c r="T312" s="387"/>
      <c r="U312" s="387"/>
      <c r="V312" s="387"/>
      <c r="W312" s="387"/>
      <c r="X312" s="387"/>
      <c r="AQ312" s="110"/>
      <c r="AX312" t="s">
        <v>156</v>
      </c>
      <c r="AY312" t="s">
        <v>246</v>
      </c>
      <c r="AZ312" t="s">
        <v>102</v>
      </c>
      <c r="BA312" t="s">
        <v>158</v>
      </c>
      <c r="BB312" t="s">
        <v>247</v>
      </c>
      <c r="BD312" t="s">
        <v>249</v>
      </c>
      <c r="BE312" t="s">
        <v>250</v>
      </c>
      <c r="BF312" t="s">
        <v>251</v>
      </c>
      <c r="BZ312" t="s">
        <v>547</v>
      </c>
      <c r="CC312" t="s">
        <v>202</v>
      </c>
      <c r="CG312" s="122"/>
      <c r="CV312" s="388"/>
    </row>
    <row r="313" spans="1:100" customFormat="1" ht="30" customHeight="1" outlineLevel="1">
      <c r="A313" s="112"/>
      <c r="B313" s="418" t="s">
        <v>547</v>
      </c>
      <c r="C313" s="418"/>
      <c r="D313" s="418"/>
      <c r="E313" s="418"/>
      <c r="F313" s="418"/>
      <c r="G313" s="418"/>
      <c r="H313" s="421"/>
      <c r="I313" s="421"/>
      <c r="J313" s="422"/>
      <c r="K313" s="54" t="s">
        <v>237</v>
      </c>
      <c r="L313" s="54"/>
      <c r="O313" t="s">
        <v>547</v>
      </c>
      <c r="R313" s="387"/>
      <c r="S313" s="387"/>
      <c r="T313" s="387"/>
      <c r="U313" s="387"/>
      <c r="V313" s="387"/>
      <c r="W313" s="387"/>
      <c r="X313" s="387"/>
      <c r="AQ313" s="110"/>
      <c r="BZ313" t="s">
        <v>547</v>
      </c>
      <c r="CC313" t="s">
        <v>202</v>
      </c>
      <c r="CG313" s="122"/>
      <c r="CV313" s="388"/>
    </row>
    <row r="314" spans="1:100" customFormat="1" ht="30" customHeight="1" outlineLevel="1">
      <c r="A314" s="112"/>
      <c r="B314" s="414">
        <v>0</v>
      </c>
      <c r="C314" s="465">
        <f>报价辅助计算!$E$13</f>
        <v>0</v>
      </c>
      <c r="D314" s="418" t="s">
        <v>550</v>
      </c>
      <c r="E314" s="564" t="s">
        <v>551</v>
      </c>
      <c r="F314" s="561"/>
      <c r="G314" s="418"/>
      <c r="H314" s="421"/>
      <c r="I314" s="421"/>
      <c r="J314" s="422"/>
      <c r="K314" s="54" t="s">
        <v>237</v>
      </c>
      <c r="L314" s="54"/>
      <c r="O314" t="s">
        <v>547</v>
      </c>
      <c r="R314" s="387"/>
      <c r="S314" s="387"/>
      <c r="T314" s="387"/>
      <c r="U314" s="387"/>
      <c r="V314" s="387"/>
      <c r="W314" s="387"/>
      <c r="X314" s="387"/>
      <c r="AQ314" s="110"/>
      <c r="BZ314" t="s">
        <v>547</v>
      </c>
      <c r="CC314" t="s">
        <v>202</v>
      </c>
      <c r="CG314" s="122"/>
      <c r="CV314" s="388"/>
    </row>
    <row r="315" spans="1:100" s="376" customFormat="1" ht="30" customHeight="1">
      <c r="A315" s="472"/>
      <c r="B315" s="473"/>
      <c r="C315" s="473"/>
      <c r="D315" s="473"/>
      <c r="E315" s="474"/>
      <c r="F315" s="473"/>
      <c r="G315" s="473"/>
      <c r="H315" s="421"/>
      <c r="I315" s="421"/>
      <c r="J315" s="422"/>
      <c r="K315" s="475"/>
      <c r="L315" s="475"/>
      <c r="R315" s="387"/>
      <c r="S315" s="387"/>
      <c r="T315" s="387"/>
      <c r="U315" s="387"/>
      <c r="V315" s="387"/>
      <c r="W315" s="387"/>
      <c r="X315" s="387"/>
      <c r="AQ315" s="476"/>
      <c r="BZ315" t="s">
        <v>547</v>
      </c>
      <c r="CA315"/>
      <c r="CB315"/>
      <c r="CC315" t="s">
        <v>202</v>
      </c>
      <c r="CD315"/>
      <c r="CE315"/>
      <c r="CF315"/>
      <c r="CG315" s="122"/>
    </row>
    <row r="316" spans="1:100" customFormat="1" ht="30" customHeight="1">
      <c r="A316" s="112" t="str">
        <f>IF($C$13=1,IF(K316="报价行",IF(F316&gt;0,1," ")," ")," ")</f>
        <v xml:space="preserve"> </v>
      </c>
      <c r="B316" s="414" t="str">
        <f>IF(A316=1,SUM($A$11:A316),"踢脚线")</f>
        <v>踢脚线</v>
      </c>
      <c r="C316" s="415" t="str">
        <f>B317&amp;IF(C319=1,CHAR(10)&amp;B318," ")</f>
        <v xml:space="preserve">Skirt </v>
      </c>
      <c r="D316" s="645">
        <v>1000</v>
      </c>
      <c r="E316" s="658" t="s">
        <v>552</v>
      </c>
      <c r="F316" s="460"/>
      <c r="G316" s="419">
        <f>C317</f>
        <v>1.7662499999999997</v>
      </c>
      <c r="H316" s="420">
        <f>(D317*1.01+E317+F317)*G316/1.13</f>
        <v>10.071018805309734</v>
      </c>
      <c r="I316" s="421" t="s">
        <v>425</v>
      </c>
      <c r="J316" s="422"/>
      <c r="K316" s="423" t="s">
        <v>217</v>
      </c>
      <c r="L316" s="54"/>
      <c r="O316" t="s">
        <v>553</v>
      </c>
      <c r="R316" s="387"/>
      <c r="S316" s="387"/>
      <c r="T316" s="387"/>
      <c r="U316" s="387"/>
      <c r="V316" s="387"/>
      <c r="W316" s="387"/>
      <c r="X316" s="387"/>
      <c r="AQ316" s="110"/>
      <c r="AX316" t="str">
        <f>E316</f>
        <v>L100*40*1.5</v>
      </c>
      <c r="AY316" s="494">
        <f>D316</f>
        <v>1000</v>
      </c>
      <c r="AZ316">
        <f>F316</f>
        <v>0</v>
      </c>
      <c r="BA316" s="256">
        <f>G316</f>
        <v>1.7662499999999997</v>
      </c>
      <c r="BB316">
        <f>AZ316*BA316</f>
        <v>0</v>
      </c>
      <c r="BC316" s="495"/>
      <c r="BR316" t="str">
        <f>I316</f>
        <v>Pre gal</v>
      </c>
      <c r="BZ316" t="s">
        <v>553</v>
      </c>
      <c r="CC316" t="s">
        <v>202</v>
      </c>
      <c r="CG316" s="122"/>
      <c r="CV316" s="388"/>
    </row>
    <row r="317" spans="1:100" customFormat="1" ht="30" customHeight="1" outlineLevel="1">
      <c r="A317" s="112"/>
      <c r="B317" s="623" t="s">
        <v>530</v>
      </c>
      <c r="C317" s="619">
        <f>0.15*1.5*7.85</f>
        <v>1.7662499999999997</v>
      </c>
      <c r="D317" s="418">
        <f>4.7</f>
        <v>4.7</v>
      </c>
      <c r="E317" s="418">
        <f>0.5*2/C317</f>
        <v>0.56617126680820962</v>
      </c>
      <c r="F317" s="418">
        <f>1*1.13</f>
        <v>1.1299999999999999</v>
      </c>
      <c r="G317" s="514" t="s">
        <v>428</v>
      </c>
      <c r="H317" s="421"/>
      <c r="I317" s="421"/>
      <c r="J317" s="422"/>
      <c r="K317" s="54" t="s">
        <v>237</v>
      </c>
      <c r="L317" s="54"/>
      <c r="O317" t="s">
        <v>553</v>
      </c>
      <c r="R317" s="387"/>
      <c r="S317" s="387"/>
      <c r="T317" s="387"/>
      <c r="U317" s="387"/>
      <c r="V317" s="387"/>
      <c r="W317" s="387"/>
      <c r="X317" s="387"/>
      <c r="AQ317" s="110"/>
      <c r="AX317" t="s">
        <v>156</v>
      </c>
      <c r="AY317" t="s">
        <v>246</v>
      </c>
      <c r="AZ317" t="s">
        <v>102</v>
      </c>
      <c r="BA317" t="s">
        <v>158</v>
      </c>
      <c r="BB317" t="s">
        <v>247</v>
      </c>
      <c r="BD317" t="s">
        <v>249</v>
      </c>
      <c r="BE317" t="s">
        <v>250</v>
      </c>
      <c r="BF317" t="s">
        <v>251</v>
      </c>
      <c r="BZ317" t="s">
        <v>553</v>
      </c>
      <c r="CC317" t="s">
        <v>202</v>
      </c>
      <c r="CG317" s="122"/>
      <c r="CV317" s="388"/>
    </row>
    <row r="318" spans="1:100" customFormat="1" ht="30" customHeight="1" outlineLevel="1">
      <c r="A318" s="112"/>
      <c r="B318" s="418" t="s">
        <v>553</v>
      </c>
      <c r="C318" s="418"/>
      <c r="D318" s="418"/>
      <c r="E318" s="418"/>
      <c r="F318" s="418"/>
      <c r="G318" s="418"/>
      <c r="H318" s="421"/>
      <c r="I318" s="421"/>
      <c r="J318" s="422"/>
      <c r="K318" s="54" t="s">
        <v>237</v>
      </c>
      <c r="L318" s="54"/>
      <c r="O318" t="s">
        <v>553</v>
      </c>
      <c r="R318" s="387"/>
      <c r="S318" s="387"/>
      <c r="T318" s="387"/>
      <c r="U318" s="387"/>
      <c r="V318" s="387"/>
      <c r="W318" s="387"/>
      <c r="X318" s="387"/>
      <c r="AQ318" s="110"/>
      <c r="BZ318" t="s">
        <v>553</v>
      </c>
      <c r="CC318" t="s">
        <v>202</v>
      </c>
      <c r="CG318" s="122"/>
      <c r="CV318" s="388"/>
    </row>
    <row r="319" spans="1:100" customFormat="1" ht="30" customHeight="1" outlineLevel="1">
      <c r="A319" s="112"/>
      <c r="B319" s="414">
        <v>0</v>
      </c>
      <c r="C319" s="465">
        <f>报价辅助计算!$E$13</f>
        <v>0</v>
      </c>
      <c r="D319" s="564"/>
      <c r="E319" s="564"/>
      <c r="F319" s="561"/>
      <c r="G319" s="418"/>
      <c r="H319" s="421"/>
      <c r="I319" s="421"/>
      <c r="J319" s="422"/>
      <c r="K319" s="54" t="s">
        <v>237</v>
      </c>
      <c r="L319" s="54"/>
      <c r="O319" t="s">
        <v>553</v>
      </c>
      <c r="R319" s="387"/>
      <c r="S319" s="387"/>
      <c r="T319" s="387"/>
      <c r="U319" s="387"/>
      <c r="V319" s="387"/>
      <c r="W319" s="387"/>
      <c r="X319" s="387"/>
      <c r="AQ319" s="110"/>
      <c r="BZ319" t="s">
        <v>553</v>
      </c>
      <c r="CC319" t="s">
        <v>202</v>
      </c>
      <c r="CG319" s="122"/>
      <c r="CV319" s="388"/>
    </row>
    <row r="320" spans="1:100" s="376" customFormat="1" ht="30" customHeight="1">
      <c r="A320" s="472"/>
      <c r="B320" s="473"/>
      <c r="C320" s="473"/>
      <c r="D320" s="473"/>
      <c r="E320" s="474"/>
      <c r="F320" s="473"/>
      <c r="G320" s="473"/>
      <c r="H320" s="421"/>
      <c r="I320" s="421"/>
      <c r="J320" s="422"/>
      <c r="K320" s="475"/>
      <c r="L320" s="475"/>
      <c r="R320" s="387"/>
      <c r="S320" s="387"/>
      <c r="T320" s="387"/>
      <c r="U320" s="387"/>
      <c r="V320" s="387"/>
      <c r="W320" s="387"/>
      <c r="X320" s="387"/>
      <c r="AQ320" s="476"/>
      <c r="BZ320" t="s">
        <v>553</v>
      </c>
      <c r="CA320"/>
      <c r="CB320"/>
      <c r="CC320" t="s">
        <v>202</v>
      </c>
      <c r="CD320"/>
      <c r="CE320"/>
      <c r="CF320"/>
      <c r="CG320" s="122"/>
      <c r="CH320"/>
    </row>
    <row r="321" spans="1:100" customFormat="1" ht="30" customHeight="1">
      <c r="A321" s="112" t="str">
        <f>IF($C$13=1,IF(K321="报价行",IF(F321&gt;0,1," ")," ")," ")</f>
        <v xml:space="preserve"> </v>
      </c>
      <c r="B321" s="414" t="str">
        <f>IF(A321=1,SUM($A$11:A321),"封边")</f>
        <v>封边</v>
      </c>
      <c r="C321" s="415" t="str">
        <f>B322&amp;IF(C324=1,CHAR(10)&amp;B323," ")</f>
        <v xml:space="preserve">Pedal </v>
      </c>
      <c r="D321" s="645">
        <v>1000</v>
      </c>
      <c r="E321" s="658" t="s">
        <v>554</v>
      </c>
      <c r="F321" s="460"/>
      <c r="G321" s="419">
        <f>C322</f>
        <v>0.71592</v>
      </c>
      <c r="H321" s="420">
        <f>(D322*1.01+E322+F322)*G321/1.13</f>
        <v>4.608373309734513</v>
      </c>
      <c r="I321" s="421" t="s">
        <v>425</v>
      </c>
      <c r="J321" s="422"/>
      <c r="K321" s="423" t="s">
        <v>217</v>
      </c>
      <c r="L321" s="54"/>
      <c r="O321" t="s">
        <v>555</v>
      </c>
      <c r="R321" s="387"/>
      <c r="S321" s="387"/>
      <c r="T321" s="387"/>
      <c r="U321" s="387"/>
      <c r="V321" s="387"/>
      <c r="W321" s="387"/>
      <c r="X321" s="387"/>
      <c r="AQ321" s="110"/>
      <c r="AX321" t="str">
        <f>E321</f>
        <v>L38*38*1.2</v>
      </c>
      <c r="AY321" s="494">
        <f>D321</f>
        <v>1000</v>
      </c>
      <c r="AZ321">
        <f>F321</f>
        <v>0</v>
      </c>
      <c r="BA321" s="256">
        <f>G321</f>
        <v>0.71592</v>
      </c>
      <c r="BB321">
        <f>AZ321*BA321</f>
        <v>0</v>
      </c>
      <c r="BC321" s="495"/>
      <c r="BR321" t="str">
        <f>I321</f>
        <v>Pre gal</v>
      </c>
      <c r="BZ321" t="s">
        <v>555</v>
      </c>
      <c r="CC321" t="s">
        <v>202</v>
      </c>
      <c r="CG321" s="122"/>
      <c r="CV321" s="388"/>
    </row>
    <row r="322" spans="1:100" customFormat="1" ht="30" customHeight="1" outlineLevel="1">
      <c r="A322" s="112"/>
      <c r="B322" s="623" t="s">
        <v>531</v>
      </c>
      <c r="C322" s="619">
        <v>0.71592</v>
      </c>
      <c r="D322" s="418">
        <f>4.7</f>
        <v>4.7</v>
      </c>
      <c r="E322" s="418">
        <f>0.5*2/C322</f>
        <v>1.3968041121913062</v>
      </c>
      <c r="F322" s="418">
        <f>1*1.13</f>
        <v>1.1299999999999999</v>
      </c>
      <c r="G322" s="514" t="s">
        <v>428</v>
      </c>
      <c r="H322" s="421"/>
      <c r="I322" s="421"/>
      <c r="J322" s="422"/>
      <c r="K322" s="54" t="s">
        <v>237</v>
      </c>
      <c r="L322" s="54"/>
      <c r="O322" t="s">
        <v>555</v>
      </c>
      <c r="R322" s="387"/>
      <c r="S322" s="387"/>
      <c r="T322" s="387"/>
      <c r="U322" s="387"/>
      <c r="V322" s="387"/>
      <c r="W322" s="387"/>
      <c r="X322" s="387"/>
      <c r="AQ322" s="110"/>
      <c r="AX322" t="s">
        <v>156</v>
      </c>
      <c r="AY322" t="s">
        <v>246</v>
      </c>
      <c r="AZ322" t="s">
        <v>102</v>
      </c>
      <c r="BA322" t="s">
        <v>158</v>
      </c>
      <c r="BB322" t="s">
        <v>247</v>
      </c>
      <c r="BD322" t="s">
        <v>249</v>
      </c>
      <c r="BE322" t="s">
        <v>250</v>
      </c>
      <c r="BF322" t="s">
        <v>251</v>
      </c>
      <c r="BZ322" t="s">
        <v>555</v>
      </c>
      <c r="CC322" t="s">
        <v>202</v>
      </c>
      <c r="CG322" s="122"/>
      <c r="CV322" s="388"/>
    </row>
    <row r="323" spans="1:100" customFormat="1" ht="30" customHeight="1" outlineLevel="1">
      <c r="A323" s="112"/>
      <c r="B323" s="418" t="s">
        <v>555</v>
      </c>
      <c r="C323" s="418"/>
      <c r="D323" s="418"/>
      <c r="E323" s="418"/>
      <c r="F323" s="418"/>
      <c r="G323" s="418"/>
      <c r="H323" s="421"/>
      <c r="I323" s="421"/>
      <c r="J323" s="422"/>
      <c r="K323" s="54" t="s">
        <v>237</v>
      </c>
      <c r="L323" s="54"/>
      <c r="O323" t="s">
        <v>555</v>
      </c>
      <c r="R323" s="387"/>
      <c r="S323" s="387"/>
      <c r="T323" s="387"/>
      <c r="U323" s="387"/>
      <c r="V323" s="387"/>
      <c r="W323" s="387"/>
      <c r="X323" s="387"/>
      <c r="AQ323" s="110"/>
      <c r="BZ323" t="s">
        <v>555</v>
      </c>
      <c r="CC323" t="s">
        <v>202</v>
      </c>
      <c r="CG323" s="122"/>
      <c r="CV323" s="388"/>
    </row>
    <row r="324" spans="1:100" customFormat="1" ht="30" customHeight="1" outlineLevel="1">
      <c r="A324" s="112"/>
      <c r="B324" s="414">
        <v>0</v>
      </c>
      <c r="C324" s="465">
        <f>报价辅助计算!$E$13</f>
        <v>0</v>
      </c>
      <c r="D324" s="564"/>
      <c r="E324" s="564"/>
      <c r="F324" s="561"/>
      <c r="G324" s="418"/>
      <c r="H324" s="421"/>
      <c r="I324" s="421"/>
      <c r="J324" s="422"/>
      <c r="K324" s="54" t="s">
        <v>237</v>
      </c>
      <c r="L324" s="54"/>
      <c r="O324" t="s">
        <v>555</v>
      </c>
      <c r="R324" s="387"/>
      <c r="S324" s="387"/>
      <c r="T324" s="387"/>
      <c r="U324" s="387"/>
      <c r="V324" s="387"/>
      <c r="W324" s="387"/>
      <c r="X324" s="387"/>
      <c r="AQ324" s="110"/>
      <c r="BZ324" t="s">
        <v>555</v>
      </c>
      <c r="CC324" t="s">
        <v>202</v>
      </c>
      <c r="CG324" s="122"/>
      <c r="CV324" s="388"/>
    </row>
    <row r="325" spans="1:100" s="376" customFormat="1" ht="30" customHeight="1">
      <c r="A325" s="472"/>
      <c r="B325" s="473"/>
      <c r="C325" s="473"/>
      <c r="D325" s="473"/>
      <c r="E325" s="474"/>
      <c r="F325" s="473"/>
      <c r="G325" s="473"/>
      <c r="H325" s="421"/>
      <c r="I325" s="421"/>
      <c r="J325" s="422"/>
      <c r="K325" s="475"/>
      <c r="L325" s="475"/>
      <c r="R325" s="387"/>
      <c r="S325" s="387"/>
      <c r="T325" s="387"/>
      <c r="U325" s="387"/>
      <c r="V325" s="387"/>
      <c r="W325" s="387"/>
      <c r="X325" s="387"/>
      <c r="AQ325" s="476"/>
      <c r="BZ325" t="s">
        <v>555</v>
      </c>
      <c r="CA325"/>
      <c r="CB325"/>
      <c r="CC325" t="s">
        <v>202</v>
      </c>
      <c r="CD325"/>
      <c r="CE325"/>
      <c r="CF325"/>
      <c r="CG325" s="122"/>
    </row>
    <row r="326" spans="1:100" customFormat="1" ht="30" customHeight="1">
      <c r="A326" s="112" t="str">
        <f>IF($C$13=1,IF(K326="报价行",IF(F326&gt;0,1," ")," ")," ")</f>
        <v xml:space="preserve"> </v>
      </c>
      <c r="B326" s="414" t="str">
        <f>IF(A326=1,SUM($A$11:A326),"楼梯")</f>
        <v>楼梯</v>
      </c>
      <c r="C326" s="415" t="str">
        <f>B327&amp;IF(C329=1,CHAR(10)&amp;B328," ")</f>
        <v xml:space="preserve">Stair </v>
      </c>
      <c r="D326" s="536" t="str">
        <f>"D"&amp;D327&amp;"*H"&amp;E327</f>
        <v>D800*H3200</v>
      </c>
      <c r="E326" s="658"/>
      <c r="F326" s="460"/>
      <c r="G326" s="419">
        <f>D329</f>
        <v>320</v>
      </c>
      <c r="H326" s="420">
        <f>H327+H328</f>
        <v>3736.6371681415931</v>
      </c>
      <c r="I326" s="421" t="s">
        <v>387</v>
      </c>
      <c r="J326" s="422"/>
      <c r="K326" s="423" t="s">
        <v>217</v>
      </c>
      <c r="L326" s="54"/>
      <c r="O326" t="s">
        <v>556</v>
      </c>
      <c r="R326" s="387"/>
      <c r="S326" s="387"/>
      <c r="T326" s="387"/>
      <c r="U326" s="387"/>
      <c r="V326" s="387"/>
      <c r="W326" s="387"/>
      <c r="X326" s="387"/>
      <c r="AQ326" s="110"/>
      <c r="AX326">
        <f>E326</f>
        <v>0</v>
      </c>
      <c r="AY326" s="494" t="str">
        <f>D326</f>
        <v>D800*H3200</v>
      </c>
      <c r="AZ326">
        <f>F326</f>
        <v>0</v>
      </c>
      <c r="BA326" s="256">
        <f>G326</f>
        <v>320</v>
      </c>
      <c r="BB326">
        <f>AZ326*BA326</f>
        <v>0</v>
      </c>
      <c r="BC326" s="495"/>
      <c r="BR326" t="str">
        <f>I326</f>
        <v>Yellow Ral1023</v>
      </c>
      <c r="BZ326" t="s">
        <v>556</v>
      </c>
      <c r="CC326" t="s">
        <v>202</v>
      </c>
      <c r="CG326" s="122"/>
      <c r="CV326" s="388"/>
    </row>
    <row r="327" spans="1:100" customFormat="1" ht="30" customHeight="1" outlineLevel="1">
      <c r="A327" s="112"/>
      <c r="B327" s="460" t="s">
        <v>557</v>
      </c>
      <c r="C327" s="619" t="s">
        <v>558</v>
      </c>
      <c r="D327" s="651">
        <v>800</v>
      </c>
      <c r="E327" s="460">
        <v>3200</v>
      </c>
      <c r="F327" s="418">
        <v>0</v>
      </c>
      <c r="G327" s="627" t="s">
        <v>236</v>
      </c>
      <c r="H327" s="421">
        <f>(2800+(E327-2500)/1.13)*F327</f>
        <v>0</v>
      </c>
      <c r="I327" s="421"/>
      <c r="J327" s="422"/>
      <c r="K327" s="54" t="s">
        <v>237</v>
      </c>
      <c r="L327" s="54"/>
      <c r="O327" t="s">
        <v>556</v>
      </c>
      <c r="R327" s="387"/>
      <c r="S327" s="387"/>
      <c r="T327" s="387"/>
      <c r="U327" s="387"/>
      <c r="V327" s="387"/>
      <c r="W327" s="387"/>
      <c r="X327" s="387"/>
      <c r="AQ327" s="110"/>
      <c r="AX327" t="s">
        <v>156</v>
      </c>
      <c r="AY327" t="s">
        <v>246</v>
      </c>
      <c r="AZ327" t="s">
        <v>102</v>
      </c>
      <c r="BA327" t="s">
        <v>158</v>
      </c>
      <c r="BB327" t="s">
        <v>247</v>
      </c>
      <c r="BD327" t="s">
        <v>249</v>
      </c>
      <c r="BE327" t="s">
        <v>250</v>
      </c>
      <c r="BF327" t="s">
        <v>251</v>
      </c>
      <c r="BZ327" t="s">
        <v>556</v>
      </c>
      <c r="CC327" t="s">
        <v>202</v>
      </c>
      <c r="CG327" s="122"/>
      <c r="CV327" s="388"/>
    </row>
    <row r="328" spans="1:100" customFormat="1" ht="30" customHeight="1" outlineLevel="1">
      <c r="A328" s="112"/>
      <c r="B328" s="418" t="s">
        <v>556</v>
      </c>
      <c r="C328" s="112" t="s">
        <v>559</v>
      </c>
      <c r="D328" s="418">
        <v>4.5</v>
      </c>
      <c r="E328" s="418">
        <v>5</v>
      </c>
      <c r="F328" s="418">
        <v>1</v>
      </c>
      <c r="G328" s="418"/>
      <c r="H328" s="421">
        <f>D329*(D328*1.01+E328*1.13+E329+F329)/1.13*F328</f>
        <v>3736.6371681415931</v>
      </c>
      <c r="I328" s="421"/>
      <c r="J328" s="422"/>
      <c r="K328" s="54" t="s">
        <v>237</v>
      </c>
      <c r="L328" s="54"/>
      <c r="O328" t="s">
        <v>556</v>
      </c>
      <c r="R328" s="387"/>
      <c r="S328" s="387"/>
      <c r="T328" s="387"/>
      <c r="U328" s="387"/>
      <c r="V328" s="387"/>
      <c r="W328" s="387"/>
      <c r="X328" s="387"/>
      <c r="AQ328" s="110"/>
      <c r="BZ328" t="s">
        <v>556</v>
      </c>
      <c r="CC328" t="s">
        <v>202</v>
      </c>
      <c r="CG328" s="122"/>
      <c r="CV328" s="388"/>
    </row>
    <row r="329" spans="1:100" customFormat="1" ht="30" customHeight="1" outlineLevel="1">
      <c r="A329" s="112"/>
      <c r="B329" s="414">
        <v>0</v>
      </c>
      <c r="C329" s="465">
        <f>报价辅助计算!$E$13</f>
        <v>0</v>
      </c>
      <c r="D329" s="460">
        <v>320</v>
      </c>
      <c r="E329" s="564">
        <v>1</v>
      </c>
      <c r="F329" s="564">
        <v>2</v>
      </c>
      <c r="G329" s="418"/>
      <c r="H329" s="421"/>
      <c r="I329" s="421"/>
      <c r="J329" s="422"/>
      <c r="K329" s="54" t="s">
        <v>237</v>
      </c>
      <c r="L329" s="54"/>
      <c r="O329" t="s">
        <v>556</v>
      </c>
      <c r="R329" s="387"/>
      <c r="S329" s="387"/>
      <c r="T329" s="387"/>
      <c r="U329" s="387"/>
      <c r="V329" s="387"/>
      <c r="W329" s="387"/>
      <c r="X329" s="387"/>
      <c r="AQ329" s="110"/>
      <c r="BZ329" t="s">
        <v>556</v>
      </c>
      <c r="CC329" t="s">
        <v>202</v>
      </c>
      <c r="CG329" s="122"/>
      <c r="CV329" s="388"/>
    </row>
    <row r="330" spans="1:100" s="376" customFormat="1" ht="30" customHeight="1">
      <c r="A330" s="472"/>
      <c r="B330" s="473"/>
      <c r="C330" s="473"/>
      <c r="D330" s="473"/>
      <c r="E330" s="474"/>
      <c r="F330" s="473"/>
      <c r="G330" s="473"/>
      <c r="H330" s="421"/>
      <c r="I330" s="421"/>
      <c r="J330" s="422"/>
      <c r="K330" s="475"/>
      <c r="L330" s="475"/>
      <c r="R330" s="387"/>
      <c r="S330" s="387"/>
      <c r="T330" s="387"/>
      <c r="U330" s="387"/>
      <c r="V330" s="387"/>
      <c r="W330" s="387"/>
      <c r="X330" s="387"/>
      <c r="AQ330" s="476"/>
      <c r="BZ330" t="s">
        <v>556</v>
      </c>
      <c r="CA330"/>
      <c r="CB330"/>
      <c r="CC330" t="s">
        <v>202</v>
      </c>
      <c r="CD330"/>
      <c r="CE330"/>
      <c r="CF330"/>
      <c r="CG330" s="122"/>
    </row>
    <row r="331" spans="1:100" customFormat="1" ht="30" customHeight="1">
      <c r="A331" s="112" t="str">
        <f>IF($C$13=1,IF(K331="报价行",IF(F331&gt;0,1," ")," ")," ")</f>
        <v xml:space="preserve"> </v>
      </c>
      <c r="B331" s="414" t="str">
        <f>IF(A331=1,SUM($A$11:A331),"门")</f>
        <v>门</v>
      </c>
      <c r="C331" s="415" t="str">
        <f>B332&amp;IF(C334=1,CHAR(10)&amp;B333," ")</f>
        <v xml:space="preserve">Door </v>
      </c>
      <c r="D331" s="536" t="s">
        <v>560</v>
      </c>
      <c r="E331" s="658" t="s">
        <v>561</v>
      </c>
      <c r="F331" s="460"/>
      <c r="G331" s="419">
        <f>C333</f>
        <v>30</v>
      </c>
      <c r="H331" s="420">
        <f>H332</f>
        <v>350.30973451327441</v>
      </c>
      <c r="I331" s="421" t="s">
        <v>387</v>
      </c>
      <c r="J331" s="422"/>
      <c r="K331" s="423" t="s">
        <v>217</v>
      </c>
      <c r="L331" s="54"/>
      <c r="O331" t="s">
        <v>562</v>
      </c>
      <c r="R331" s="387"/>
      <c r="S331" s="387"/>
      <c r="T331" s="387"/>
      <c r="U331" s="387"/>
      <c r="V331" s="387"/>
      <c r="W331" s="387"/>
      <c r="X331" s="387"/>
      <c r="AQ331" s="110"/>
      <c r="AX331" t="str">
        <f>E331</f>
        <v>F30*1.5</v>
      </c>
      <c r="AY331" s="494" t="str">
        <f>D331</f>
        <v>D1000*H1200</v>
      </c>
      <c r="AZ331">
        <f>F331</f>
        <v>0</v>
      </c>
      <c r="BA331" s="256">
        <f>G331</f>
        <v>30</v>
      </c>
      <c r="BB331">
        <f>AZ331*BA331</f>
        <v>0</v>
      </c>
      <c r="BC331" s="495"/>
      <c r="BR331" t="str">
        <f>I331</f>
        <v>Yellow Ral1023</v>
      </c>
      <c r="BZ331" t="s">
        <v>562</v>
      </c>
      <c r="CC331" t="s">
        <v>202</v>
      </c>
      <c r="CG331" s="122"/>
      <c r="CV331" s="388"/>
    </row>
    <row r="332" spans="1:100" customFormat="1" ht="30" customHeight="1" outlineLevel="1">
      <c r="A332" s="112"/>
      <c r="B332" s="460" t="s">
        <v>563</v>
      </c>
      <c r="C332" s="112" t="s">
        <v>559</v>
      </c>
      <c r="D332" s="418">
        <v>4.5</v>
      </c>
      <c r="E332" s="418">
        <v>5</v>
      </c>
      <c r="F332" s="418">
        <v>1</v>
      </c>
      <c r="G332" s="514" t="s">
        <v>236</v>
      </c>
      <c r="H332" s="421">
        <f>C333*(D332*1.01+E332*1.13+D333+E333)/1.13*F332</f>
        <v>350.30973451327441</v>
      </c>
      <c r="I332" s="421"/>
      <c r="J332" s="422"/>
      <c r="K332" s="54" t="s">
        <v>237</v>
      </c>
      <c r="L332" s="54"/>
      <c r="O332" t="s">
        <v>562</v>
      </c>
      <c r="R332" s="387"/>
      <c r="S332" s="387"/>
      <c r="T332" s="387"/>
      <c r="U332" s="387"/>
      <c r="V332" s="387"/>
      <c r="W332" s="387"/>
      <c r="X332" s="387"/>
      <c r="AQ332" s="110"/>
      <c r="AX332" t="s">
        <v>156</v>
      </c>
      <c r="AY332" t="s">
        <v>246</v>
      </c>
      <c r="AZ332" t="s">
        <v>102</v>
      </c>
      <c r="BA332" t="s">
        <v>158</v>
      </c>
      <c r="BB332" t="s">
        <v>247</v>
      </c>
      <c r="BD332" t="s">
        <v>249</v>
      </c>
      <c r="BE332" t="s">
        <v>250</v>
      </c>
      <c r="BF332" t="s">
        <v>251</v>
      </c>
      <c r="BZ332" t="s">
        <v>562</v>
      </c>
      <c r="CC332" t="s">
        <v>202</v>
      </c>
      <c r="CG332" s="122"/>
      <c r="CV332" s="388"/>
    </row>
    <row r="333" spans="1:100" customFormat="1" ht="30" customHeight="1" outlineLevel="1">
      <c r="A333" s="112"/>
      <c r="B333" s="418" t="s">
        <v>562</v>
      </c>
      <c r="C333" s="460">
        <v>30</v>
      </c>
      <c r="D333" s="564">
        <v>1</v>
      </c>
      <c r="E333" s="564">
        <v>2</v>
      </c>
      <c r="F333" s="561"/>
      <c r="G333" s="418"/>
      <c r="H333" s="421"/>
      <c r="I333" s="421"/>
      <c r="J333" s="422"/>
      <c r="K333" s="54" t="s">
        <v>237</v>
      </c>
      <c r="L333" s="54"/>
      <c r="O333" t="s">
        <v>562</v>
      </c>
      <c r="R333" s="387"/>
      <c r="S333" s="387"/>
      <c r="T333" s="387"/>
      <c r="U333" s="387"/>
      <c r="V333" s="387"/>
      <c r="W333" s="387"/>
      <c r="X333" s="387"/>
      <c r="AQ333" s="110"/>
      <c r="BZ333" t="s">
        <v>562</v>
      </c>
      <c r="CC333" t="s">
        <v>202</v>
      </c>
      <c r="CG333" s="122"/>
      <c r="CV333" s="388"/>
    </row>
    <row r="334" spans="1:100" customFormat="1" ht="30" customHeight="1" outlineLevel="1">
      <c r="A334" s="112"/>
      <c r="B334" s="414">
        <v>0</v>
      </c>
      <c r="C334" s="465">
        <f>报价辅助计算!$E$13</f>
        <v>0</v>
      </c>
      <c r="D334" s="564"/>
      <c r="E334" s="564"/>
      <c r="F334" s="561"/>
      <c r="G334" s="418"/>
      <c r="H334" s="421"/>
      <c r="I334" s="421"/>
      <c r="J334" s="422"/>
      <c r="K334" s="54" t="s">
        <v>237</v>
      </c>
      <c r="L334" s="54"/>
      <c r="O334" t="s">
        <v>562</v>
      </c>
      <c r="R334" s="387"/>
      <c r="S334" s="387"/>
      <c r="T334" s="387"/>
      <c r="U334" s="387"/>
      <c r="V334" s="387"/>
      <c r="W334" s="387"/>
      <c r="X334" s="387"/>
      <c r="AQ334" s="110"/>
      <c r="BZ334" t="s">
        <v>562</v>
      </c>
      <c r="CC334" t="s">
        <v>202</v>
      </c>
      <c r="CG334" s="122"/>
      <c r="CV334" s="388"/>
    </row>
    <row r="335" spans="1:100" s="376" customFormat="1" ht="30" customHeight="1">
      <c r="A335" s="472"/>
      <c r="B335" s="473"/>
      <c r="C335" s="473"/>
      <c r="D335" s="473"/>
      <c r="E335" s="474"/>
      <c r="F335" s="473"/>
      <c r="G335" s="473"/>
      <c r="H335" s="421"/>
      <c r="I335" s="421"/>
      <c r="J335" s="422"/>
      <c r="K335" s="475"/>
      <c r="L335" s="475"/>
      <c r="R335" s="387"/>
      <c r="S335" s="387"/>
      <c r="T335" s="387"/>
      <c r="U335" s="387"/>
      <c r="V335" s="387"/>
      <c r="W335" s="387"/>
      <c r="X335" s="387"/>
      <c r="AQ335" s="476"/>
      <c r="BZ335" t="s">
        <v>562</v>
      </c>
      <c r="CA335"/>
      <c r="CB335"/>
      <c r="CC335" t="s">
        <v>202</v>
      </c>
      <c r="CD335"/>
      <c r="CE335"/>
      <c r="CF335"/>
      <c r="CG335" s="122"/>
    </row>
    <row r="336" spans="1:100" s="378" customFormat="1" ht="30" customHeight="1">
      <c r="A336" s="628"/>
      <c r="B336" s="629" t="s">
        <v>564</v>
      </c>
      <c r="C336" s="629"/>
      <c r="D336" s="629"/>
      <c r="E336" s="630"/>
      <c r="F336" s="629"/>
      <c r="G336" s="629"/>
      <c r="H336" s="421"/>
      <c r="I336" s="421"/>
      <c r="J336" s="422"/>
      <c r="K336" s="631"/>
      <c r="L336" s="631"/>
      <c r="R336" s="387"/>
      <c r="S336" s="387"/>
      <c r="T336" s="387"/>
      <c r="U336" s="387"/>
      <c r="V336" s="387"/>
      <c r="W336" s="387"/>
      <c r="X336" s="387"/>
      <c r="AQ336" s="632"/>
      <c r="CG336" s="633"/>
    </row>
    <row r="337" spans="1:100" customFormat="1" ht="30" customHeight="1">
      <c r="A337" s="112" t="str">
        <f>IF($C$13=1,IF(K337="报价行",IF(F337&gt;0,1," ")," ")," ")</f>
        <v xml:space="preserve"> </v>
      </c>
      <c r="B337" s="414" t="str">
        <f>IF(A337=1,SUM($A$11:A337),"活动底板")</f>
        <v>活动底板</v>
      </c>
      <c r="C337" s="415" t="str">
        <f>B338&amp;IF(C340=1,CHAR(10)&amp;B339," ")</f>
        <v xml:space="preserve">Movable base plate </v>
      </c>
      <c r="D337" s="645"/>
      <c r="E337" s="547"/>
      <c r="F337" s="460"/>
      <c r="G337" s="419">
        <f>C339</f>
        <v>4.5467199999999997</v>
      </c>
      <c r="H337" s="420">
        <f>H338</f>
        <v>43.3607811681416</v>
      </c>
      <c r="I337" s="421" t="s">
        <v>396</v>
      </c>
      <c r="J337" s="422"/>
      <c r="K337" s="423" t="s">
        <v>217</v>
      </c>
      <c r="L337" s="54"/>
      <c r="O337" t="s">
        <v>565</v>
      </c>
      <c r="R337" s="387"/>
      <c r="S337" s="387"/>
      <c r="T337" s="387"/>
      <c r="U337" s="387"/>
      <c r="V337" s="387"/>
      <c r="W337" s="387"/>
      <c r="X337" s="387"/>
      <c r="AQ337" s="110"/>
      <c r="AX337">
        <f>E337</f>
        <v>0</v>
      </c>
      <c r="AY337" s="494">
        <f>D337</f>
        <v>0</v>
      </c>
      <c r="AZ337">
        <f>F337</f>
        <v>0</v>
      </c>
      <c r="BA337" s="256">
        <f>G337</f>
        <v>4.5467199999999997</v>
      </c>
      <c r="BB337">
        <f>AZ337*BA337</f>
        <v>0</v>
      </c>
      <c r="BC337" s="495"/>
      <c r="BR337" t="str">
        <f>I337</f>
        <v>Gal</v>
      </c>
      <c r="BZ337" t="s">
        <v>565</v>
      </c>
      <c r="CD337" t="s">
        <v>203</v>
      </c>
      <c r="CG337" s="122"/>
      <c r="CV337" s="388"/>
    </row>
    <row r="338" spans="1:100" customFormat="1" ht="30" customHeight="1" outlineLevel="1">
      <c r="A338" s="112"/>
      <c r="B338" s="623" t="s">
        <v>566</v>
      </c>
      <c r="C338" s="112" t="s">
        <v>559</v>
      </c>
      <c r="D338" s="460">
        <v>6.2</v>
      </c>
      <c r="E338" s="460">
        <f>1.4/C339+0.3</f>
        <v>0.60791427666537634</v>
      </c>
      <c r="F338" s="418">
        <v>1</v>
      </c>
      <c r="G338" s="514" t="s">
        <v>549</v>
      </c>
      <c r="H338" s="421">
        <f>C339*(D338*1.01+E338*1.13+D339+E339)/1.13*F338</f>
        <v>43.3607811681416</v>
      </c>
      <c r="I338" s="421"/>
      <c r="J338" s="422"/>
      <c r="K338" s="54" t="s">
        <v>237</v>
      </c>
      <c r="L338" s="54"/>
      <c r="O338" t="s">
        <v>565</v>
      </c>
      <c r="R338" s="387"/>
      <c r="S338" s="387"/>
      <c r="T338" s="387"/>
      <c r="U338" s="387"/>
      <c r="V338" s="387"/>
      <c r="W338" s="387"/>
      <c r="X338" s="387"/>
      <c r="AQ338" s="110"/>
      <c r="AX338" t="s">
        <v>156</v>
      </c>
      <c r="AY338" t="s">
        <v>246</v>
      </c>
      <c r="AZ338" t="s">
        <v>102</v>
      </c>
      <c r="BA338" t="s">
        <v>158</v>
      </c>
      <c r="BB338" t="s">
        <v>247</v>
      </c>
      <c r="BC338" t="s">
        <v>248</v>
      </c>
      <c r="BD338" t="s">
        <v>249</v>
      </c>
      <c r="BE338" t="s">
        <v>250</v>
      </c>
      <c r="BF338" t="s">
        <v>251</v>
      </c>
      <c r="BZ338" t="s">
        <v>565</v>
      </c>
      <c r="CD338" t="s">
        <v>203</v>
      </c>
      <c r="CG338" s="122"/>
      <c r="CV338" s="388"/>
    </row>
    <row r="339" spans="1:100" customFormat="1" ht="30" customHeight="1" outlineLevel="1">
      <c r="A339" s="112"/>
      <c r="B339" s="418" t="s">
        <v>565</v>
      </c>
      <c r="C339" s="659">
        <f>250*120*16*7.85/1000000+155*128*5*7.85/1000000</f>
        <v>4.5467199999999997</v>
      </c>
      <c r="D339" s="655">
        <v>2.2000000000000002</v>
      </c>
      <c r="E339" s="655">
        <f>(1.6*4+0.25*4)/C339</f>
        <v>1.627546890945561</v>
      </c>
      <c r="F339" s="561"/>
      <c r="G339" s="418"/>
      <c r="H339" s="421"/>
      <c r="I339" s="421"/>
      <c r="J339" s="422"/>
      <c r="K339" s="54" t="s">
        <v>237</v>
      </c>
      <c r="L339" s="54"/>
      <c r="O339" t="s">
        <v>565</v>
      </c>
      <c r="R339" s="387"/>
      <c r="S339" s="387"/>
      <c r="T339" s="387"/>
      <c r="U339" s="387"/>
      <c r="V339" s="387"/>
      <c r="W339" s="387"/>
      <c r="X339" s="387"/>
      <c r="AQ339" s="110"/>
      <c r="BZ339" t="s">
        <v>565</v>
      </c>
      <c r="CD339" t="s">
        <v>203</v>
      </c>
      <c r="CG339" s="122"/>
      <c r="CV339" s="388"/>
    </row>
    <row r="340" spans="1:100" customFormat="1" ht="30" customHeight="1" outlineLevel="1">
      <c r="A340" s="112"/>
      <c r="B340" s="414">
        <v>0</v>
      </c>
      <c r="C340" s="465">
        <f>报价辅助计算!$E$13</f>
        <v>0</v>
      </c>
      <c r="D340" s="59" t="s">
        <v>567</v>
      </c>
      <c r="E340" s="564"/>
      <c r="F340" s="561"/>
      <c r="G340" s="418"/>
      <c r="H340" s="421"/>
      <c r="I340" s="421"/>
      <c r="J340" s="422"/>
      <c r="K340" s="54" t="s">
        <v>237</v>
      </c>
      <c r="L340" s="54"/>
      <c r="O340" t="s">
        <v>565</v>
      </c>
      <c r="R340" s="387"/>
      <c r="S340" s="387"/>
      <c r="T340" s="387"/>
      <c r="U340" s="387"/>
      <c r="V340" s="387"/>
      <c r="W340" s="387"/>
      <c r="X340" s="387"/>
      <c r="AQ340" s="110"/>
      <c r="BZ340" t="s">
        <v>565</v>
      </c>
      <c r="CD340" t="s">
        <v>203</v>
      </c>
      <c r="CG340" s="122"/>
      <c r="CV340" s="388"/>
    </row>
    <row r="341" spans="1:100" s="376" customFormat="1" ht="30" customHeight="1">
      <c r="A341" s="472"/>
      <c r="B341" s="473"/>
      <c r="C341" s="473"/>
      <c r="D341" s="473"/>
      <c r="E341" s="474"/>
      <c r="F341" s="473"/>
      <c r="G341" s="473"/>
      <c r="H341" s="421"/>
      <c r="I341" s="421"/>
      <c r="J341" s="422"/>
      <c r="K341" s="475"/>
      <c r="L341" s="475"/>
      <c r="R341" s="387"/>
      <c r="S341" s="387"/>
      <c r="T341" s="387"/>
      <c r="U341" s="387"/>
      <c r="V341" s="387"/>
      <c r="W341" s="387"/>
      <c r="X341" s="387"/>
      <c r="AQ341" s="476"/>
      <c r="BZ341" t="s">
        <v>565</v>
      </c>
      <c r="CA341"/>
      <c r="CB341"/>
      <c r="CC341"/>
      <c r="CD341" t="s">
        <v>203</v>
      </c>
      <c r="CE341"/>
      <c r="CF341"/>
      <c r="CG341" s="122"/>
    </row>
    <row r="342" spans="1:100" customFormat="1" ht="30" customHeight="1">
      <c r="A342" s="112" t="str">
        <f>IF($C$13=1,IF(K342="报价行",IF(F342&gt;0,1," ")," ")," ")</f>
        <v xml:space="preserve"> </v>
      </c>
      <c r="B342" s="414" t="str">
        <f>IF(A342=1,SUM($A$11:A342),"调节底座")</f>
        <v>调节底座</v>
      </c>
      <c r="C342" s="415" t="str">
        <f>B343&amp;IF(C345=1,CHAR(10)&amp;B344," ")</f>
        <v xml:space="preserve">Adjustable base plate </v>
      </c>
      <c r="D342" s="645"/>
      <c r="E342" s="547"/>
      <c r="F342" s="460">
        <f>F337</f>
        <v>0</v>
      </c>
      <c r="G342" s="419">
        <f>C344</f>
        <v>4.3764000000000003</v>
      </c>
      <c r="H342" s="420">
        <f>H343</f>
        <v>35.485572035398242</v>
      </c>
      <c r="I342" s="421" t="s">
        <v>396</v>
      </c>
      <c r="J342" s="422"/>
      <c r="K342" s="423" t="s">
        <v>217</v>
      </c>
      <c r="L342" s="54"/>
      <c r="O342" t="s">
        <v>568</v>
      </c>
      <c r="R342" s="387"/>
      <c r="S342" s="387"/>
      <c r="T342" s="387"/>
      <c r="U342" s="387"/>
      <c r="V342" s="387"/>
      <c r="W342" s="387"/>
      <c r="X342" s="387"/>
      <c r="AQ342" s="110"/>
      <c r="AX342">
        <f>E342</f>
        <v>0</v>
      </c>
      <c r="AY342" s="494">
        <f>D342</f>
        <v>0</v>
      </c>
      <c r="AZ342">
        <f>F342</f>
        <v>0</v>
      </c>
      <c r="BA342" s="256">
        <f>G342</f>
        <v>4.3764000000000003</v>
      </c>
      <c r="BB342">
        <f>AZ342*BA342</f>
        <v>0</v>
      </c>
      <c r="BC342" s="495"/>
      <c r="BR342" t="str">
        <f>I342</f>
        <v>Gal</v>
      </c>
      <c r="BZ342" t="s">
        <v>568</v>
      </c>
      <c r="CD342" t="s">
        <v>203</v>
      </c>
      <c r="CG342" s="122"/>
      <c r="CV342" s="388"/>
    </row>
    <row r="343" spans="1:100" customFormat="1" ht="30" customHeight="1" outlineLevel="1">
      <c r="A343" s="112"/>
      <c r="B343" s="623" t="s">
        <v>569</v>
      </c>
      <c r="C343" s="112" t="s">
        <v>559</v>
      </c>
      <c r="D343" s="460">
        <v>6.2</v>
      </c>
      <c r="E343" s="460">
        <f>1.4/C344+0.3</f>
        <v>0.61989763275751752</v>
      </c>
      <c r="F343" s="418">
        <v>1</v>
      </c>
      <c r="G343" s="514" t="s">
        <v>549</v>
      </c>
      <c r="H343" s="421">
        <f>C344*(D343*1.01+E343*1.13+D344+E344)/1.13*F343</f>
        <v>35.485572035398242</v>
      </c>
      <c r="I343" s="421"/>
      <c r="J343" s="422"/>
      <c r="K343" s="54" t="s">
        <v>237</v>
      </c>
      <c r="L343" s="54"/>
      <c r="O343" t="s">
        <v>568</v>
      </c>
      <c r="R343" s="387"/>
      <c r="S343" s="387"/>
      <c r="T343" s="387"/>
      <c r="U343" s="387"/>
      <c r="V343" s="387"/>
      <c r="W343" s="387"/>
      <c r="X343" s="387"/>
      <c r="AQ343" s="110"/>
      <c r="AX343" t="s">
        <v>156</v>
      </c>
      <c r="AY343" t="s">
        <v>246</v>
      </c>
      <c r="AZ343" t="s">
        <v>102</v>
      </c>
      <c r="BA343" t="s">
        <v>158</v>
      </c>
      <c r="BB343" t="s">
        <v>247</v>
      </c>
      <c r="BD343" t="s">
        <v>249</v>
      </c>
      <c r="BE343" t="s">
        <v>250</v>
      </c>
      <c r="BF343" t="s">
        <v>251</v>
      </c>
      <c r="BZ343" t="s">
        <v>568</v>
      </c>
      <c r="CD343" t="s">
        <v>203</v>
      </c>
      <c r="CG343" s="122"/>
      <c r="CV343" s="388"/>
    </row>
    <row r="344" spans="1:100" customFormat="1" ht="30" customHeight="1" outlineLevel="1">
      <c r="A344" s="112"/>
      <c r="B344" s="418" t="s">
        <v>568</v>
      </c>
      <c r="C344" s="659">
        <f>350*120*12*7.85/1000000+0.42</f>
        <v>4.3764000000000003</v>
      </c>
      <c r="D344" s="655">
        <v>2.2000000000000002</v>
      </c>
      <c r="E344" s="655"/>
      <c r="F344" s="561"/>
      <c r="G344" s="418"/>
      <c r="H344" s="421"/>
      <c r="I344" s="421"/>
      <c r="J344" s="422"/>
      <c r="K344" s="54" t="s">
        <v>237</v>
      </c>
      <c r="L344" s="54"/>
      <c r="O344" t="s">
        <v>568</v>
      </c>
      <c r="R344" s="387"/>
      <c r="S344" s="387"/>
      <c r="T344" s="387"/>
      <c r="U344" s="387"/>
      <c r="V344" s="387"/>
      <c r="W344" s="387"/>
      <c r="X344" s="387"/>
      <c r="AQ344" s="110"/>
      <c r="BZ344" t="s">
        <v>568</v>
      </c>
      <c r="CD344" t="s">
        <v>203</v>
      </c>
      <c r="CG344" s="122"/>
      <c r="CV344" s="388"/>
    </row>
    <row r="345" spans="1:100" customFormat="1" ht="30" customHeight="1" outlineLevel="1">
      <c r="A345" s="112"/>
      <c r="B345" s="414">
        <v>0</v>
      </c>
      <c r="C345" s="465">
        <f>报价辅助计算!$E$13</f>
        <v>0</v>
      </c>
      <c r="D345" s="564"/>
      <c r="E345" s="564"/>
      <c r="F345" s="561"/>
      <c r="G345" s="418"/>
      <c r="H345" s="421"/>
      <c r="I345" s="421"/>
      <c r="J345" s="422"/>
      <c r="K345" s="54" t="s">
        <v>237</v>
      </c>
      <c r="L345" s="54"/>
      <c r="O345" t="s">
        <v>568</v>
      </c>
      <c r="R345" s="387"/>
      <c r="S345" s="387"/>
      <c r="T345" s="387"/>
      <c r="U345" s="387"/>
      <c r="V345" s="387"/>
      <c r="W345" s="387"/>
      <c r="X345" s="387"/>
      <c r="AQ345" s="110"/>
      <c r="BZ345" t="s">
        <v>568</v>
      </c>
      <c r="CD345" t="s">
        <v>203</v>
      </c>
      <c r="CG345" s="122"/>
      <c r="CV345" s="388"/>
    </row>
    <row r="346" spans="1:100" s="376" customFormat="1" ht="30" customHeight="1">
      <c r="A346" s="472"/>
      <c r="B346" s="473"/>
      <c r="C346" s="473"/>
      <c r="D346" s="473"/>
      <c r="E346" s="474"/>
      <c r="F346" s="473"/>
      <c r="G346" s="473"/>
      <c r="H346" s="421"/>
      <c r="I346" s="421"/>
      <c r="J346" s="422"/>
      <c r="K346" s="475"/>
      <c r="L346" s="475"/>
      <c r="R346" s="387"/>
      <c r="S346" s="387"/>
      <c r="T346" s="387"/>
      <c r="U346" s="387"/>
      <c r="V346" s="387"/>
      <c r="W346" s="387"/>
      <c r="X346" s="387"/>
      <c r="AQ346" s="476"/>
      <c r="BZ346" t="s">
        <v>568</v>
      </c>
      <c r="CA346"/>
      <c r="CB346"/>
      <c r="CC346"/>
      <c r="CD346" t="s">
        <v>203</v>
      </c>
      <c r="CE346"/>
      <c r="CF346"/>
      <c r="CG346" s="122"/>
    </row>
    <row r="347" spans="1:100" customFormat="1" ht="30" customHeight="1">
      <c r="A347" s="112" t="str">
        <f>IF($C$13=1,IF(K347="报价行",IF(F347&gt;0,1," ")," ")," ")</f>
        <v xml:space="preserve"> </v>
      </c>
      <c r="B347" s="414" t="str">
        <f>IF(A347=1,SUM($A$11:A347),"前端单牛腿")</f>
        <v>前端单牛腿</v>
      </c>
      <c r="C347" s="415" t="str">
        <f>B348&amp;IF(C351=1,CHAR(10)&amp;B349," ")</f>
        <v xml:space="preserve">Single bracket </v>
      </c>
      <c r="D347" s="645"/>
      <c r="E347" s="641"/>
      <c r="F347" s="460"/>
      <c r="G347" s="419">
        <f>D348+D349</f>
        <v>2.9343300000000001</v>
      </c>
      <c r="H347" s="420">
        <f>H348+H349</f>
        <v>19.122086778761062</v>
      </c>
      <c r="I347" s="421" t="s">
        <v>341</v>
      </c>
      <c r="J347" s="422"/>
      <c r="K347" s="423" t="s">
        <v>217</v>
      </c>
      <c r="L347" s="54"/>
      <c r="O347" t="s">
        <v>570</v>
      </c>
      <c r="R347" s="387"/>
      <c r="S347" s="387"/>
      <c r="T347" s="387"/>
      <c r="U347" s="387"/>
      <c r="V347" s="387"/>
      <c r="W347" s="387"/>
      <c r="X347" s="387"/>
      <c r="AQ347" s="110"/>
      <c r="AX347">
        <f>E347</f>
        <v>0</v>
      </c>
      <c r="AY347" s="494">
        <f>D347</f>
        <v>0</v>
      </c>
      <c r="AZ347">
        <f>F347</f>
        <v>0</v>
      </c>
      <c r="BA347" s="256">
        <f>G347</f>
        <v>2.9343300000000001</v>
      </c>
      <c r="BB347">
        <f>AZ347*BA347</f>
        <v>0</v>
      </c>
      <c r="BC347" s="495"/>
      <c r="BR347" t="str">
        <f>I347</f>
        <v>Orange Ral2004</v>
      </c>
      <c r="BZ347" t="s">
        <v>570</v>
      </c>
      <c r="CD347" t="s">
        <v>203</v>
      </c>
      <c r="CG347" s="122"/>
      <c r="CV347" s="388"/>
    </row>
    <row r="348" spans="1:100" customFormat="1" ht="30" customHeight="1" outlineLevel="1">
      <c r="A348" s="112"/>
      <c r="B348" s="623" t="s">
        <v>489</v>
      </c>
      <c r="C348" s="418" t="s">
        <v>571</v>
      </c>
      <c r="D348" s="646">
        <f>0.3*0.252*3*7.85</f>
        <v>1.7803799999999999</v>
      </c>
      <c r="E348" s="381"/>
      <c r="F348" s="380"/>
      <c r="G348" s="627" t="s">
        <v>236</v>
      </c>
      <c r="H348" s="420">
        <f>IFERROR((I348*1.01/D348+J350+J348*1.13)*D348/1.13,"-")</f>
        <v>11.53885824778761</v>
      </c>
      <c r="I348" s="418">
        <v>8.4</v>
      </c>
      <c r="J348" s="571">
        <f>2/D348+0.3</f>
        <v>1.4233556881115268</v>
      </c>
      <c r="K348" s="54" t="s">
        <v>237</v>
      </c>
      <c r="L348" s="54"/>
      <c r="O348" t="s">
        <v>570</v>
      </c>
      <c r="R348" s="387"/>
      <c r="S348" s="387"/>
      <c r="T348" s="387"/>
      <c r="U348" s="387"/>
      <c r="V348" s="387"/>
      <c r="W348" s="387"/>
      <c r="X348" s="387"/>
      <c r="AQ348" s="110"/>
      <c r="AX348" t="s">
        <v>156</v>
      </c>
      <c r="AY348" t="s">
        <v>246</v>
      </c>
      <c r="AZ348" t="s">
        <v>102</v>
      </c>
      <c r="BA348" t="s">
        <v>158</v>
      </c>
      <c r="BB348" t="s">
        <v>247</v>
      </c>
      <c r="BD348" t="s">
        <v>249</v>
      </c>
      <c r="BE348" t="s">
        <v>250</v>
      </c>
      <c r="BF348" t="s">
        <v>251</v>
      </c>
      <c r="BZ348" t="s">
        <v>570</v>
      </c>
      <c r="CD348" t="s">
        <v>203</v>
      </c>
      <c r="CG348" s="122"/>
      <c r="CV348" s="388"/>
    </row>
    <row r="349" spans="1:100" customFormat="1" ht="30" customHeight="1" outlineLevel="1">
      <c r="A349" s="112"/>
      <c r="B349" s="414" t="str">
        <f>IF(A349=1,SUM($A$11:A349),"前端单牛腿")</f>
        <v>前端单牛腿</v>
      </c>
      <c r="C349" s="418" t="s">
        <v>572</v>
      </c>
      <c r="D349" s="418">
        <f>0.2*0.21*3.5*7.85</f>
        <v>1.15395</v>
      </c>
      <c r="E349" s="418"/>
      <c r="F349" s="380"/>
      <c r="G349" s="418"/>
      <c r="H349" s="420">
        <f>IFERROR((I349*1.01+J350+J349)*D349/1.13,"-")</f>
        <v>7.5832285309734528</v>
      </c>
      <c r="I349" s="418">
        <v>6.12</v>
      </c>
      <c r="J349" s="571">
        <f>IFERROR(0.17*2/D349,"-")</f>
        <v>0.29464014905325187</v>
      </c>
      <c r="K349" s="54" t="s">
        <v>237</v>
      </c>
      <c r="L349" s="54"/>
      <c r="O349" t="s">
        <v>570</v>
      </c>
      <c r="R349" s="387"/>
      <c r="S349" s="387"/>
      <c r="T349" s="387"/>
      <c r="U349" s="387"/>
      <c r="V349" s="387"/>
      <c r="W349" s="387"/>
      <c r="X349" s="387"/>
      <c r="AQ349" s="110"/>
      <c r="BZ349" t="s">
        <v>570</v>
      </c>
      <c r="CD349" t="s">
        <v>203</v>
      </c>
      <c r="CG349" s="122"/>
      <c r="CV349" s="388"/>
    </row>
    <row r="350" spans="1:100" customFormat="1" ht="30" customHeight="1" outlineLevel="1">
      <c r="A350" s="112"/>
      <c r="B350" s="380"/>
      <c r="C350" s="418" t="s">
        <v>573</v>
      </c>
      <c r="D350" s="418"/>
      <c r="E350" s="660"/>
      <c r="F350" s="661"/>
      <c r="G350" s="418"/>
      <c r="H350" s="420"/>
      <c r="I350" s="421"/>
      <c r="J350" s="418">
        <f>IF(G348="喷塑",0.95,0)</f>
        <v>0.95</v>
      </c>
      <c r="K350" s="54"/>
      <c r="L350" s="54"/>
      <c r="O350" t="s">
        <v>570</v>
      </c>
      <c r="R350" s="387"/>
      <c r="S350" s="387"/>
      <c r="T350" s="387"/>
      <c r="U350" s="387"/>
      <c r="V350" s="387"/>
      <c r="W350" s="387"/>
      <c r="X350" s="387"/>
      <c r="AQ350" s="110"/>
      <c r="BZ350" t="s">
        <v>570</v>
      </c>
      <c r="CD350" t="s">
        <v>203</v>
      </c>
      <c r="CG350" s="122"/>
      <c r="CV350" s="388"/>
    </row>
    <row r="351" spans="1:100" customFormat="1" ht="30" customHeight="1" outlineLevel="1">
      <c r="A351" s="112"/>
      <c r="B351" s="414">
        <v>0</v>
      </c>
      <c r="C351" s="465">
        <f>报价辅助计算!$E$13</f>
        <v>0</v>
      </c>
      <c r="D351" s="418"/>
      <c r="E351" s="940" t="s">
        <v>574</v>
      </c>
      <c r="F351" s="941"/>
      <c r="G351" s="418"/>
      <c r="H351" s="421"/>
      <c r="I351" s="421"/>
      <c r="J351" s="422"/>
      <c r="K351" s="54" t="s">
        <v>237</v>
      </c>
      <c r="L351" s="54"/>
      <c r="O351" t="s">
        <v>570</v>
      </c>
      <c r="R351" s="387"/>
      <c r="S351" s="387"/>
      <c r="T351" s="387"/>
      <c r="U351" s="387"/>
      <c r="V351" s="387"/>
      <c r="W351" s="387"/>
      <c r="X351" s="387"/>
      <c r="AQ351" s="110"/>
      <c r="BZ351" t="s">
        <v>570</v>
      </c>
      <c r="CD351" t="s">
        <v>203</v>
      </c>
      <c r="CG351" s="122"/>
      <c r="CV351" s="388"/>
    </row>
    <row r="352" spans="1:100" s="376" customFormat="1" ht="30" customHeight="1">
      <c r="A352" s="472"/>
      <c r="B352" s="473"/>
      <c r="C352" s="473"/>
      <c r="D352" s="473"/>
      <c r="E352" s="474"/>
      <c r="F352" s="473"/>
      <c r="G352" s="473"/>
      <c r="H352" s="421"/>
      <c r="I352" s="421"/>
      <c r="J352" s="422"/>
      <c r="K352" s="475"/>
      <c r="L352" s="475"/>
      <c r="R352" s="387"/>
      <c r="S352" s="387"/>
      <c r="T352" s="387"/>
      <c r="U352" s="387"/>
      <c r="V352" s="387"/>
      <c r="W352" s="387"/>
      <c r="X352" s="387"/>
      <c r="AQ352" s="476"/>
      <c r="BZ352" t="s">
        <v>570</v>
      </c>
      <c r="CA352"/>
      <c r="CB352"/>
      <c r="CC352"/>
      <c r="CD352" t="s">
        <v>203</v>
      </c>
      <c r="CE352"/>
      <c r="CF352"/>
      <c r="CG352" s="122"/>
    </row>
    <row r="353" spans="1:100" customFormat="1" ht="30" customHeight="1">
      <c r="A353" s="112" t="str">
        <f>IF($C$13=1,IF(K353="报价行",IF(F353&gt;0,1," ")," ")," ")</f>
        <v xml:space="preserve"> </v>
      </c>
      <c r="B353" s="414" t="str">
        <f>IF(A353=1,SUM($A$11:A353),"前端双牛腿")</f>
        <v>前端双牛腿</v>
      </c>
      <c r="C353" s="415" t="str">
        <f>B354&amp;IF(C357=1,CHAR(10)&amp;B355," ")</f>
        <v xml:space="preserve">Double bracket </v>
      </c>
      <c r="D353" s="643"/>
      <c r="E353" s="643"/>
      <c r="F353" s="460"/>
      <c r="G353" s="419">
        <f>D354*2+D355</f>
        <v>4.7147100000000002</v>
      </c>
      <c r="H353" s="420">
        <f>H354+H355</f>
        <v>29.860945026548677</v>
      </c>
      <c r="I353" s="421" t="s">
        <v>341</v>
      </c>
      <c r="J353" s="422"/>
      <c r="K353" s="423" t="s">
        <v>217</v>
      </c>
      <c r="L353" s="54"/>
      <c r="O353" t="s">
        <v>575</v>
      </c>
      <c r="R353" s="387"/>
      <c r="S353" s="387"/>
      <c r="T353" s="387"/>
      <c r="U353" s="387"/>
      <c r="V353" s="387"/>
      <c r="W353" s="387"/>
      <c r="X353" s="387"/>
      <c r="AQ353" s="110"/>
      <c r="AX353">
        <f>E353</f>
        <v>0</v>
      </c>
      <c r="AY353" s="494">
        <f>D353</f>
        <v>0</v>
      </c>
      <c r="AZ353">
        <f>F353</f>
        <v>0</v>
      </c>
      <c r="BA353" s="256">
        <f>G353</f>
        <v>4.7147100000000002</v>
      </c>
      <c r="BB353">
        <f>AZ353*BA353</f>
        <v>0</v>
      </c>
      <c r="BC353" s="495"/>
      <c r="BR353" t="str">
        <f>I353</f>
        <v>Orange Ral2004</v>
      </c>
      <c r="BZ353" t="s">
        <v>575</v>
      </c>
      <c r="CD353" t="s">
        <v>203</v>
      </c>
      <c r="CG353" s="122"/>
      <c r="CV353" s="388"/>
    </row>
    <row r="354" spans="1:100" customFormat="1" ht="30" customHeight="1" outlineLevel="1">
      <c r="A354" s="112"/>
      <c r="B354" s="623" t="s">
        <v>492</v>
      </c>
      <c r="C354" s="418" t="s">
        <v>571</v>
      </c>
      <c r="D354" s="646">
        <f>0.3*0.252*3*7.85</f>
        <v>1.7803799999999999</v>
      </c>
      <c r="E354" s="381"/>
      <c r="F354" s="380"/>
      <c r="G354" s="627" t="s">
        <v>236</v>
      </c>
      <c r="H354" s="420">
        <f>IFERROR((I354*1.01/D354+J356+J354*1.13)*D354/1.13*2,"-")</f>
        <v>22.277716495575223</v>
      </c>
      <c r="I354" s="418">
        <v>8.4</v>
      </c>
      <c r="J354" s="571">
        <f>3.2/2/D354+0.3</f>
        <v>1.1986845504892216</v>
      </c>
      <c r="K354" s="54" t="s">
        <v>237</v>
      </c>
      <c r="L354" s="54"/>
      <c r="O354" t="s">
        <v>575</v>
      </c>
      <c r="R354" s="387"/>
      <c r="S354" s="387"/>
      <c r="T354" s="387"/>
      <c r="U354" s="387"/>
      <c r="V354" s="387"/>
      <c r="W354" s="387"/>
      <c r="X354" s="387"/>
      <c r="AQ354" s="110"/>
      <c r="AX354" t="s">
        <v>156</v>
      </c>
      <c r="AY354" t="s">
        <v>246</v>
      </c>
      <c r="AZ354" t="s">
        <v>102</v>
      </c>
      <c r="BA354" t="s">
        <v>158</v>
      </c>
      <c r="BB354" t="s">
        <v>247</v>
      </c>
      <c r="BC354" t="s">
        <v>248</v>
      </c>
      <c r="BD354" t="s">
        <v>249</v>
      </c>
      <c r="BE354" t="s">
        <v>250</v>
      </c>
      <c r="BF354" t="s">
        <v>251</v>
      </c>
      <c r="BZ354" t="s">
        <v>575</v>
      </c>
      <c r="CD354" t="s">
        <v>203</v>
      </c>
      <c r="CG354" s="122"/>
      <c r="CV354" s="388"/>
    </row>
    <row r="355" spans="1:100" customFormat="1" ht="30" customHeight="1" outlineLevel="1">
      <c r="A355" s="112"/>
      <c r="B355" s="380" t="s">
        <v>575</v>
      </c>
      <c r="C355" s="418" t="s">
        <v>572</v>
      </c>
      <c r="D355" s="418">
        <f>0.2*0.21*3.5*7.85</f>
        <v>1.15395</v>
      </c>
      <c r="E355" s="418"/>
      <c r="F355" s="380"/>
      <c r="G355" s="418"/>
      <c r="H355" s="420">
        <f>IFERROR((I355*1.01+J356+J355)*D355/1.13,"-")</f>
        <v>7.5832285309734528</v>
      </c>
      <c r="I355" s="418">
        <v>6.12</v>
      </c>
      <c r="J355" s="571">
        <f>IFERROR(0.17*2/D355,"-")</f>
        <v>0.29464014905325187</v>
      </c>
      <c r="K355" s="54" t="s">
        <v>237</v>
      </c>
      <c r="L355" s="54"/>
      <c r="O355" t="s">
        <v>575</v>
      </c>
      <c r="R355" s="387"/>
      <c r="S355" s="387"/>
      <c r="T355" s="387"/>
      <c r="U355" s="387"/>
      <c r="V355" s="387"/>
      <c r="W355" s="387"/>
      <c r="X355" s="387"/>
      <c r="AQ355" s="110"/>
      <c r="BZ355" t="s">
        <v>575</v>
      </c>
      <c r="CD355" t="s">
        <v>203</v>
      </c>
      <c r="CG355" s="122"/>
      <c r="CV355" s="388"/>
    </row>
    <row r="356" spans="1:100" customFormat="1" ht="30" customHeight="1" outlineLevel="1">
      <c r="A356" s="112"/>
      <c r="B356" s="380"/>
      <c r="C356" s="418" t="s">
        <v>573</v>
      </c>
      <c r="D356" s="418"/>
      <c r="E356" s="660"/>
      <c r="F356" s="661"/>
      <c r="G356" s="418"/>
      <c r="H356" s="420"/>
      <c r="I356" s="421"/>
      <c r="J356" s="418">
        <f>IF(G354="喷塑",0.95,0)</f>
        <v>0.95</v>
      </c>
      <c r="K356" s="54"/>
      <c r="L356" s="54"/>
      <c r="O356" t="s">
        <v>575</v>
      </c>
      <c r="R356" s="387"/>
      <c r="S356" s="387"/>
      <c r="T356" s="387"/>
      <c r="U356" s="387"/>
      <c r="V356" s="387"/>
      <c r="W356" s="387"/>
      <c r="X356" s="387"/>
      <c r="AQ356" s="110"/>
      <c r="BZ356" t="s">
        <v>575</v>
      </c>
      <c r="CD356" t="s">
        <v>203</v>
      </c>
      <c r="CG356" s="122"/>
      <c r="CV356" s="388"/>
    </row>
    <row r="357" spans="1:100" customFormat="1" ht="30" customHeight="1" outlineLevel="1">
      <c r="A357" s="112"/>
      <c r="B357" s="414">
        <v>0</v>
      </c>
      <c r="C357" s="465">
        <f>报价辅助计算!$E$13</f>
        <v>0</v>
      </c>
      <c r="D357" s="418"/>
      <c r="E357" s="940" t="s">
        <v>574</v>
      </c>
      <c r="F357" s="941"/>
      <c r="G357" s="418"/>
      <c r="H357" s="421"/>
      <c r="I357" s="421"/>
      <c r="J357" s="422"/>
      <c r="K357" s="54" t="s">
        <v>237</v>
      </c>
      <c r="L357" s="54"/>
      <c r="O357" t="s">
        <v>575</v>
      </c>
      <c r="R357" s="387"/>
      <c r="S357" s="387"/>
      <c r="T357" s="387"/>
      <c r="U357" s="387"/>
      <c r="V357" s="387"/>
      <c r="W357" s="387"/>
      <c r="X357" s="387"/>
      <c r="AQ357" s="110"/>
      <c r="BZ357" t="s">
        <v>575</v>
      </c>
      <c r="CD357" t="s">
        <v>203</v>
      </c>
      <c r="CG357" s="122"/>
      <c r="CV357" s="388"/>
    </row>
    <row r="358" spans="1:100" s="376" customFormat="1" ht="30" customHeight="1">
      <c r="A358" s="472"/>
      <c r="B358" s="473"/>
      <c r="C358" s="473"/>
      <c r="D358" s="473"/>
      <c r="E358" s="474"/>
      <c r="F358" s="473"/>
      <c r="G358" s="473"/>
      <c r="H358" s="421"/>
      <c r="I358" s="421"/>
      <c r="J358" s="422"/>
      <c r="K358" s="475"/>
      <c r="L358" s="475"/>
      <c r="R358" s="387"/>
      <c r="S358" s="387"/>
      <c r="T358" s="387"/>
      <c r="U358" s="387"/>
      <c r="V358" s="387"/>
      <c r="W358" s="387"/>
      <c r="X358" s="387"/>
      <c r="AQ358" s="476"/>
      <c r="BZ358" t="s">
        <v>575</v>
      </c>
      <c r="CA358"/>
      <c r="CB358"/>
      <c r="CC358"/>
      <c r="CD358" t="s">
        <v>203</v>
      </c>
      <c r="CE358"/>
      <c r="CF358"/>
      <c r="CG358" s="122"/>
    </row>
    <row r="359" spans="1:100" customFormat="1" ht="30" customHeight="1">
      <c r="A359" s="112" t="str">
        <f>IF($C$13=1,IF(K359="报价行",IF(F359&gt;0,1," ")," ")," ")</f>
        <v xml:space="preserve"> </v>
      </c>
      <c r="B359" s="414" t="str">
        <f>IF(A359=1,SUM($A$11:A359),"牛腿支撑梁")</f>
        <v>牛腿支撑梁</v>
      </c>
      <c r="C359" s="415" t="str">
        <f>B360&amp;IF(C364=1,CHAR(10)&amp;B361," ")</f>
        <v xml:space="preserve">Support beam </v>
      </c>
      <c r="D359" s="536">
        <v>1350</v>
      </c>
      <c r="E359" s="643" t="str">
        <f>D360</f>
        <v>Shuttle.Support.Beam.HS6040.15</v>
      </c>
      <c r="F359" s="460"/>
      <c r="G359" s="419" t="str">
        <f>IFERROR(Y359+D363*F363/F359,"-")</f>
        <v>-</v>
      </c>
      <c r="H359" s="420">
        <f>IFERROR(X359+H363,"-")</f>
        <v>28.974571260398232</v>
      </c>
      <c r="I359" s="421" t="s">
        <v>341</v>
      </c>
      <c r="J359" s="422"/>
      <c r="K359" s="423" t="s">
        <v>217</v>
      </c>
      <c r="L359" s="54"/>
      <c r="O359" s="250" t="s">
        <v>576</v>
      </c>
      <c r="P359" s="250"/>
      <c r="R359" s="387" t="s">
        <v>219</v>
      </c>
      <c r="S359" s="426" t="s">
        <v>21</v>
      </c>
      <c r="T359" s="426">
        <f>(T361*Y361+T362*Y362)/Y359</f>
        <v>4.3588972751327884</v>
      </c>
      <c r="U359" s="426">
        <f>(U361*Y361+U362*Y362)/Y359</f>
        <v>1.2540946741742665</v>
      </c>
      <c r="V359" s="426">
        <f>(V361*Y361+V362*Y362)/Y359</f>
        <v>1.1954862051572013</v>
      </c>
      <c r="W359" s="426">
        <f>AP361/Y359/1.13</f>
        <v>0.11847724769017896</v>
      </c>
      <c r="X359" s="426">
        <f>SUM(T359:W359)*Y359</f>
        <v>28.974571260398232</v>
      </c>
      <c r="Y359" s="505">
        <f>SUM(Y361:Y362)</f>
        <v>4.1828725000000002</v>
      </c>
      <c r="Z359" s="505"/>
      <c r="AA359" t="s">
        <v>325</v>
      </c>
      <c r="AQ359" s="110"/>
      <c r="AX359" t="str">
        <f>E359</f>
        <v>Shuttle.Support.Beam.HS6040.15</v>
      </c>
      <c r="AY359" s="494">
        <f>D359</f>
        <v>1350</v>
      </c>
      <c r="AZ359">
        <f>F359</f>
        <v>0</v>
      </c>
      <c r="BA359" s="256" t="str">
        <f>G359</f>
        <v>-</v>
      </c>
      <c r="BB359" t="e">
        <f>AZ359*BA359</f>
        <v>#VALUE!</v>
      </c>
      <c r="BC359" s="495"/>
      <c r="BR359" t="str">
        <f>I359</f>
        <v>Orange Ral2004</v>
      </c>
      <c r="BZ359" t="s">
        <v>576</v>
      </c>
      <c r="CD359" t="s">
        <v>203</v>
      </c>
      <c r="CG359" s="122"/>
      <c r="CV359" s="388"/>
    </row>
    <row r="360" spans="1:100" customFormat="1" ht="30" customHeight="1" outlineLevel="1">
      <c r="A360" s="112"/>
      <c r="B360" s="623" t="s">
        <v>577</v>
      </c>
      <c r="C360" s="418" t="s">
        <v>166</v>
      </c>
      <c r="D360" s="513" t="s">
        <v>578</v>
      </c>
      <c r="E360" s="662">
        <f>D359</f>
        <v>1350</v>
      </c>
      <c r="F360" s="418"/>
      <c r="G360" s="514" t="s">
        <v>236</v>
      </c>
      <c r="H360" s="421"/>
      <c r="I360" s="421"/>
      <c r="J360" s="422"/>
      <c r="K360" s="54" t="s">
        <v>237</v>
      </c>
      <c r="L360" s="54"/>
      <c r="O360" s="250" t="s">
        <v>576</v>
      </c>
      <c r="P360" s="250"/>
      <c r="R360" s="421" t="s">
        <v>238</v>
      </c>
      <c r="S360" s="420" t="s">
        <v>239</v>
      </c>
      <c r="T360" s="421" t="s">
        <v>240</v>
      </c>
      <c r="U360" s="421" t="s">
        <v>241</v>
      </c>
      <c r="V360" s="421" t="s">
        <v>242</v>
      </c>
      <c r="W360" s="420" t="s">
        <v>207</v>
      </c>
      <c r="X360" s="421" t="s">
        <v>243</v>
      </c>
      <c r="Y360" s="414" t="s">
        <v>244</v>
      </c>
      <c r="Z360" s="414" t="s">
        <v>159</v>
      </c>
      <c r="AA360" s="506" t="s">
        <v>353</v>
      </c>
      <c r="AB360" s="507" t="s">
        <v>354</v>
      </c>
      <c r="AC360" s="507" t="s">
        <v>355</v>
      </c>
      <c r="AD360" s="508"/>
      <c r="AE360" s="418" t="s">
        <v>318</v>
      </c>
      <c r="AF360" s="509" t="s">
        <v>226</v>
      </c>
      <c r="AG360" s="509" t="s">
        <v>356</v>
      </c>
      <c r="AH360" s="509" t="s">
        <v>357</v>
      </c>
      <c r="AI360" s="507" t="s">
        <v>358</v>
      </c>
      <c r="AJ360" s="507" t="s">
        <v>359</v>
      </c>
      <c r="AK360" s="508" t="s">
        <v>360</v>
      </c>
      <c r="AL360" s="509" t="s">
        <v>231</v>
      </c>
      <c r="AM360" s="509" t="s">
        <v>232</v>
      </c>
      <c r="AN360" s="509" t="s">
        <v>102</v>
      </c>
      <c r="AO360" s="509" t="s">
        <v>74</v>
      </c>
      <c r="AP360" s="509" t="s">
        <v>21</v>
      </c>
      <c r="AQ360" s="110"/>
      <c r="AW360">
        <f>IFERROR(Y361*F359,"-")</f>
        <v>0</v>
      </c>
      <c r="AX360" t="s">
        <v>156</v>
      </c>
      <c r="AY360" t="s">
        <v>246</v>
      </c>
      <c r="AZ360" t="s">
        <v>102</v>
      </c>
      <c r="BA360" t="s">
        <v>158</v>
      </c>
      <c r="BB360" t="s">
        <v>247</v>
      </c>
      <c r="BC360" t="s">
        <v>248</v>
      </c>
      <c r="BD360" t="s">
        <v>249</v>
      </c>
      <c r="BE360" t="s">
        <v>250</v>
      </c>
      <c r="BF360" t="s">
        <v>251</v>
      </c>
      <c r="BZ360" t="s">
        <v>576</v>
      </c>
      <c r="CD360" t="s">
        <v>203</v>
      </c>
      <c r="CG360" s="122"/>
      <c r="CV360" s="388"/>
    </row>
    <row r="361" spans="1:100" customFormat="1" ht="30" customHeight="1" outlineLevel="1">
      <c r="A361" s="112"/>
      <c r="B361" s="460" t="s">
        <v>576</v>
      </c>
      <c r="C361" s="418" t="s">
        <v>362</v>
      </c>
      <c r="D361" s="54" t="s">
        <v>161</v>
      </c>
      <c r="E361" s="486" t="s">
        <v>579</v>
      </c>
      <c r="F361" s="418"/>
      <c r="G361" s="627" t="s">
        <v>236</v>
      </c>
      <c r="H361" s="421"/>
      <c r="I361" s="421"/>
      <c r="J361" s="422"/>
      <c r="K361" s="54" t="s">
        <v>237</v>
      </c>
      <c r="L361" s="54"/>
      <c r="O361" s="250" t="s">
        <v>576</v>
      </c>
      <c r="P361" s="250"/>
      <c r="Q361" s="388" t="s">
        <v>330</v>
      </c>
      <c r="R361" s="422">
        <f>AG361</f>
        <v>4.28</v>
      </c>
      <c r="S361" s="420">
        <v>1.01</v>
      </c>
      <c r="T361" s="519">
        <f>R361*S361/1.13</f>
        <v>3.8254867256637173</v>
      </c>
      <c r="U361" s="520">
        <f>AH361/Y361+0.25</f>
        <v>1.6119240095042839</v>
      </c>
      <c r="V361" s="520">
        <f>IF(AE361="喷塑",AI361*AC361*AF361/1000000/1.13/Y361,AF361/1.13)</f>
        <v>1.382860793266069</v>
      </c>
      <c r="W361" s="520"/>
      <c r="X361" s="519">
        <f>(T361+U361+V361)*Y361</f>
        <v>21.032847809070795</v>
      </c>
      <c r="Y361" s="521">
        <f>AK361*AJ361*AC361*Z364/1000000</f>
        <v>3.0838725</v>
      </c>
      <c r="Z361" s="508">
        <f>Y361*AB361</f>
        <v>3.0838725</v>
      </c>
      <c r="AA361" s="513" t="str">
        <f>D360</f>
        <v>Shuttle.Support.Beam.HS6040.15</v>
      </c>
      <c r="AB361" s="460">
        <v>1</v>
      </c>
      <c r="AC361" s="460">
        <f>E360</f>
        <v>1350</v>
      </c>
      <c r="AD361" s="508"/>
      <c r="AE361" s="514" t="str">
        <f>G360</f>
        <v>喷塑</v>
      </c>
      <c r="AF361" s="515">
        <f>IF(AE361="预镀锌",0,IF(AE361="喷塑",VLOOKUP(AA361,常规材料表!$1:$1048576,12,0),IF(AE361="热镀锌",VLOOKUP(AA361,常规材料表!$1:$1048576,13,0),IF(AE361="冷镀锌",VLOOKUP(AA361,常规材料表!$1:$1048576,15,0),0))))</f>
        <v>9.1999999999999993</v>
      </c>
      <c r="AG361" s="515">
        <f>VLOOKUP(AA361,常规材料表!$1:$1048576,10,0)</f>
        <v>4.28</v>
      </c>
      <c r="AH361" s="515">
        <f>IF(AE361="预镀锌",VLOOKUP(AA361,常规材料表!$1:$1048576,11,0)+VLOOKUP(AA361,常规材料表!$1:$1048576,14,0),VLOOKUP(AA361,常规材料表!$1:$1048576,11,0))+IF(AC361&lt;8000,0,VLOOKUP(AA361,常规材料表!$1:$1048576,16,0))+IF(AC361&gt;1200,VLOOKUP(AA361,常规材料表!$1:$1048576,16,0),0)</f>
        <v>4.2</v>
      </c>
      <c r="AI361" s="515">
        <f>2*IF(ISNUMBER(SEARCH("B",AA361)),AK361,(VLOOKUP(AA361,常规材料表!$1:$1048576,8,0)+VLOOKUP(AA361,常规材料表!$1:$1048576,9,0)))</f>
        <v>388</v>
      </c>
      <c r="AJ361" s="515">
        <f>VLOOKUP(AA361,常规材料表!$1:$1048576,6,0)</f>
        <v>1.5</v>
      </c>
      <c r="AK361" s="508">
        <f>VLOOKUP(AA361,常规材料表!$1:$1048576,7,0)</f>
        <v>194</v>
      </c>
      <c r="AL361" s="508" t="s">
        <v>363</v>
      </c>
      <c r="AM361" s="508" t="str">
        <f>VLOOKUP(AA361,常规材料表!$1:$1048576,17,0)</f>
        <v>M8.L16</v>
      </c>
      <c r="AN361" s="508">
        <f>VLOOKUP(AA361,常规材料表!$1:$1048576,18,0)</f>
        <v>4</v>
      </c>
      <c r="AO361" s="508">
        <f>VLOOKUP(AM361,标准件价格!$C:$D,2,0)</f>
        <v>0.14000000000000001</v>
      </c>
      <c r="AP361" s="508">
        <f>AN361*AO361</f>
        <v>0.56000000000000005</v>
      </c>
      <c r="AQ361" s="110"/>
      <c r="BZ361" t="s">
        <v>576</v>
      </c>
      <c r="CD361" t="s">
        <v>203</v>
      </c>
      <c r="CG361" s="122"/>
      <c r="CV361" s="388"/>
    </row>
    <row r="362" spans="1:100" customFormat="1" ht="30" customHeight="1" outlineLevel="1">
      <c r="A362" s="112"/>
      <c r="B362" s="460"/>
      <c r="C362" s="112"/>
      <c r="D362" s="463" t="s">
        <v>580</v>
      </c>
      <c r="E362" s="415"/>
      <c r="F362" s="418"/>
      <c r="G362" s="418"/>
      <c r="H362" s="421"/>
      <c r="I362" s="421"/>
      <c r="J362" s="422"/>
      <c r="K362" s="54" t="s">
        <v>237</v>
      </c>
      <c r="L362" s="54"/>
      <c r="O362" s="250" t="s">
        <v>576</v>
      </c>
      <c r="P362" s="250"/>
      <c r="Q362" t="s">
        <v>362</v>
      </c>
      <c r="R362" s="524">
        <f>IFERROR(AG364,0)</f>
        <v>6.5514103730664202</v>
      </c>
      <c r="S362" s="420">
        <v>1.01</v>
      </c>
      <c r="T362" s="519">
        <f>R362*S362/1.13</f>
        <v>5.8556853776965356</v>
      </c>
      <c r="U362" s="421">
        <v>0.25</v>
      </c>
      <c r="V362" s="520">
        <f>IFERROR(IF(AE364="喷塑",AH364*AF364/Y362,AF364/1.13),0)</f>
        <v>0.66969972702456781</v>
      </c>
      <c r="W362" s="520">
        <f>IFERROR(AP361/Y362/1.13,0)</f>
        <v>0.45093286736937055</v>
      </c>
      <c r="X362" s="519">
        <f>IFERROR((T362+U362+V362+W362)*Y362,0)</f>
        <v>7.9417234513274311</v>
      </c>
      <c r="Y362" s="521">
        <f>IFERROR(VLOOKUP(AA364,常规材料表!$1:$1048576,3,0),0)</f>
        <v>1.099</v>
      </c>
      <c r="Z362" s="508">
        <f>Y362*AB361</f>
        <v>1.099</v>
      </c>
      <c r="AA362" s="506" t="s">
        <v>365</v>
      </c>
      <c r="AE362" s="418" t="s">
        <v>334</v>
      </c>
      <c r="AF362" s="509" t="s">
        <v>226</v>
      </c>
      <c r="AG362" s="508" t="s">
        <v>366</v>
      </c>
      <c r="AH362" s="508" t="s">
        <v>336</v>
      </c>
      <c r="AQ362" s="110"/>
      <c r="BZ362" t="s">
        <v>576</v>
      </c>
      <c r="CD362" t="s">
        <v>203</v>
      </c>
      <c r="CG362" s="122"/>
      <c r="CV362" s="388"/>
    </row>
    <row r="363" spans="1:100" customFormat="1" ht="30" customHeight="1" outlineLevel="1">
      <c r="A363" s="112"/>
      <c r="B363" s="460"/>
      <c r="C363" s="418" t="s">
        <v>481</v>
      </c>
      <c r="D363" s="463">
        <f>0.3*0.2*3*7.85*2</f>
        <v>2.8259999999999996</v>
      </c>
      <c r="E363" s="415">
        <v>6.5</v>
      </c>
      <c r="F363" s="460">
        <f>F359</f>
        <v>0</v>
      </c>
      <c r="G363" s="112"/>
      <c r="H363" s="421">
        <f>IFERROR(D363*(E363*1.02+E364+D364*1.13)/1.13*F363/F359,0)</f>
        <v>0</v>
      </c>
      <c r="I363" s="421"/>
      <c r="J363" s="422"/>
      <c r="K363" s="54"/>
      <c r="L363" s="54"/>
      <c r="O363" s="250" t="s">
        <v>576</v>
      </c>
      <c r="P363" s="250"/>
      <c r="R363" s="524"/>
      <c r="S363" s="420"/>
      <c r="T363" s="519"/>
      <c r="U363" s="421"/>
      <c r="V363" s="546"/>
      <c r="W363" s="520"/>
      <c r="X363" s="519"/>
      <c r="Y363" s="521"/>
      <c r="Z363" s="508"/>
      <c r="AA363" s="506"/>
      <c r="AE363" s="418"/>
      <c r="AF363" s="509"/>
      <c r="AG363" s="508"/>
      <c r="AH363" s="508"/>
      <c r="AQ363" s="110"/>
      <c r="BZ363" t="s">
        <v>576</v>
      </c>
      <c r="CD363" t="s">
        <v>203</v>
      </c>
      <c r="CG363" s="122"/>
      <c r="CV363" s="388"/>
    </row>
    <row r="364" spans="1:100" customFormat="1" ht="30" customHeight="1" outlineLevel="1">
      <c r="A364" s="112"/>
      <c r="B364" s="414">
        <v>0</v>
      </c>
      <c r="C364" s="465">
        <f>报价辅助计算!$E$13</f>
        <v>0</v>
      </c>
      <c r="D364" s="418"/>
      <c r="E364" s="418">
        <v>0.95</v>
      </c>
      <c r="F364" s="463" t="s">
        <v>581</v>
      </c>
      <c r="G364" s="418"/>
      <c r="H364" s="421"/>
      <c r="I364" s="421"/>
      <c r="J364" s="422"/>
      <c r="K364" s="54" t="s">
        <v>237</v>
      </c>
      <c r="L364" s="54"/>
      <c r="O364" s="250" t="s">
        <v>576</v>
      </c>
      <c r="P364" s="250"/>
      <c r="R364" s="421" t="s">
        <v>412</v>
      </c>
      <c r="S364" s="420">
        <v>1.41</v>
      </c>
      <c r="T364" s="421" t="s">
        <v>424</v>
      </c>
      <c r="U364" s="420">
        <v>7</v>
      </c>
      <c r="V364" s="546"/>
      <c r="W364" s="421" t="s">
        <v>34</v>
      </c>
      <c r="X364" s="520">
        <f>X359*S364/U364</f>
        <v>5.8363064967373575</v>
      </c>
      <c r="Y364" s="509" t="s">
        <v>277</v>
      </c>
      <c r="Z364" s="458">
        <v>7.85</v>
      </c>
      <c r="AA364" s="513" t="str">
        <f>D361</f>
        <v>Bracket.DE75-3H+pin</v>
      </c>
      <c r="AE364" s="514" t="str">
        <f>G361</f>
        <v>喷塑</v>
      </c>
      <c r="AF364" s="515">
        <f>IF(AE364="预镀锌",0,IF(AE364="喷塑",VLOOKUP(AA364,常规材料表!$1:$1048576,12,0),IF(AE364="热镀锌",VLOOKUP(AA364,常规材料表!$1:$1048576,13,0),IF(AE364="冷镀锌",VLOOKUP(AA364,常规材料表!$1:$1048576,15,0),0))))</f>
        <v>9.1999999999999993</v>
      </c>
      <c r="AG364" s="515">
        <f>VLOOKUP(AA364,常规材料表!$1:$1048576,10,0)</f>
        <v>6.5514103730664202</v>
      </c>
      <c r="AH364" s="508">
        <f>VLOOKUP(AA364,常规材料表!$1:$1048576,4,0)</f>
        <v>0.08</v>
      </c>
      <c r="AQ364" s="110"/>
      <c r="BZ364" t="s">
        <v>576</v>
      </c>
      <c r="CD364" t="s">
        <v>203</v>
      </c>
      <c r="CG364" s="122"/>
      <c r="CV364" s="388"/>
    </row>
    <row r="365" spans="1:100" s="376" customFormat="1" ht="30" customHeight="1">
      <c r="A365" s="472"/>
      <c r="B365" s="473"/>
      <c r="C365" s="473"/>
      <c r="D365" s="473"/>
      <c r="E365" s="474"/>
      <c r="F365" s="473"/>
      <c r="G365" s="473"/>
      <c r="H365" s="421"/>
      <c r="I365" s="421"/>
      <c r="J365" s="422"/>
      <c r="K365" s="475"/>
      <c r="L365" s="475"/>
      <c r="R365" s="387"/>
      <c r="S365" s="387"/>
      <c r="T365" s="387"/>
      <c r="U365" s="387"/>
      <c r="V365" s="387"/>
      <c r="W365" s="387"/>
      <c r="X365" s="387"/>
      <c r="AQ365" s="476"/>
      <c r="BZ365" t="s">
        <v>576</v>
      </c>
      <c r="CA365"/>
      <c r="CB365"/>
      <c r="CC365"/>
      <c r="CD365" t="s">
        <v>203</v>
      </c>
      <c r="CE365"/>
      <c r="CF365"/>
      <c r="CG365" s="122"/>
    </row>
    <row r="366" spans="1:100" customFormat="1" ht="30" customHeight="1">
      <c r="A366" s="112" t="str">
        <f>IF($C$13=1,IF(K366="报价行",IF(F366&gt;0,1," ")," ")," ")</f>
        <v xml:space="preserve"> </v>
      </c>
      <c r="B366" s="414" t="str">
        <f>IF(A366=1,SUM($A$11:A366),"穿梭板导轨")</f>
        <v>穿梭板导轨</v>
      </c>
      <c r="C366" s="415" t="str">
        <f>B367&amp;IF(C369=1,CHAR(10)&amp;B368," ")</f>
        <v xml:space="preserve">Guide rail </v>
      </c>
      <c r="D366" s="643">
        <v>1350</v>
      </c>
      <c r="E366" s="643" t="s">
        <v>582</v>
      </c>
      <c r="F366" s="460"/>
      <c r="G366" s="419">
        <f>C367</f>
        <v>9.6172312500000015</v>
      </c>
      <c r="H366" s="420">
        <f>H367</f>
        <v>48.320940275442489</v>
      </c>
      <c r="I366" s="421" t="s">
        <v>425</v>
      </c>
      <c r="J366" s="422"/>
      <c r="K366" s="423" t="s">
        <v>217</v>
      </c>
      <c r="L366" s="54"/>
      <c r="O366" t="s">
        <v>583</v>
      </c>
      <c r="R366" s="387"/>
      <c r="S366" s="387"/>
      <c r="T366" s="387"/>
      <c r="U366" s="387"/>
      <c r="V366" s="387"/>
      <c r="W366" s="387"/>
      <c r="X366" s="387"/>
      <c r="AQ366" s="110"/>
      <c r="AX366" t="str">
        <f>E366</f>
        <v>208*70*t2.75</v>
      </c>
      <c r="AY366" s="494">
        <f>D366</f>
        <v>1350</v>
      </c>
      <c r="AZ366">
        <f>F366</f>
        <v>0</v>
      </c>
      <c r="BA366" s="256">
        <f>G366</f>
        <v>9.6172312500000015</v>
      </c>
      <c r="BB366">
        <f>AZ366*BA366</f>
        <v>0</v>
      </c>
      <c r="BC366" s="495"/>
      <c r="BR366" t="str">
        <f>I366</f>
        <v>Pre gal</v>
      </c>
      <c r="BZ366" t="s">
        <v>583</v>
      </c>
      <c r="CD366" t="s">
        <v>203</v>
      </c>
      <c r="CG366" s="122"/>
      <c r="CV366" s="388"/>
    </row>
    <row r="367" spans="1:100" customFormat="1" ht="30" customHeight="1" outlineLevel="1">
      <c r="A367" s="112"/>
      <c r="B367" s="623" t="s">
        <v>584</v>
      </c>
      <c r="C367" s="642">
        <f>0.33*2.75*D366/1000*7.85</f>
        <v>9.6172312500000015</v>
      </c>
      <c r="D367" s="418">
        <f>VLOOKUP(C368,常规材料表!$1:$1048576,5,0)</f>
        <v>5.44</v>
      </c>
      <c r="E367" s="418">
        <f>0.1*1.13</f>
        <v>0.11299999999999999</v>
      </c>
      <c r="F367" s="571">
        <f>D366/1000*2*0.25/C367</f>
        <v>7.0186520678703651E-2</v>
      </c>
      <c r="G367" s="627" t="s">
        <v>236</v>
      </c>
      <c r="H367" s="420">
        <f>(D367*1.01+E367+F367)*G366/1.13</f>
        <v>48.320940275442489</v>
      </c>
      <c r="I367" s="421"/>
      <c r="J367" s="422"/>
      <c r="K367" s="54" t="s">
        <v>237</v>
      </c>
      <c r="L367" s="54"/>
      <c r="O367" t="s">
        <v>583</v>
      </c>
      <c r="R367" s="387"/>
      <c r="S367" s="387"/>
      <c r="T367" s="387"/>
      <c r="U367" s="387"/>
      <c r="V367" s="387"/>
      <c r="W367" s="387"/>
      <c r="X367" s="387"/>
      <c r="AQ367" s="110"/>
      <c r="AX367" t="s">
        <v>156</v>
      </c>
      <c r="AY367" t="s">
        <v>246</v>
      </c>
      <c r="AZ367" t="s">
        <v>102</v>
      </c>
      <c r="BA367" t="s">
        <v>158</v>
      </c>
      <c r="BB367" t="s">
        <v>247</v>
      </c>
      <c r="BC367" t="s">
        <v>248</v>
      </c>
      <c r="BD367" t="s">
        <v>249</v>
      </c>
      <c r="BE367" t="s">
        <v>250</v>
      </c>
      <c r="BF367" t="s">
        <v>251</v>
      </c>
      <c r="BZ367" t="s">
        <v>583</v>
      </c>
      <c r="CD367" t="s">
        <v>203</v>
      </c>
      <c r="CG367" s="122"/>
      <c r="CV367" s="388"/>
    </row>
    <row r="368" spans="1:100" customFormat="1" ht="30" customHeight="1" outlineLevel="1">
      <c r="A368" s="112"/>
      <c r="B368" s="418" t="s">
        <v>585</v>
      </c>
      <c r="C368" s="513" t="s">
        <v>586</v>
      </c>
      <c r="D368" s="418"/>
      <c r="E368" s="418"/>
      <c r="F368" s="418"/>
      <c r="G368" s="418"/>
      <c r="H368" s="421"/>
      <c r="I368" s="421"/>
      <c r="J368" s="422"/>
      <c r="K368" s="54" t="s">
        <v>237</v>
      </c>
      <c r="L368" s="54"/>
      <c r="O368" t="s">
        <v>583</v>
      </c>
      <c r="R368" s="387"/>
      <c r="S368" s="387"/>
      <c r="T368" s="387"/>
      <c r="U368" s="387"/>
      <c r="V368" s="387"/>
      <c r="W368" s="387"/>
      <c r="X368" s="387"/>
      <c r="AQ368" s="110"/>
      <c r="BZ368" t="s">
        <v>583</v>
      </c>
      <c r="CD368" t="s">
        <v>203</v>
      </c>
      <c r="CG368" s="122"/>
      <c r="CV368" s="388"/>
    </row>
    <row r="369" spans="1:100" customFormat="1" ht="30" customHeight="1" outlineLevel="1">
      <c r="A369" s="112"/>
      <c r="B369" s="414">
        <v>0</v>
      </c>
      <c r="C369" s="465">
        <f>报价辅助计算!$E$13</f>
        <v>0</v>
      </c>
      <c r="D369" s="418"/>
      <c r="E369" s="647"/>
      <c r="F369" s="561"/>
      <c r="G369" s="418"/>
      <c r="H369" s="421"/>
      <c r="I369" s="421"/>
      <c r="J369" s="422"/>
      <c r="K369" s="54" t="s">
        <v>237</v>
      </c>
      <c r="L369" s="54"/>
      <c r="O369" t="s">
        <v>583</v>
      </c>
      <c r="R369" s="387"/>
      <c r="S369" s="387"/>
      <c r="T369" s="387"/>
      <c r="U369" s="387"/>
      <c r="V369" s="387"/>
      <c r="W369" s="387"/>
      <c r="X369" s="387"/>
      <c r="AQ369" s="110"/>
      <c r="BZ369" t="s">
        <v>583</v>
      </c>
      <c r="CD369" t="s">
        <v>203</v>
      </c>
      <c r="CG369" s="122"/>
      <c r="CV369" s="388"/>
    </row>
    <row r="370" spans="1:100" s="376" customFormat="1" ht="30" customHeight="1">
      <c r="A370" s="472"/>
      <c r="B370" s="473"/>
      <c r="C370" s="473"/>
      <c r="D370" s="473"/>
      <c r="E370" s="474"/>
      <c r="F370" s="473"/>
      <c r="G370" s="473"/>
      <c r="H370" s="421"/>
      <c r="I370" s="421"/>
      <c r="J370" s="422"/>
      <c r="K370" s="475"/>
      <c r="L370" s="475"/>
      <c r="R370" s="387"/>
      <c r="S370" s="387"/>
      <c r="T370" s="387"/>
      <c r="U370" s="387"/>
      <c r="V370" s="387"/>
      <c r="W370" s="387"/>
      <c r="X370" s="387"/>
      <c r="AQ370" s="476"/>
      <c r="BZ370" t="s">
        <v>583</v>
      </c>
      <c r="CA370"/>
      <c r="CB370"/>
      <c r="CC370"/>
      <c r="CD370" t="s">
        <v>203</v>
      </c>
      <c r="CE370"/>
      <c r="CF370"/>
      <c r="CG370" s="122"/>
    </row>
    <row r="371" spans="1:100" customFormat="1" ht="30" customHeight="1">
      <c r="A371" s="112" t="str">
        <f>IF($C$13=1,IF(K371="报价行",IF(F371&gt;0,1," ")," ")," ")</f>
        <v xml:space="preserve"> </v>
      </c>
      <c r="B371" s="414" t="str">
        <f>IF(A371=1,SUM($A$11:A371),"导轨对接件")</f>
        <v>导轨对接件</v>
      </c>
      <c r="C371" s="415" t="str">
        <f>B372&amp;IF(C374=1,CHAR(10)&amp;B373," ")</f>
        <v xml:space="preserve">Splice kit of rail </v>
      </c>
      <c r="D371" s="645"/>
      <c r="E371" s="547" t="s">
        <v>587</v>
      </c>
      <c r="F371" s="460"/>
      <c r="G371" s="419">
        <f>C373</f>
        <v>1</v>
      </c>
      <c r="H371" s="420">
        <f>H372</f>
        <v>7.5884955752212386</v>
      </c>
      <c r="I371" s="421" t="s">
        <v>341</v>
      </c>
      <c r="J371" s="422"/>
      <c r="K371" s="423" t="s">
        <v>217</v>
      </c>
      <c r="L371" s="54"/>
      <c r="O371" t="s">
        <v>588</v>
      </c>
      <c r="R371" s="387"/>
      <c r="S371" s="387"/>
      <c r="T371" s="387"/>
      <c r="U371" s="387"/>
      <c r="V371" s="387"/>
      <c r="W371" s="387"/>
      <c r="X371" s="387"/>
      <c r="AQ371" s="110"/>
      <c r="AX371" t="str">
        <f>E371</f>
        <v>200*125*3.0t</v>
      </c>
      <c r="AY371" s="494">
        <f>D371</f>
        <v>0</v>
      </c>
      <c r="AZ371">
        <f>F371</f>
        <v>0</v>
      </c>
      <c r="BA371" s="256">
        <f>G371</f>
        <v>1</v>
      </c>
      <c r="BB371">
        <f>AZ371*BA371</f>
        <v>0</v>
      </c>
      <c r="BC371" s="495"/>
      <c r="BR371" t="str">
        <f>I371</f>
        <v>Orange Ral2004</v>
      </c>
      <c r="BZ371" t="s">
        <v>588</v>
      </c>
      <c r="CD371" t="s">
        <v>203</v>
      </c>
      <c r="CG371" s="122"/>
      <c r="CV371" s="388"/>
    </row>
    <row r="372" spans="1:100" customFormat="1" ht="30" customHeight="1" outlineLevel="1">
      <c r="A372" s="112"/>
      <c r="B372" s="623" t="s">
        <v>589</v>
      </c>
      <c r="C372" s="112" t="s">
        <v>559</v>
      </c>
      <c r="D372" s="460">
        <v>6.2</v>
      </c>
      <c r="E372" s="460">
        <v>0.1</v>
      </c>
      <c r="F372" s="418">
        <v>1</v>
      </c>
      <c r="G372" s="514" t="s">
        <v>236</v>
      </c>
      <c r="H372" s="421">
        <f>C373*(D372*1.01+E372*1.13+D373+E373)/1.13*F372</f>
        <v>7.5884955752212386</v>
      </c>
      <c r="I372" s="421"/>
      <c r="J372" s="422"/>
      <c r="K372" s="54" t="s">
        <v>237</v>
      </c>
      <c r="L372" s="54"/>
      <c r="O372" t="s">
        <v>588</v>
      </c>
      <c r="R372" s="387"/>
      <c r="S372" s="387"/>
      <c r="T372" s="387"/>
      <c r="U372" s="387"/>
      <c r="V372" s="387"/>
      <c r="W372" s="387"/>
      <c r="X372" s="387"/>
      <c r="AQ372" s="110"/>
      <c r="AX372" t="s">
        <v>156</v>
      </c>
      <c r="AY372" t="s">
        <v>246</v>
      </c>
      <c r="AZ372" t="s">
        <v>102</v>
      </c>
      <c r="BA372" t="s">
        <v>158</v>
      </c>
      <c r="BB372" t="s">
        <v>247</v>
      </c>
      <c r="BC372" t="s">
        <v>248</v>
      </c>
      <c r="BD372" t="s">
        <v>249</v>
      </c>
      <c r="BE372" t="s">
        <v>250</v>
      </c>
      <c r="BF372" t="s">
        <v>251</v>
      </c>
      <c r="BZ372" t="s">
        <v>588</v>
      </c>
      <c r="CD372" t="s">
        <v>203</v>
      </c>
      <c r="CG372" s="122"/>
      <c r="CV372" s="388"/>
    </row>
    <row r="373" spans="1:100" customFormat="1" ht="30" customHeight="1" outlineLevel="1">
      <c r="A373" s="112"/>
      <c r="B373" s="418" t="s">
        <v>588</v>
      </c>
      <c r="C373" s="460">
        <v>1</v>
      </c>
      <c r="D373" s="655">
        <v>0.95</v>
      </c>
      <c r="E373" s="655">
        <f>0.25*5/C373</f>
        <v>1.25</v>
      </c>
      <c r="F373" s="561"/>
      <c r="G373" s="418"/>
      <c r="H373" s="421"/>
      <c r="I373" s="421"/>
      <c r="J373" s="422"/>
      <c r="K373" s="54" t="s">
        <v>237</v>
      </c>
      <c r="L373" s="54"/>
      <c r="O373" t="s">
        <v>588</v>
      </c>
      <c r="R373" s="387"/>
      <c r="S373" s="387"/>
      <c r="T373" s="387"/>
      <c r="U373" s="387"/>
      <c r="V373" s="387"/>
      <c r="W373" s="387"/>
      <c r="X373" s="387"/>
      <c r="AQ373" s="110"/>
      <c r="BZ373" t="s">
        <v>588</v>
      </c>
      <c r="CD373" t="s">
        <v>203</v>
      </c>
      <c r="CG373" s="122"/>
      <c r="CV373" s="388"/>
    </row>
    <row r="374" spans="1:100" customFormat="1" ht="30" customHeight="1" outlineLevel="1">
      <c r="A374" s="112"/>
      <c r="B374" s="414">
        <v>0</v>
      </c>
      <c r="C374" s="465">
        <f>报价辅助计算!$E$13</f>
        <v>0</v>
      </c>
      <c r="D374" s="564"/>
      <c r="E374" s="564"/>
      <c r="F374" s="561"/>
      <c r="G374" s="418"/>
      <c r="H374" s="421"/>
      <c r="I374" s="421"/>
      <c r="J374" s="422"/>
      <c r="K374" s="54" t="s">
        <v>237</v>
      </c>
      <c r="L374" s="54"/>
      <c r="O374" t="s">
        <v>588</v>
      </c>
      <c r="R374" s="387"/>
      <c r="S374" s="387"/>
      <c r="T374" s="387"/>
      <c r="U374" s="387"/>
      <c r="V374" s="387"/>
      <c r="W374" s="387"/>
      <c r="X374" s="387"/>
      <c r="AQ374" s="110"/>
      <c r="BZ374" t="s">
        <v>588</v>
      </c>
      <c r="CD374" t="s">
        <v>203</v>
      </c>
      <c r="CG374" s="122"/>
      <c r="CV374" s="388"/>
    </row>
    <row r="375" spans="1:100" s="376" customFormat="1" ht="30" customHeight="1">
      <c r="A375" s="472"/>
      <c r="B375" s="473"/>
      <c r="C375" s="473"/>
      <c r="D375" s="473"/>
      <c r="E375" s="474"/>
      <c r="F375" s="473"/>
      <c r="G375" s="473"/>
      <c r="H375" s="421"/>
      <c r="I375" s="421"/>
      <c r="J375" s="422"/>
      <c r="K375" s="475"/>
      <c r="L375" s="475"/>
      <c r="R375" s="387"/>
      <c r="S375" s="387"/>
      <c r="T375" s="387"/>
      <c r="U375" s="387"/>
      <c r="V375" s="387"/>
      <c r="W375" s="387"/>
      <c r="X375" s="387"/>
      <c r="AQ375" s="476"/>
      <c r="BZ375" t="s">
        <v>588</v>
      </c>
      <c r="CA375"/>
      <c r="CB375"/>
      <c r="CC375"/>
      <c r="CD375" t="s">
        <v>203</v>
      </c>
      <c r="CE375"/>
      <c r="CF375"/>
      <c r="CG375" s="122"/>
    </row>
    <row r="376" spans="1:100" customFormat="1" ht="30" customHeight="1">
      <c r="A376" s="112" t="str">
        <f>IF($C$13=1,IF(K376="报价行",IF(F376&gt;0,1," ")," ")," ")</f>
        <v xml:space="preserve"> </v>
      </c>
      <c r="B376" s="414" t="str">
        <f>IF(A376=1,SUM($A$11:A376),"前后挡板")</f>
        <v>前后挡板</v>
      </c>
      <c r="C376" s="415" t="str">
        <f>B377&amp;IF(C379=1,CHAR(10)&amp;B378," ")</f>
        <v xml:space="preserve">End stopper </v>
      </c>
      <c r="D376" s="645"/>
      <c r="E376" s="547" t="s">
        <v>590</v>
      </c>
      <c r="F376" s="460"/>
      <c r="G376" s="419">
        <f>C378</f>
        <v>1.05975</v>
      </c>
      <c r="H376" s="420">
        <f>H377</f>
        <v>5.9343030973451336</v>
      </c>
      <c r="I376" s="421" t="s">
        <v>341</v>
      </c>
      <c r="J376" s="422"/>
      <c r="K376" s="423" t="s">
        <v>217</v>
      </c>
      <c r="L376" s="54"/>
      <c r="O376" t="s">
        <v>591</v>
      </c>
      <c r="R376" s="387"/>
      <c r="S376" s="387"/>
      <c r="T376" s="387"/>
      <c r="U376" s="387"/>
      <c r="V376" s="387"/>
      <c r="W376" s="387"/>
      <c r="X376" s="387"/>
      <c r="AQ376" s="110"/>
      <c r="AX376" t="str">
        <f>E376</f>
        <v>216*125*5</v>
      </c>
      <c r="AY376" s="494">
        <f>D376</f>
        <v>0</v>
      </c>
      <c r="AZ376">
        <f>F376</f>
        <v>0</v>
      </c>
      <c r="BA376" s="256">
        <f>G376</f>
        <v>1.05975</v>
      </c>
      <c r="BB376">
        <f>AZ376*BA376</f>
        <v>0</v>
      </c>
      <c r="BC376" s="495"/>
      <c r="BR376" t="str">
        <f>I376</f>
        <v>Orange Ral2004</v>
      </c>
      <c r="BZ376" t="s">
        <v>591</v>
      </c>
      <c r="CD376" t="s">
        <v>203</v>
      </c>
      <c r="CG376" s="122"/>
      <c r="CV376" s="388"/>
    </row>
    <row r="377" spans="1:100" customFormat="1" ht="30" customHeight="1" outlineLevel="1">
      <c r="A377" s="112"/>
      <c r="B377" s="418" t="s">
        <v>592</v>
      </c>
      <c r="C377" s="513" t="s">
        <v>593</v>
      </c>
      <c r="D377" s="460">
        <f>VLOOKUP(C377,常规材料表!$1:$1048576,5,0)</f>
        <v>4.9000000000000004</v>
      </c>
      <c r="E377" s="460"/>
      <c r="F377" s="418">
        <v>1</v>
      </c>
      <c r="G377" s="514" t="s">
        <v>236</v>
      </c>
      <c r="H377" s="421">
        <f>C378*(D377/C378*1.01+E377*1.13+D378+E378)/1.13*F377</f>
        <v>5.9343030973451336</v>
      </c>
      <c r="I377" s="421"/>
      <c r="J377" s="422"/>
      <c r="K377" s="54" t="s">
        <v>237</v>
      </c>
      <c r="L377" s="54"/>
      <c r="O377" t="s">
        <v>591</v>
      </c>
      <c r="R377" s="387"/>
      <c r="S377" s="387"/>
      <c r="T377" s="387"/>
      <c r="U377" s="387"/>
      <c r="V377" s="387"/>
      <c r="W377" s="387"/>
      <c r="X377" s="387"/>
      <c r="AQ377" s="110"/>
      <c r="AX377" t="s">
        <v>156</v>
      </c>
      <c r="AY377" t="s">
        <v>246</v>
      </c>
      <c r="AZ377" t="s">
        <v>102</v>
      </c>
      <c r="BA377" t="s">
        <v>158</v>
      </c>
      <c r="BB377" t="s">
        <v>247</v>
      </c>
      <c r="BC377" t="s">
        <v>248</v>
      </c>
      <c r="BD377" t="s">
        <v>249</v>
      </c>
      <c r="BE377" t="s">
        <v>250</v>
      </c>
      <c r="BF377" t="s">
        <v>251</v>
      </c>
      <c r="BZ377" t="s">
        <v>591</v>
      </c>
      <c r="CD377" t="s">
        <v>203</v>
      </c>
      <c r="CG377" s="122"/>
      <c r="CV377" s="388"/>
    </row>
    <row r="378" spans="1:100" customFormat="1" ht="30" customHeight="1" outlineLevel="1">
      <c r="A378" s="112"/>
      <c r="B378" s="418" t="s">
        <v>591</v>
      </c>
      <c r="C378" s="460">
        <f>0.216*0.125*5*7.85</f>
        <v>1.05975</v>
      </c>
      <c r="D378" s="655">
        <v>0.95</v>
      </c>
      <c r="E378" s="655">
        <f>0.25*3/C378</f>
        <v>0.70771408351026188</v>
      </c>
      <c r="F378" s="561"/>
      <c r="G378" s="418"/>
      <c r="H378" s="421"/>
      <c r="I378" s="421"/>
      <c r="J378" s="422"/>
      <c r="K378" s="54" t="s">
        <v>237</v>
      </c>
      <c r="L378" s="54"/>
      <c r="O378" t="s">
        <v>591</v>
      </c>
      <c r="R378" s="387"/>
      <c r="S378" s="387"/>
      <c r="T378" s="387"/>
      <c r="U378" s="387"/>
      <c r="V378" s="387"/>
      <c r="W378" s="387"/>
      <c r="X378" s="387"/>
      <c r="AQ378" s="110"/>
      <c r="BZ378" t="s">
        <v>591</v>
      </c>
      <c r="CD378" t="s">
        <v>203</v>
      </c>
      <c r="CG378" s="122"/>
      <c r="CV378" s="388"/>
    </row>
    <row r="379" spans="1:100" customFormat="1" ht="30" customHeight="1" outlineLevel="1">
      <c r="A379" s="112"/>
      <c r="B379" s="414">
        <v>0</v>
      </c>
      <c r="C379" s="465">
        <f>报价辅助计算!$E$13</f>
        <v>0</v>
      </c>
      <c r="D379" s="564"/>
      <c r="E379" s="564"/>
      <c r="F379" s="561"/>
      <c r="G379" s="418"/>
      <c r="H379" s="421"/>
      <c r="I379" s="421"/>
      <c r="J379" s="422"/>
      <c r="K379" s="54" t="s">
        <v>237</v>
      </c>
      <c r="L379" s="54"/>
      <c r="O379" t="s">
        <v>591</v>
      </c>
      <c r="R379" s="387"/>
      <c r="S379" s="387"/>
      <c r="T379" s="387"/>
      <c r="U379" s="387"/>
      <c r="V379" s="387"/>
      <c r="W379" s="387"/>
      <c r="X379" s="387"/>
      <c r="AQ379" s="110"/>
      <c r="BZ379" t="s">
        <v>591</v>
      </c>
      <c r="CD379" t="s">
        <v>203</v>
      </c>
      <c r="CG379" s="122"/>
      <c r="CV379" s="388"/>
    </row>
    <row r="380" spans="1:100" s="376" customFormat="1" ht="30" customHeight="1">
      <c r="A380" s="472"/>
      <c r="B380" s="473"/>
      <c r="C380" s="473"/>
      <c r="D380" s="473"/>
      <c r="E380" s="474"/>
      <c r="F380" s="473"/>
      <c r="G380" s="473"/>
      <c r="H380" s="421"/>
      <c r="I380" s="421"/>
      <c r="J380" s="422"/>
      <c r="K380" s="475"/>
      <c r="L380" s="475"/>
      <c r="R380" s="387"/>
      <c r="S380" s="387"/>
      <c r="T380" s="387"/>
      <c r="U380" s="387"/>
      <c r="V380" s="387"/>
      <c r="W380" s="387"/>
      <c r="X380" s="387"/>
      <c r="AQ380" s="476"/>
      <c r="BZ380" t="s">
        <v>591</v>
      </c>
      <c r="CA380"/>
      <c r="CB380"/>
      <c r="CC380"/>
      <c r="CD380" t="s">
        <v>203</v>
      </c>
      <c r="CE380"/>
      <c r="CF380"/>
      <c r="CG380" s="122"/>
    </row>
    <row r="381" spans="1:100" customFormat="1" ht="30" customHeight="1">
      <c r="A381" s="112" t="str">
        <f>IF($C$13=1,IF(K381="报价行",IF(F381&gt;0,1," ")," ")," ")</f>
        <v xml:space="preserve"> </v>
      </c>
      <c r="B381" s="414" t="str">
        <f>IF(A381=1,SUM($A$11:A381),"托盘导向")</f>
        <v>托盘导向</v>
      </c>
      <c r="C381" s="415" t="str">
        <f>B382&amp;IF(C384=1,CHAR(10)&amp;B383," ")</f>
        <v xml:space="preserve">Pallet guide </v>
      </c>
      <c r="D381" s="645">
        <v>1300</v>
      </c>
      <c r="E381" s="547" t="str">
        <f>"100*90*110*t"&amp;D382</f>
        <v>100*90*110*t2.5</v>
      </c>
      <c r="F381" s="460"/>
      <c r="G381" s="419">
        <f>C383</f>
        <v>4.8387596249999998</v>
      </c>
      <c r="H381" s="420">
        <f>H382</f>
        <v>32.730907899049491</v>
      </c>
      <c r="I381" s="421" t="s">
        <v>396</v>
      </c>
      <c r="J381" s="422"/>
      <c r="K381" s="423" t="s">
        <v>217</v>
      </c>
      <c r="L381" s="54"/>
      <c r="O381" t="s">
        <v>594</v>
      </c>
      <c r="R381" s="387"/>
      <c r="S381" s="387"/>
      <c r="T381" s="387"/>
      <c r="U381" s="387"/>
      <c r="V381" s="387"/>
      <c r="W381" s="387"/>
      <c r="X381" s="387"/>
      <c r="AQ381" s="110"/>
      <c r="AX381" t="str">
        <f>E381</f>
        <v>100*90*110*t2.5</v>
      </c>
      <c r="AY381" s="494">
        <f>D381</f>
        <v>1300</v>
      </c>
      <c r="AZ381">
        <f>F381</f>
        <v>0</v>
      </c>
      <c r="BA381" s="256">
        <f>G381</f>
        <v>4.8387596249999998</v>
      </c>
      <c r="BB381">
        <f>AZ381*BA381</f>
        <v>0</v>
      </c>
      <c r="BC381" s="495"/>
      <c r="BR381" t="str">
        <f>I381</f>
        <v>Gal</v>
      </c>
      <c r="BZ381" t="s">
        <v>594</v>
      </c>
      <c r="CD381" t="s">
        <v>203</v>
      </c>
      <c r="CG381" s="122"/>
      <c r="CV381" s="388"/>
    </row>
    <row r="382" spans="1:100" customFormat="1" ht="30" customHeight="1" outlineLevel="1">
      <c r="A382" s="112"/>
      <c r="B382" s="418" t="s">
        <v>595</v>
      </c>
      <c r="C382" s="513" t="s">
        <v>596</v>
      </c>
      <c r="D382" s="663">
        <f>VLOOKUP(C382,常规材料表!$1:$1048576,6,0)</f>
        <v>2.5</v>
      </c>
      <c r="E382" s="460"/>
      <c r="F382" s="418">
        <v>1</v>
      </c>
      <c r="G382" s="514" t="s">
        <v>236</v>
      </c>
      <c r="H382" s="421">
        <f>C383*(D383/C383*1.01+E382*1.13+E383)/1.13*F382</f>
        <v>32.730907899049491</v>
      </c>
      <c r="I382" s="421"/>
      <c r="J382" s="422"/>
      <c r="K382" s="54" t="s">
        <v>237</v>
      </c>
      <c r="L382" s="54"/>
      <c r="O382" t="s">
        <v>594</v>
      </c>
      <c r="R382" s="387"/>
      <c r="S382" s="387"/>
      <c r="T382" s="387"/>
      <c r="U382" s="387"/>
      <c r="V382" s="387"/>
      <c r="W382" s="387"/>
      <c r="X382" s="387"/>
      <c r="AQ382" s="110"/>
      <c r="AX382" t="s">
        <v>156</v>
      </c>
      <c r="AY382" t="s">
        <v>246</v>
      </c>
      <c r="AZ382" t="s">
        <v>102</v>
      </c>
      <c r="BA382" t="s">
        <v>158</v>
      </c>
      <c r="BB382" t="s">
        <v>247</v>
      </c>
      <c r="BC382" t="s">
        <v>248</v>
      </c>
      <c r="BD382" t="s">
        <v>249</v>
      </c>
      <c r="BE382" t="s">
        <v>250</v>
      </c>
      <c r="BF382" t="s">
        <v>251</v>
      </c>
      <c r="BZ382" t="s">
        <v>594</v>
      </c>
      <c r="CD382" t="s">
        <v>203</v>
      </c>
      <c r="CG382" s="122"/>
      <c r="CV382" s="388"/>
    </row>
    <row r="383" spans="1:100" customFormat="1" ht="30" customHeight="1" outlineLevel="1">
      <c r="A383" s="112"/>
      <c r="B383" s="418" t="s">
        <v>594</v>
      </c>
      <c r="C383" s="659">
        <f>(D381+93)/1000*0.177*D382*7.85</f>
        <v>4.8387596249999998</v>
      </c>
      <c r="D383" s="460">
        <f>VLOOKUP(C382,常规材料表!$1:$1048576,5,0)*D381/VLOOKUP(C382,常规材料表!$1:$1048576,8,0)</f>
        <v>35.629629629629626</v>
      </c>
      <c r="E383" s="655">
        <f>0.25*4/C383</f>
        <v>0.20666453337202095</v>
      </c>
      <c r="F383" s="561"/>
      <c r="G383" s="418"/>
      <c r="H383" s="421"/>
      <c r="I383" s="421"/>
      <c r="J383" s="422"/>
      <c r="K383" s="54" t="s">
        <v>237</v>
      </c>
      <c r="L383" s="54"/>
      <c r="O383" t="s">
        <v>594</v>
      </c>
      <c r="R383" s="387"/>
      <c r="S383" s="387"/>
      <c r="T383" s="387"/>
      <c r="U383" s="387"/>
      <c r="V383" s="387"/>
      <c r="W383" s="387"/>
      <c r="X383" s="387"/>
      <c r="AQ383" s="110"/>
      <c r="BZ383" t="s">
        <v>594</v>
      </c>
      <c r="CD383" t="s">
        <v>203</v>
      </c>
      <c r="CG383" s="122"/>
      <c r="CV383" s="388"/>
    </row>
    <row r="384" spans="1:100" customFormat="1" ht="30" customHeight="1" outlineLevel="1">
      <c r="A384" s="112"/>
      <c r="B384" s="414">
        <v>0</v>
      </c>
      <c r="C384" s="465">
        <f>报价辅助计算!$E$13</f>
        <v>0</v>
      </c>
      <c r="D384" s="380"/>
      <c r="E384" s="564"/>
      <c r="F384" s="561"/>
      <c r="G384" s="418"/>
      <c r="H384" s="421"/>
      <c r="I384" s="421"/>
      <c r="J384" s="422"/>
      <c r="K384" s="54" t="s">
        <v>237</v>
      </c>
      <c r="L384" s="54"/>
      <c r="O384" t="s">
        <v>594</v>
      </c>
      <c r="R384" s="387"/>
      <c r="S384" s="387"/>
      <c r="T384" s="387"/>
      <c r="U384" s="387"/>
      <c r="V384" s="387"/>
      <c r="W384" s="387"/>
      <c r="X384" s="387"/>
      <c r="AQ384" s="110"/>
      <c r="BZ384" t="s">
        <v>594</v>
      </c>
      <c r="CD384" t="s">
        <v>203</v>
      </c>
      <c r="CG384" s="122"/>
      <c r="CV384" s="388"/>
    </row>
    <row r="385" spans="1:100" s="376" customFormat="1" ht="30" customHeight="1">
      <c r="A385" s="472"/>
      <c r="B385" s="473"/>
      <c r="C385" s="473"/>
      <c r="D385" s="473"/>
      <c r="E385" s="474"/>
      <c r="F385" s="473"/>
      <c r="G385" s="473"/>
      <c r="H385" s="421"/>
      <c r="I385" s="421"/>
      <c r="J385" s="422"/>
      <c r="K385" s="475"/>
      <c r="L385" s="475"/>
      <c r="R385" s="387"/>
      <c r="S385" s="387"/>
      <c r="T385" s="387"/>
      <c r="U385" s="387"/>
      <c r="V385" s="387"/>
      <c r="W385" s="387"/>
      <c r="X385" s="387"/>
      <c r="AQ385" s="476"/>
      <c r="BZ385" t="s">
        <v>594</v>
      </c>
      <c r="CA385"/>
      <c r="CB385"/>
      <c r="CC385"/>
      <c r="CD385" t="s">
        <v>203</v>
      </c>
      <c r="CE385"/>
      <c r="CF385"/>
      <c r="CG385" s="122"/>
    </row>
    <row r="386" spans="1:100" customFormat="1" ht="30" customHeight="1">
      <c r="A386" s="112" t="str">
        <f>IF($C$13=1,IF(K386="报价行",IF(F386&gt;0,1," ")," ")," ")</f>
        <v xml:space="preserve"> </v>
      </c>
      <c r="B386" s="414" t="str">
        <f>IF(A386=1,SUM($A$11:A386),"水平拉")</f>
        <v>水平拉</v>
      </c>
      <c r="C386" s="415" t="str">
        <f>B387&amp;IF(C389=1,CHAR(10)&amp;B388," ")</f>
        <v xml:space="preserve">Cross brace </v>
      </c>
      <c r="D386" s="566" t="s">
        <v>597</v>
      </c>
      <c r="E386" s="547" t="str">
        <f>D387</f>
        <v>100.Br3040.14</v>
      </c>
      <c r="F386" s="460"/>
      <c r="G386" s="419">
        <f>IFERROR(Y386,"-")</f>
        <v>4.7212767446285948</v>
      </c>
      <c r="H386" s="420">
        <f>IFERROR(X386,"-")</f>
        <v>23.870311072085727</v>
      </c>
      <c r="I386" s="421" t="s">
        <v>292</v>
      </c>
      <c r="J386" s="422"/>
      <c r="K386" s="423" t="s">
        <v>217</v>
      </c>
      <c r="L386" s="54"/>
      <c r="O386" s="414" t="s">
        <v>474</v>
      </c>
      <c r="P386" s="250"/>
      <c r="R386" s="387" t="s">
        <v>219</v>
      </c>
      <c r="S386" s="426" t="s">
        <v>21</v>
      </c>
      <c r="T386" s="426">
        <f>(T388*Y388+T389*Y389)/Y386</f>
        <v>3.5641282164763055</v>
      </c>
      <c r="U386" s="426">
        <f>(U388*Y388+U389*Y389)/Y386</f>
        <v>0.52534924773876313</v>
      </c>
      <c r="V386" s="426">
        <f>(V388*Y388+V389*Y389)/Y386</f>
        <v>0.73699775931482048</v>
      </c>
      <c r="W386" s="426">
        <f>SUM(AP387:AP388)/Y386/1.13</f>
        <v>0.22942646646170597</v>
      </c>
      <c r="X386" s="426">
        <f>SUM(T386:W386)*Y386</f>
        <v>23.870311072085727</v>
      </c>
      <c r="Y386" s="505">
        <f>SUM(Y388:Y389)</f>
        <v>4.7212767446285948</v>
      </c>
      <c r="Z386" s="505"/>
      <c r="AA386" s="506" t="s">
        <v>315</v>
      </c>
      <c r="AB386" s="507" t="s">
        <v>316</v>
      </c>
      <c r="AC386" s="507" t="s">
        <v>317</v>
      </c>
      <c r="AD386" s="508"/>
      <c r="AE386" s="418" t="s">
        <v>318</v>
      </c>
      <c r="AF386" s="509" t="s">
        <v>226</v>
      </c>
      <c r="AG386" s="509" t="s">
        <v>319</v>
      </c>
      <c r="AH386" s="509" t="s">
        <v>287</v>
      </c>
      <c r="AI386" s="507" t="s">
        <v>320</v>
      </c>
      <c r="AJ386" s="507" t="s">
        <v>321</v>
      </c>
      <c r="AK386" s="508" t="s">
        <v>322</v>
      </c>
      <c r="AL386" s="509" t="s">
        <v>231</v>
      </c>
      <c r="AM386" s="509" t="s">
        <v>232</v>
      </c>
      <c r="AN386" s="509" t="s">
        <v>102</v>
      </c>
      <c r="AO386" s="509" t="s">
        <v>74</v>
      </c>
      <c r="AP386" s="509" t="s">
        <v>21</v>
      </c>
      <c r="AQ386" s="110"/>
      <c r="AX386" t="str">
        <f>E386</f>
        <v>100.Br3040.14</v>
      </c>
      <c r="AY386" s="494" t="str">
        <f>D386</f>
        <v>L1440*D1150</v>
      </c>
      <c r="AZ386">
        <f>F386</f>
        <v>0</v>
      </c>
      <c r="BA386" s="256">
        <f>G386</f>
        <v>4.7212767446285948</v>
      </c>
      <c r="BB386">
        <f>AZ386*BA386</f>
        <v>0</v>
      </c>
      <c r="BC386" s="495"/>
      <c r="BR386" t="str">
        <f>I386</f>
        <v>Blue Ral5015</v>
      </c>
      <c r="BZ386" t="s">
        <v>474</v>
      </c>
      <c r="CD386" t="s">
        <v>203</v>
      </c>
      <c r="CG386" s="122"/>
      <c r="CV386" s="388"/>
    </row>
    <row r="387" spans="1:100" customFormat="1" ht="30" customHeight="1" outlineLevel="1">
      <c r="A387" s="112"/>
      <c r="B387" s="623" t="s">
        <v>475</v>
      </c>
      <c r="C387" s="418" t="s">
        <v>324</v>
      </c>
      <c r="D387" s="513" t="s">
        <v>598</v>
      </c>
      <c r="E387" s="624">
        <f>IFERROR((SQRT(D389^2+E389^2)/1000+0.04)*1000,"请填写长度")</f>
        <v>1882.851052038661</v>
      </c>
      <c r="F387" s="625">
        <v>2</v>
      </c>
      <c r="G387" s="514" t="s">
        <v>236</v>
      </c>
      <c r="H387" s="421"/>
      <c r="I387" s="421"/>
      <c r="J387" s="422"/>
      <c r="K387" s="54" t="s">
        <v>237</v>
      </c>
      <c r="L387" s="54"/>
      <c r="O387" s="414" t="s">
        <v>474</v>
      </c>
      <c r="P387" s="250"/>
      <c r="R387" s="421" t="s">
        <v>238</v>
      </c>
      <c r="S387" s="420" t="s">
        <v>239</v>
      </c>
      <c r="T387" s="421" t="s">
        <v>240</v>
      </c>
      <c r="U387" s="421" t="s">
        <v>241</v>
      </c>
      <c r="V387" s="421" t="s">
        <v>242</v>
      </c>
      <c r="W387" s="420" t="s">
        <v>207</v>
      </c>
      <c r="X387" s="421" t="s">
        <v>243</v>
      </c>
      <c r="Y387" s="414" t="s">
        <v>244</v>
      </c>
      <c r="Z387" s="414" t="s">
        <v>159</v>
      </c>
      <c r="AA387" s="513" t="str">
        <f>D387</f>
        <v>100.Br3040.14</v>
      </c>
      <c r="AB387" s="460">
        <v>1</v>
      </c>
      <c r="AC387" s="460">
        <f>E387</f>
        <v>1882.851052038661</v>
      </c>
      <c r="AD387" s="508"/>
      <c r="AE387" s="514" t="str">
        <f>G387</f>
        <v>喷塑</v>
      </c>
      <c r="AF387" s="515">
        <f>IF(AE387="预镀锌",0,IF(AE387="喷塑",VLOOKUP(AA387,常规材料表!$1:$1048576,12,0),IF(AE387="热镀锌",VLOOKUP(AA387,常规材料表!$1:$1048576,13,0),IF(AE387="冷镀锌",VLOOKUP(AA387,常规材料表!$1:$1048576,15,0),0))))</f>
        <v>9</v>
      </c>
      <c r="AG387" s="515">
        <f>VLOOKUP(AA387,常规材料表!$1:$1048576,10,0)</f>
        <v>3.69</v>
      </c>
      <c r="AH387" s="515">
        <v>1.3</v>
      </c>
      <c r="AI387" s="515">
        <f>IF((VLOOKUP(AA387,常规材料表!$1:$1048576,8,0)+VLOOKUP(AA387,常规材料表!$1:$1048576,9,0))*2/IF(ISNUMBER(SEARCH("L4040.30",AA387)),2,1)=0,AK387,(VLOOKUP(AA387,常规材料表!$1:$1048576,8,0)+VLOOKUP(AA387,常规材料表!$1:$1048576,9,0))*2/IF(ISNUMBER(SEARCH("L4040.30",AA387)),2,1))</f>
        <v>204</v>
      </c>
      <c r="AJ387" s="515">
        <f>VLOOKUP(AA387,常规材料表!$1:$1048576,6,0)</f>
        <v>1.4</v>
      </c>
      <c r="AK387" s="508">
        <f>VLOOKUP(AA387,常规材料表!$1:$1048576,7,0)</f>
        <v>102</v>
      </c>
      <c r="AL387" s="508" t="s">
        <v>326</v>
      </c>
      <c r="AM387" s="508" t="str">
        <f>VLOOKUP(AA389,常规材料表!$1:$1048576,17,0)</f>
        <v>M10.L20</v>
      </c>
      <c r="AN387" s="508">
        <f>VLOOKUP(AA389,常规材料表!$1:$1048576,18,0)</f>
        <v>4</v>
      </c>
      <c r="AO387" s="508">
        <f>IFERROR(VLOOKUP(AM387,标准件价格!$C:$D,2,0),0)</f>
        <v>0.19600000000000001</v>
      </c>
      <c r="AP387" s="508">
        <f>AN387*AO387*IF(ISNUMBER(SEARCH("L4040.30",AA387)),0,1)</f>
        <v>0.78400000000000003</v>
      </c>
      <c r="AQ387" s="110"/>
      <c r="AW387">
        <f>IFERROR(Y388*F386,"-")</f>
        <v>0</v>
      </c>
      <c r="AX387" t="s">
        <v>156</v>
      </c>
      <c r="AY387" t="s">
        <v>246</v>
      </c>
      <c r="AZ387" t="s">
        <v>102</v>
      </c>
      <c r="BA387" t="s">
        <v>158</v>
      </c>
      <c r="BB387" t="s">
        <v>247</v>
      </c>
      <c r="BC387" t="s">
        <v>248</v>
      </c>
      <c r="BD387" t="s">
        <v>249</v>
      </c>
      <c r="BE387" t="s">
        <v>250</v>
      </c>
      <c r="BF387" t="s">
        <v>251</v>
      </c>
      <c r="BZ387" t="s">
        <v>474</v>
      </c>
      <c r="CD387" t="s">
        <v>203</v>
      </c>
      <c r="CG387" s="122"/>
      <c r="CV387" s="388"/>
    </row>
    <row r="388" spans="1:100" customFormat="1" ht="30" customHeight="1" outlineLevel="1">
      <c r="A388" s="112"/>
      <c r="B388" s="460" t="s">
        <v>474</v>
      </c>
      <c r="C388" s="418" t="s">
        <v>329</v>
      </c>
      <c r="D388" s="513" t="s">
        <v>477</v>
      </c>
      <c r="E388" s="626">
        <f>0.25*2</f>
        <v>0.5</v>
      </c>
      <c r="F388" s="626"/>
      <c r="G388" s="627" t="s">
        <v>236</v>
      </c>
      <c r="H388" s="421"/>
      <c r="I388" s="421"/>
      <c r="J388" s="422"/>
      <c r="K388" s="54" t="s">
        <v>237</v>
      </c>
      <c r="L388" s="54"/>
      <c r="O388" s="414" t="s">
        <v>474</v>
      </c>
      <c r="P388" s="250"/>
      <c r="Q388" s="388" t="s">
        <v>330</v>
      </c>
      <c r="R388" s="420">
        <f>IFERROR(IF(AE387="预镀锌",VLOOKUP(AA387,常规材料表!$1:$1048576,5,0),AG387),0)</f>
        <v>3.69</v>
      </c>
      <c r="S388" s="420">
        <v>1.01</v>
      </c>
      <c r="T388" s="519">
        <f>R388*S388/1.13</f>
        <v>3.2981415929203544</v>
      </c>
      <c r="U388" s="520">
        <f>IFERROR(AH387/Y388+0.25,0)</f>
        <v>0.55796369881557695</v>
      </c>
      <c r="V388" s="520">
        <f>IF(AE387="喷塑",AI387*AC387*AF387/1000000/1.13/Y388,AF387/1.13)</f>
        <v>0.72471353684363127</v>
      </c>
      <c r="W388" s="520">
        <f>SUM(AP387:AP388)/Y388/1.13*IF(ISNUMBER(SEARCH("L4040.30",AA387)),1,0)</f>
        <v>0</v>
      </c>
      <c r="X388" s="519">
        <f>(T388+U388+V388+W388)*Y388</f>
        <v>19.336903992439712</v>
      </c>
      <c r="Y388" s="521">
        <f>AK387*AJ387*(AC387+IF(ISNUMBER(SEARCH("L4040.30",AA387)),66,0))*AD389/1000000*F387</f>
        <v>4.2212767446285948</v>
      </c>
      <c r="Z388" s="508">
        <f>Y388*AB387</f>
        <v>4.2212767446285948</v>
      </c>
      <c r="AA388" s="506" t="s">
        <v>331</v>
      </c>
      <c r="AB388" s="507" t="s">
        <v>332</v>
      </c>
      <c r="AC388" s="507" t="s">
        <v>333</v>
      </c>
      <c r="AD388" s="509" t="s">
        <v>277</v>
      </c>
      <c r="AE388" s="418" t="s">
        <v>334</v>
      </c>
      <c r="AF388" s="509" t="s">
        <v>226</v>
      </c>
      <c r="AG388" s="508" t="s">
        <v>335</v>
      </c>
      <c r="AH388" s="508" t="s">
        <v>336</v>
      </c>
      <c r="AI388" s="507" t="s">
        <v>337</v>
      </c>
      <c r="AL388" s="508" t="s">
        <v>338</v>
      </c>
      <c r="AM388" s="508" t="str">
        <f>VLOOKUP(AA387,常规材料表!$1:$1048576,17,0)</f>
        <v>M10.L75.Socket.Wz</v>
      </c>
      <c r="AN388" s="508">
        <f>VLOOKUP(AA387,常规材料表!$1:$1048576,18,0)</f>
        <v>1</v>
      </c>
      <c r="AO388" s="508">
        <f>IFERROR(VLOOKUP(AM388,标准件价格!$C:$D,2,0),0)</f>
        <v>0.44</v>
      </c>
      <c r="AP388" s="508">
        <f>AN388*AO388</f>
        <v>0.44</v>
      </c>
      <c r="AQ388" s="110"/>
      <c r="BZ388" t="s">
        <v>474</v>
      </c>
      <c r="CD388" t="s">
        <v>203</v>
      </c>
      <c r="CG388" s="122"/>
      <c r="CV388" s="388"/>
    </row>
    <row r="389" spans="1:100" customFormat="1" ht="30" customHeight="1" outlineLevel="1">
      <c r="A389" s="112"/>
      <c r="B389" s="414">
        <v>0</v>
      </c>
      <c r="C389" s="465">
        <f>报价辅助计算!$E$13</f>
        <v>0</v>
      </c>
      <c r="D389" s="418" t="str">
        <f>IFERROR(MID(D386,FIND("L",D386)+1,FIND("*",D386)-FIND("L",D386)-1),"无数据")</f>
        <v>1440</v>
      </c>
      <c r="E389" s="418" t="str">
        <f>IFERROR(MID(D386,FIND("D",D386)+1,LEN(D386)-FIND("D",D386)),"无数据")</f>
        <v>1150</v>
      </c>
      <c r="F389" s="561"/>
      <c r="G389" s="418"/>
      <c r="H389" s="421"/>
      <c r="I389" s="421"/>
      <c r="J389" s="422"/>
      <c r="K389" s="54" t="s">
        <v>237</v>
      </c>
      <c r="L389" s="54"/>
      <c r="O389" s="414" t="s">
        <v>474</v>
      </c>
      <c r="P389" s="250"/>
      <c r="Q389" t="s">
        <v>339</v>
      </c>
      <c r="R389" s="524">
        <f>IF(AC389&gt;0,AC389,AG389)*IF(ISNUMBER(SEARCH("L4040.30",AA387)),0,1)</f>
        <v>6.5</v>
      </c>
      <c r="S389" s="420">
        <v>1.01</v>
      </c>
      <c r="T389" s="519">
        <f>R389*S389/1.13</f>
        <v>5.8097345132743374</v>
      </c>
      <c r="U389" s="421">
        <f>IFERROR((AI389/Y389+0.25)*IF(ISNUMBER(SEARCH("L4040.30",AA387)),0,1),0)</f>
        <v>0.25</v>
      </c>
      <c r="V389" s="520">
        <f>AF389/1.13*IF(ISNUMBER(SEARCH("L4040.30",AA387)),0,1)</f>
        <v>0.84070796460177</v>
      </c>
      <c r="W389" s="520">
        <f>IFERROR(AP387/Y389/1.13*IF(ISNUMBER(SEARCH("L4040.30",AA387)),0,1),0)</f>
        <v>1.3876106194690268</v>
      </c>
      <c r="X389" s="519">
        <f>IFERROR((T389+U389+V389+W389)*Y389,0)</f>
        <v>4.1440265486725671</v>
      </c>
      <c r="Y389" s="521">
        <f>IF(AB389&gt;0,AB389,VLOOKUP(AA389,常规材料表!$1:$1048576,3,0))*IF(ISNUMBER(SEARCH("L4040.30",AA387)),0,1)</f>
        <v>0.5</v>
      </c>
      <c r="Z389" s="508">
        <f>Y389*AB387</f>
        <v>0.5</v>
      </c>
      <c r="AA389" s="513" t="str">
        <f>D388</f>
        <v>Row.Spacer.End.Plate.Std.RAL</v>
      </c>
      <c r="AB389" s="525">
        <f>E388</f>
        <v>0.5</v>
      </c>
      <c r="AC389" s="525">
        <f>F388</f>
        <v>0</v>
      </c>
      <c r="AD389" s="458">
        <v>7.85</v>
      </c>
      <c r="AE389" s="514" t="str">
        <f>G388</f>
        <v>喷塑</v>
      </c>
      <c r="AF389" s="515">
        <f>IF(AE389="预镀锌",0,IF(AE389="喷塑",VLOOKUP(AA389,常规材料表!$1:$1048576,12,0),IF(AE389="热镀锌",VLOOKUP(AA389,常规材料表!$1:$1048576,13,0),IF(AE389="冷镀锌",VLOOKUP(AA389,常规材料表!$1:$1048576,15,0),0))))</f>
        <v>0.95</v>
      </c>
      <c r="AG389" s="515">
        <f>VLOOKUP(AA389,常规材料表!$1:$1048576,10,0)</f>
        <v>6.5</v>
      </c>
      <c r="AH389" s="508">
        <f>VLOOKUP(AA389,常规材料表!$1:$1048576,4,0)</f>
        <v>3.5200000000000002E-2</v>
      </c>
      <c r="AI389" s="515">
        <f>IF(AA389="预镀锌",VLOOKUP(AA389,常规材料表!$1:$1048576,11,0)+VLOOKUP(AA389,常规材料表!$1:$1048576,14,0),VLOOKUP(AA389,常规材料表!$1:$1048576,11,0))+IF(AC387&lt;8000,0,VLOOKUP(AA389,常规材料表!$1:$1048576,16,0))</f>
        <v>0</v>
      </c>
      <c r="AQ389" s="110"/>
      <c r="BZ389" t="s">
        <v>474</v>
      </c>
      <c r="CD389" t="s">
        <v>203</v>
      </c>
      <c r="CG389" s="122"/>
      <c r="CV389" s="388"/>
    </row>
    <row r="390" spans="1:100" s="376" customFormat="1" ht="30" customHeight="1">
      <c r="A390" s="472"/>
      <c r="B390" s="473"/>
      <c r="C390" s="473"/>
      <c r="D390" s="473"/>
      <c r="E390" s="474"/>
      <c r="F390" s="473"/>
      <c r="G390" s="473"/>
      <c r="H390" s="421"/>
      <c r="I390" s="421"/>
      <c r="J390" s="422"/>
      <c r="K390" s="475"/>
      <c r="L390" s="475"/>
      <c r="R390" s="387"/>
      <c r="S390" s="387"/>
      <c r="T390" s="387"/>
      <c r="U390" s="387"/>
      <c r="V390" s="387"/>
      <c r="W390" s="387"/>
      <c r="X390" s="387"/>
      <c r="AQ390" s="476"/>
      <c r="BZ390" t="s">
        <v>474</v>
      </c>
      <c r="CA390"/>
      <c r="CB390"/>
      <c r="CC390"/>
      <c r="CD390" t="s">
        <v>203</v>
      </c>
      <c r="CE390"/>
      <c r="CF390"/>
      <c r="CG390" s="122"/>
    </row>
    <row r="391" spans="1:100" customFormat="1" ht="30" customHeight="1">
      <c r="A391" s="112" t="str">
        <f>IF($C$13=1,IF(K391="报价行",IF(F391&gt;0,1," ")," ")," ")</f>
        <v xml:space="preserve"> </v>
      </c>
      <c r="B391" s="414" t="str">
        <f>IF(A391=1,SUM($A$11:A391),"圆管护脚/防撞柱")</f>
        <v>圆管护脚/防撞柱</v>
      </c>
      <c r="C391" s="415" t="str">
        <f>B392&amp;IF(C394=1,CHAR(10)&amp;B393," ")</f>
        <v xml:space="preserve">Steel column guard </v>
      </c>
      <c r="D391" s="643">
        <v>500</v>
      </c>
      <c r="E391" s="643" t="s">
        <v>392</v>
      </c>
      <c r="F391" s="460"/>
      <c r="G391" s="419">
        <f>C392</f>
        <v>2.8302082</v>
      </c>
      <c r="H391" s="420">
        <f>(D392*1.01+E392+F392)*G391/1.13</f>
        <v>24.183650358407082</v>
      </c>
      <c r="I391" s="421" t="s">
        <v>387</v>
      </c>
      <c r="J391" s="422"/>
      <c r="K391" s="423" t="s">
        <v>217</v>
      </c>
      <c r="L391" s="54"/>
      <c r="O391" t="s">
        <v>599</v>
      </c>
      <c r="R391" s="387"/>
      <c r="S391" s="387"/>
      <c r="T391" s="387"/>
      <c r="U391" s="387"/>
      <c r="V391" s="387"/>
      <c r="W391" s="387"/>
      <c r="X391" s="387"/>
      <c r="AQ391" s="110"/>
      <c r="AX391" t="str">
        <f>E391</f>
        <v>Φ76*2.0 round pipe</v>
      </c>
      <c r="AY391" s="494">
        <f>D391</f>
        <v>500</v>
      </c>
      <c r="AZ391">
        <f>F391</f>
        <v>0</v>
      </c>
      <c r="BA391" s="256">
        <f>G391</f>
        <v>2.8302082</v>
      </c>
      <c r="BB391">
        <f>AZ391*BA391</f>
        <v>0</v>
      </c>
      <c r="BC391" s="495"/>
      <c r="BR391" t="str">
        <f>I391</f>
        <v>Yellow Ral1023</v>
      </c>
      <c r="BZ391" t="s">
        <v>599</v>
      </c>
      <c r="CD391" t="s">
        <v>203</v>
      </c>
      <c r="CG391" s="122"/>
      <c r="CV391" s="388"/>
    </row>
    <row r="392" spans="1:100" customFormat="1" ht="30" customHeight="1" outlineLevel="1">
      <c r="A392" s="112"/>
      <c r="B392" s="623" t="s">
        <v>600</v>
      </c>
      <c r="C392" s="664">
        <f>3.65*(C393*D393+E393*F393)/1000+0.15*0.15*7.85*5*F393+0.072*0.072*3*7.85</f>
        <v>2.8302082</v>
      </c>
      <c r="D392" s="418">
        <v>7.5</v>
      </c>
      <c r="E392" s="418">
        <f>IF(G392="喷塑",0.95,0)</f>
        <v>0.95</v>
      </c>
      <c r="F392" s="571">
        <f>0.8*4*F393/C392</f>
        <v>1.1306588681355669</v>
      </c>
      <c r="G392" s="627" t="s">
        <v>236</v>
      </c>
      <c r="H392" s="421"/>
      <c r="I392" s="421"/>
      <c r="J392" s="422"/>
      <c r="K392" s="54" t="s">
        <v>237</v>
      </c>
      <c r="L392" s="54"/>
      <c r="O392" t="s">
        <v>599</v>
      </c>
      <c r="R392" s="387"/>
      <c r="S392" s="387"/>
      <c r="T392" s="387"/>
      <c r="U392" s="387"/>
      <c r="V392" s="387"/>
      <c r="W392" s="387"/>
      <c r="X392" s="387"/>
      <c r="AQ392" s="110"/>
      <c r="AX392" t="s">
        <v>156</v>
      </c>
      <c r="AY392" t="s">
        <v>246</v>
      </c>
      <c r="AZ392" t="s">
        <v>102</v>
      </c>
      <c r="BA392" t="s">
        <v>158</v>
      </c>
      <c r="BB392" t="s">
        <v>247</v>
      </c>
      <c r="BC392" t="s">
        <v>248</v>
      </c>
      <c r="BD392" t="s">
        <v>249</v>
      </c>
      <c r="BE392" t="s">
        <v>250</v>
      </c>
      <c r="BF392" t="s">
        <v>251</v>
      </c>
      <c r="BZ392" t="s">
        <v>599</v>
      </c>
      <c r="CD392" t="s">
        <v>203</v>
      </c>
      <c r="CG392" s="122"/>
      <c r="CV392" s="388"/>
    </row>
    <row r="393" spans="1:100" customFormat="1" ht="30" customHeight="1" outlineLevel="1">
      <c r="A393" s="112"/>
      <c r="B393" s="418" t="s">
        <v>599</v>
      </c>
      <c r="C393" s="460">
        <v>0</v>
      </c>
      <c r="D393" s="460"/>
      <c r="E393" s="460">
        <f>D391</f>
        <v>500</v>
      </c>
      <c r="F393" s="460">
        <v>1</v>
      </c>
      <c r="G393" s="418"/>
      <c r="H393" s="421"/>
      <c r="I393" s="421"/>
      <c r="J393" s="422"/>
      <c r="K393" s="54" t="s">
        <v>237</v>
      </c>
      <c r="L393" s="54"/>
      <c r="O393" t="s">
        <v>599</v>
      </c>
      <c r="R393" s="387"/>
      <c r="S393" s="387"/>
      <c r="T393" s="387"/>
      <c r="U393" s="387"/>
      <c r="V393" s="387"/>
      <c r="W393" s="387"/>
      <c r="X393" s="387"/>
      <c r="AQ393" s="110"/>
      <c r="BZ393" t="s">
        <v>599</v>
      </c>
      <c r="CD393" t="s">
        <v>203</v>
      </c>
      <c r="CG393" s="122"/>
      <c r="CV393" s="388"/>
    </row>
    <row r="394" spans="1:100" customFormat="1" ht="30" customHeight="1" outlineLevel="1">
      <c r="A394" s="112"/>
      <c r="B394" s="414">
        <v>0</v>
      </c>
      <c r="C394" s="465">
        <f>报价辅助计算!$E$13</f>
        <v>0</v>
      </c>
      <c r="D394" s="418"/>
      <c r="E394" s="940"/>
      <c r="F394" s="941"/>
      <c r="G394" s="418"/>
      <c r="H394" s="421"/>
      <c r="I394" s="421"/>
      <c r="J394" s="422"/>
      <c r="K394" s="54" t="s">
        <v>237</v>
      </c>
      <c r="L394" s="54"/>
      <c r="O394" t="s">
        <v>599</v>
      </c>
      <c r="R394" s="387"/>
      <c r="S394" s="387"/>
      <c r="T394" s="387"/>
      <c r="U394" s="387"/>
      <c r="V394" s="387"/>
      <c r="W394" s="387"/>
      <c r="X394" s="387"/>
      <c r="AQ394" s="110"/>
      <c r="BZ394" t="s">
        <v>599</v>
      </c>
      <c r="CD394" t="s">
        <v>203</v>
      </c>
      <c r="CG394" s="122"/>
      <c r="CV394" s="388"/>
    </row>
    <row r="395" spans="1:100" s="376" customFormat="1" ht="30" customHeight="1">
      <c r="A395" s="472"/>
      <c r="B395" s="473"/>
      <c r="C395" s="473"/>
      <c r="D395" s="473"/>
      <c r="E395" s="474"/>
      <c r="F395" s="473"/>
      <c r="G395" s="473"/>
      <c r="H395" s="421"/>
      <c r="I395" s="421"/>
      <c r="J395" s="422"/>
      <c r="K395" s="475"/>
      <c r="L395" s="475"/>
      <c r="R395" s="387"/>
      <c r="S395" s="387"/>
      <c r="T395" s="387"/>
      <c r="U395" s="387"/>
      <c r="V395" s="387"/>
      <c r="W395" s="387"/>
      <c r="X395" s="387"/>
      <c r="AQ395" s="476"/>
      <c r="BZ395" t="s">
        <v>599</v>
      </c>
      <c r="CA395"/>
      <c r="CB395"/>
      <c r="CC395"/>
      <c r="CD395" t="s">
        <v>203</v>
      </c>
      <c r="CE395"/>
      <c r="CF395"/>
      <c r="CG395" s="122"/>
    </row>
    <row r="396" spans="1:100" customFormat="1" ht="30" customHeight="1">
      <c r="A396" s="112" t="str">
        <f>IF($C$13=1,IF(K396="报价行",IF(F396&gt;0,1," ")," ")," ")</f>
        <v xml:space="preserve"> </v>
      </c>
      <c r="B396" s="414" t="str">
        <f>IF(A396=1,SUM($A$11:A396),"叉车阻挡")</f>
        <v>叉车阻挡</v>
      </c>
      <c r="C396" s="415" t="str">
        <f>B397&amp;IF(C399=1,CHAR(10)&amp;B398," ")</f>
        <v xml:space="preserve">Forklift stopper </v>
      </c>
      <c r="D396" s="645"/>
      <c r="E396" s="547" t="s">
        <v>587</v>
      </c>
      <c r="F396" s="460"/>
      <c r="G396" s="419">
        <f>C398</f>
        <v>2.7</v>
      </c>
      <c r="H396" s="420">
        <f>H397</f>
        <v>33.314601769911505</v>
      </c>
      <c r="I396" s="421" t="s">
        <v>341</v>
      </c>
      <c r="J396" s="422"/>
      <c r="K396" s="423" t="s">
        <v>217</v>
      </c>
      <c r="L396" s="54"/>
      <c r="O396" t="s">
        <v>601</v>
      </c>
      <c r="R396" s="387"/>
      <c r="S396" s="387"/>
      <c r="T396" s="387"/>
      <c r="U396" s="387"/>
      <c r="V396" s="387"/>
      <c r="W396" s="387"/>
      <c r="X396" s="387"/>
      <c r="AQ396" s="110"/>
      <c r="AX396" t="str">
        <f>E396</f>
        <v>200*125*3.0t</v>
      </c>
      <c r="AY396" s="494">
        <f>D396</f>
        <v>0</v>
      </c>
      <c r="AZ396">
        <f>F396</f>
        <v>0</v>
      </c>
      <c r="BA396" s="256">
        <f>G396</f>
        <v>2.7</v>
      </c>
      <c r="BB396">
        <f>AZ396*BA396</f>
        <v>0</v>
      </c>
      <c r="BC396" s="495"/>
      <c r="BR396" t="str">
        <f>I396</f>
        <v>Orange Ral2004</v>
      </c>
      <c r="BZ396" t="s">
        <v>601</v>
      </c>
      <c r="CD396" t="s">
        <v>203</v>
      </c>
      <c r="CG396" s="122"/>
      <c r="CV396" s="388"/>
    </row>
    <row r="397" spans="1:100" customFormat="1" ht="30" customHeight="1" outlineLevel="1">
      <c r="A397" s="112"/>
      <c r="B397" s="623" t="s">
        <v>602</v>
      </c>
      <c r="C397" s="112" t="s">
        <v>559</v>
      </c>
      <c r="D397" s="460">
        <v>7.6</v>
      </c>
      <c r="E397" s="460">
        <f>8/C398+0.3</f>
        <v>3.2629629629629626</v>
      </c>
      <c r="F397" s="418">
        <v>1</v>
      </c>
      <c r="G397" s="514" t="s">
        <v>236</v>
      </c>
      <c r="H397" s="421">
        <f>C398*(D397*1.01+E397*1.13+D398+E398)/1.13*F397</f>
        <v>33.314601769911505</v>
      </c>
      <c r="I397" s="421"/>
      <c r="J397" s="422"/>
      <c r="K397" s="54" t="s">
        <v>237</v>
      </c>
      <c r="L397" s="54"/>
      <c r="O397" t="s">
        <v>601</v>
      </c>
      <c r="R397" s="387"/>
      <c r="S397" s="387"/>
      <c r="T397" s="387"/>
      <c r="U397" s="387"/>
      <c r="V397" s="387"/>
      <c r="W397" s="387"/>
      <c r="X397" s="387"/>
      <c r="AQ397" s="110"/>
      <c r="AX397" t="s">
        <v>156</v>
      </c>
      <c r="AY397" t="s">
        <v>246</v>
      </c>
      <c r="AZ397" t="s">
        <v>102</v>
      </c>
      <c r="BA397" t="s">
        <v>158</v>
      </c>
      <c r="BB397" t="s">
        <v>247</v>
      </c>
      <c r="BC397" t="s">
        <v>248</v>
      </c>
      <c r="BD397" t="s">
        <v>249</v>
      </c>
      <c r="BE397" t="s">
        <v>250</v>
      </c>
      <c r="BF397" t="s">
        <v>251</v>
      </c>
      <c r="BZ397" t="s">
        <v>601</v>
      </c>
      <c r="CD397" t="s">
        <v>203</v>
      </c>
      <c r="CG397" s="122"/>
      <c r="CV397" s="388"/>
    </row>
    <row r="398" spans="1:100" customFormat="1" ht="30" customHeight="1" outlineLevel="1">
      <c r="A398" s="112"/>
      <c r="B398" s="414" t="s">
        <v>601</v>
      </c>
      <c r="C398" s="460">
        <v>2.7</v>
      </c>
      <c r="D398" s="655">
        <v>0.95</v>
      </c>
      <c r="E398" s="655">
        <f>1.1*4/C398</f>
        <v>1.6296296296296298</v>
      </c>
      <c r="F398" s="561"/>
      <c r="G398" s="418"/>
      <c r="H398" s="421"/>
      <c r="I398" s="421"/>
      <c r="J398" s="422"/>
      <c r="K398" s="54" t="s">
        <v>237</v>
      </c>
      <c r="L398" s="54"/>
      <c r="O398" t="s">
        <v>601</v>
      </c>
      <c r="R398" s="387"/>
      <c r="S398" s="387"/>
      <c r="T398" s="387"/>
      <c r="U398" s="387"/>
      <c r="V398" s="387"/>
      <c r="W398" s="387"/>
      <c r="X398" s="387"/>
      <c r="AQ398" s="110"/>
      <c r="BZ398" t="s">
        <v>601</v>
      </c>
      <c r="CD398" t="s">
        <v>203</v>
      </c>
      <c r="CG398" s="122"/>
      <c r="CV398" s="388"/>
    </row>
    <row r="399" spans="1:100" customFormat="1" ht="30" customHeight="1" outlineLevel="1">
      <c r="A399" s="112"/>
      <c r="B399" s="414">
        <v>0</v>
      </c>
      <c r="C399" s="465">
        <f>报价辅助计算!$E$13</f>
        <v>0</v>
      </c>
      <c r="D399" s="564"/>
      <c r="E399" s="564"/>
      <c r="F399" s="561"/>
      <c r="G399" s="418"/>
      <c r="H399" s="421"/>
      <c r="I399" s="421"/>
      <c r="J399" s="422"/>
      <c r="K399" s="54" t="s">
        <v>237</v>
      </c>
      <c r="L399" s="54"/>
      <c r="O399" t="s">
        <v>601</v>
      </c>
      <c r="R399" s="387"/>
      <c r="S399" s="387"/>
      <c r="T399" s="387"/>
      <c r="U399" s="387"/>
      <c r="V399" s="387"/>
      <c r="W399" s="387"/>
      <c r="X399" s="387"/>
      <c r="AQ399" s="110"/>
      <c r="BZ399" t="s">
        <v>601</v>
      </c>
      <c r="CD399" t="s">
        <v>203</v>
      </c>
      <c r="CG399" s="122"/>
      <c r="CV399" s="388"/>
    </row>
    <row r="400" spans="1:100" s="376" customFormat="1" ht="30" customHeight="1">
      <c r="A400" s="472"/>
      <c r="B400" s="473"/>
      <c r="C400" s="473"/>
      <c r="D400" s="473"/>
      <c r="E400" s="474"/>
      <c r="F400" s="473"/>
      <c r="G400" s="473"/>
      <c r="H400" s="421"/>
      <c r="I400" s="421"/>
      <c r="J400" s="422"/>
      <c r="K400" s="475"/>
      <c r="L400" s="475"/>
      <c r="R400" s="387"/>
      <c r="S400" s="387"/>
      <c r="T400" s="387"/>
      <c r="U400" s="387"/>
      <c r="V400" s="387"/>
      <c r="W400" s="387"/>
      <c r="X400" s="387"/>
      <c r="AQ400" s="476"/>
      <c r="BZ400" t="s">
        <v>601</v>
      </c>
      <c r="CA400"/>
      <c r="CB400"/>
      <c r="CC400"/>
      <c r="CD400" t="s">
        <v>203</v>
      </c>
      <c r="CE400"/>
      <c r="CF400"/>
      <c r="CG400" s="122"/>
    </row>
    <row r="401" spans="1:100" customFormat="1" ht="30" customHeight="1">
      <c r="A401" s="112" t="str">
        <f>IF($C$13=1,IF(K401="报价行",IF(F401&gt;0,1," ")," ")," ")</f>
        <v xml:space="preserve"> </v>
      </c>
      <c r="B401" s="414" t="str">
        <f>IF(A401=1,SUM($A$11:A401),"穿梭车")</f>
        <v>穿梭车</v>
      </c>
      <c r="C401" s="415" t="str">
        <f>B402&amp;IF(C404=1,CHAR(10)&amp;B403," ")</f>
        <v xml:space="preserve">Shuttle cart </v>
      </c>
      <c r="D401" s="536"/>
      <c r="E401" s="641" t="s">
        <v>603</v>
      </c>
      <c r="F401" s="460"/>
      <c r="G401" s="419"/>
      <c r="H401" s="420">
        <f>D402*1.01/1.13+D403/1.06</f>
        <v>89380.530973451343</v>
      </c>
      <c r="I401" s="421"/>
      <c r="J401" s="422"/>
      <c r="K401" s="423" t="s">
        <v>217</v>
      </c>
      <c r="L401" s="54"/>
      <c r="O401" t="s">
        <v>604</v>
      </c>
      <c r="R401" s="387"/>
      <c r="S401" s="387"/>
      <c r="T401" s="387"/>
      <c r="U401" s="387"/>
      <c r="V401" s="387"/>
      <c r="W401" s="387"/>
      <c r="X401" s="387"/>
      <c r="AQ401" s="110"/>
      <c r="AX401" t="str">
        <f>E401</f>
        <v xml:space="preserve"> II1413</v>
      </c>
      <c r="AY401" s="494">
        <f>D401</f>
        <v>0</v>
      </c>
      <c r="AZ401">
        <f>F401</f>
        <v>0</v>
      </c>
      <c r="BA401" s="256">
        <f>G401</f>
        <v>0</v>
      </c>
      <c r="BB401">
        <f>AZ401*BA401</f>
        <v>0</v>
      </c>
      <c r="BC401" s="495"/>
      <c r="BR401">
        <f>I401</f>
        <v>0</v>
      </c>
      <c r="BZ401" t="s">
        <v>604</v>
      </c>
      <c r="CD401" t="s">
        <v>203</v>
      </c>
      <c r="CG401" s="122"/>
      <c r="CV401" s="388"/>
    </row>
    <row r="402" spans="1:100" customFormat="1" ht="30" customHeight="1" outlineLevel="1">
      <c r="A402" s="112"/>
      <c r="B402" s="623" t="s">
        <v>605</v>
      </c>
      <c r="C402" s="418" t="s">
        <v>604</v>
      </c>
      <c r="D402" s="640">
        <v>100000</v>
      </c>
      <c r="E402" s="486" t="s">
        <v>536</v>
      </c>
      <c r="F402" s="418"/>
      <c r="G402" s="418"/>
      <c r="H402" s="421"/>
      <c r="I402" s="421"/>
      <c r="J402" s="422"/>
      <c r="K402" s="54" t="s">
        <v>237</v>
      </c>
      <c r="L402" s="54"/>
      <c r="O402" t="s">
        <v>604</v>
      </c>
      <c r="R402" s="387"/>
      <c r="S402" s="387"/>
      <c r="T402" s="387"/>
      <c r="U402" s="387"/>
      <c r="V402" s="387"/>
      <c r="W402" s="387"/>
      <c r="X402" s="387"/>
      <c r="AQ402" s="110"/>
      <c r="AX402" t="s">
        <v>156</v>
      </c>
      <c r="AY402" t="s">
        <v>246</v>
      </c>
      <c r="AZ402" t="s">
        <v>102</v>
      </c>
      <c r="BA402" t="s">
        <v>158</v>
      </c>
      <c r="BB402" t="s">
        <v>247</v>
      </c>
      <c r="BC402" t="s">
        <v>248</v>
      </c>
      <c r="BD402" t="s">
        <v>249</v>
      </c>
      <c r="BE402" t="s">
        <v>250</v>
      </c>
      <c r="BF402" t="s">
        <v>251</v>
      </c>
      <c r="BZ402" t="s">
        <v>604</v>
      </c>
      <c r="CD402" t="s">
        <v>203</v>
      </c>
      <c r="CG402" s="122"/>
      <c r="CV402" s="388"/>
    </row>
    <row r="403" spans="1:100" customFormat="1" ht="30" customHeight="1" outlineLevel="1">
      <c r="A403" s="112"/>
      <c r="B403" s="418" t="s">
        <v>604</v>
      </c>
      <c r="C403" s="112" t="s">
        <v>538</v>
      </c>
      <c r="D403" s="640"/>
      <c r="E403" s="486" t="s">
        <v>539</v>
      </c>
      <c r="F403" s="418"/>
      <c r="G403" s="418"/>
      <c r="H403" s="421"/>
      <c r="I403" s="421"/>
      <c r="J403" s="422"/>
      <c r="K403" s="54" t="s">
        <v>237</v>
      </c>
      <c r="L403" s="54"/>
      <c r="O403" t="s">
        <v>604</v>
      </c>
      <c r="R403" s="387"/>
      <c r="S403" s="387"/>
      <c r="T403" s="387"/>
      <c r="U403" s="387"/>
      <c r="V403" s="387"/>
      <c r="W403" s="387"/>
      <c r="X403" s="387"/>
      <c r="AQ403" s="110"/>
      <c r="BZ403" t="s">
        <v>604</v>
      </c>
      <c r="CD403" t="s">
        <v>203</v>
      </c>
      <c r="CG403" s="122"/>
      <c r="CV403" s="388"/>
    </row>
    <row r="404" spans="1:100" customFormat="1" ht="30" customHeight="1" outlineLevel="1">
      <c r="A404" s="112"/>
      <c r="B404" s="414">
        <v>0</v>
      </c>
      <c r="C404" s="465">
        <f>报价辅助计算!$E$13</f>
        <v>0</v>
      </c>
      <c r="D404" s="418"/>
      <c r="E404" s="415"/>
      <c r="F404" s="418"/>
      <c r="G404" s="418"/>
      <c r="H404" s="421"/>
      <c r="I404" s="421"/>
      <c r="J404" s="422"/>
      <c r="K404" s="54" t="s">
        <v>237</v>
      </c>
      <c r="L404" s="54"/>
      <c r="O404" t="s">
        <v>604</v>
      </c>
      <c r="R404" s="387"/>
      <c r="S404" s="387"/>
      <c r="T404" s="387"/>
      <c r="U404" s="387"/>
      <c r="V404" s="387"/>
      <c r="W404" s="387"/>
      <c r="X404" s="387"/>
      <c r="AQ404" s="110"/>
      <c r="BZ404" t="s">
        <v>604</v>
      </c>
      <c r="CD404" t="s">
        <v>203</v>
      </c>
      <c r="CG404" s="122"/>
      <c r="CV404" s="388"/>
    </row>
    <row r="405" spans="1:100" s="376" customFormat="1" ht="30" customHeight="1">
      <c r="A405" s="472"/>
      <c r="B405" s="473"/>
      <c r="C405" s="473"/>
      <c r="D405" s="473"/>
      <c r="E405" s="474"/>
      <c r="F405" s="473"/>
      <c r="G405" s="473"/>
      <c r="H405" s="421"/>
      <c r="I405" s="421"/>
      <c r="J405" s="422"/>
      <c r="K405" s="475"/>
      <c r="L405" s="475"/>
      <c r="R405" s="387"/>
      <c r="S405" s="387"/>
      <c r="T405" s="387"/>
      <c r="U405" s="387"/>
      <c r="V405" s="387"/>
      <c r="W405" s="387"/>
      <c r="X405" s="387"/>
      <c r="AQ405" s="476"/>
      <c r="BZ405" t="s">
        <v>604</v>
      </c>
      <c r="CA405"/>
      <c r="CB405"/>
      <c r="CC405"/>
      <c r="CD405" t="s">
        <v>203</v>
      </c>
      <c r="CE405"/>
      <c r="CF405"/>
      <c r="CG405" s="122"/>
    </row>
    <row r="406" spans="1:100" customFormat="1" ht="30" customHeight="1">
      <c r="A406" s="112" t="str">
        <f>IF($C$13=1,IF(K406="报价行",IF(F406&gt;0,1," ")," ")," ")</f>
        <v xml:space="preserve"> </v>
      </c>
      <c r="B406" s="414" t="str">
        <f>IF(A406=1,SUM($A$11:A406),"穿梭车电池")</f>
        <v>穿梭车电池</v>
      </c>
      <c r="C406" s="415" t="str">
        <f>B407&amp;IF(C409=1,CHAR(10)&amp;B408," ")</f>
        <v xml:space="preserve">Battary </v>
      </c>
      <c r="D406" s="536"/>
      <c r="E406" s="641"/>
      <c r="F406" s="460"/>
      <c r="G406" s="419"/>
      <c r="H406" s="420">
        <f>D407*1.01/1.13+D408/1.06</f>
        <v>7673.3185840707974</v>
      </c>
      <c r="I406" s="421"/>
      <c r="J406" s="422"/>
      <c r="K406" s="423" t="s">
        <v>217</v>
      </c>
      <c r="L406" s="54"/>
      <c r="O406" t="s">
        <v>606</v>
      </c>
      <c r="R406" s="387"/>
      <c r="S406" s="387"/>
      <c r="T406" s="387"/>
      <c r="U406" s="387"/>
      <c r="V406" s="387"/>
      <c r="W406" s="387"/>
      <c r="X406" s="387"/>
      <c r="AQ406" s="110"/>
      <c r="AX406">
        <f>E406</f>
        <v>0</v>
      </c>
      <c r="AY406" s="494">
        <f>D406</f>
        <v>0</v>
      </c>
      <c r="AZ406">
        <f>F406</f>
        <v>0</v>
      </c>
      <c r="BA406" s="256">
        <f>G406</f>
        <v>0</v>
      </c>
      <c r="BB406">
        <f>AZ406*BA406</f>
        <v>0</v>
      </c>
      <c r="BC406" s="495"/>
      <c r="BR406">
        <f>I406</f>
        <v>0</v>
      </c>
      <c r="BZ406" t="s">
        <v>606</v>
      </c>
      <c r="CD406" t="s">
        <v>203</v>
      </c>
      <c r="CG406" s="122"/>
      <c r="CV406" s="388"/>
    </row>
    <row r="407" spans="1:100" customFormat="1" ht="30" customHeight="1" outlineLevel="1">
      <c r="A407" s="112"/>
      <c r="B407" s="112" t="s">
        <v>607</v>
      </c>
      <c r="C407" s="418" t="s">
        <v>604</v>
      </c>
      <c r="D407" s="640">
        <v>8585</v>
      </c>
      <c r="E407" s="486" t="s">
        <v>536</v>
      </c>
      <c r="F407" s="418"/>
      <c r="G407" s="418"/>
      <c r="H407" s="421"/>
      <c r="I407" s="421"/>
      <c r="J407" s="422"/>
      <c r="K407" s="54" t="s">
        <v>237</v>
      </c>
      <c r="L407" s="54"/>
      <c r="O407" t="s">
        <v>606</v>
      </c>
      <c r="R407" s="387"/>
      <c r="S407" s="387"/>
      <c r="T407" s="387"/>
      <c r="U407" s="387"/>
      <c r="V407" s="387"/>
      <c r="W407" s="387"/>
      <c r="X407" s="387"/>
      <c r="AQ407" s="110"/>
      <c r="AX407" t="s">
        <v>156</v>
      </c>
      <c r="AY407" t="s">
        <v>246</v>
      </c>
      <c r="AZ407" t="s">
        <v>102</v>
      </c>
      <c r="BA407" t="s">
        <v>158</v>
      </c>
      <c r="BB407" t="s">
        <v>247</v>
      </c>
      <c r="BC407" t="s">
        <v>248</v>
      </c>
      <c r="BD407" t="s">
        <v>249</v>
      </c>
      <c r="BE407" t="s">
        <v>250</v>
      </c>
      <c r="BF407" t="s">
        <v>251</v>
      </c>
      <c r="BZ407" t="s">
        <v>606</v>
      </c>
      <c r="CD407" t="s">
        <v>203</v>
      </c>
      <c r="CG407" s="122"/>
      <c r="CV407" s="388"/>
    </row>
    <row r="408" spans="1:100" customFormat="1" ht="30" customHeight="1" outlineLevel="1">
      <c r="A408" s="112"/>
      <c r="B408" s="418" t="s">
        <v>606</v>
      </c>
      <c r="C408" s="112" t="s">
        <v>538</v>
      </c>
      <c r="D408" s="640"/>
      <c r="E408" s="486" t="s">
        <v>539</v>
      </c>
      <c r="F408" s="418"/>
      <c r="G408" s="418"/>
      <c r="H408" s="421"/>
      <c r="I408" s="421"/>
      <c r="J408" s="422"/>
      <c r="K408" s="54" t="s">
        <v>237</v>
      </c>
      <c r="L408" s="54"/>
      <c r="O408" t="s">
        <v>606</v>
      </c>
      <c r="R408" s="387"/>
      <c r="S408" s="387"/>
      <c r="T408" s="387"/>
      <c r="U408" s="387"/>
      <c r="V408" s="387"/>
      <c r="W408" s="387"/>
      <c r="X408" s="387"/>
      <c r="AQ408" s="110"/>
      <c r="BZ408" t="s">
        <v>606</v>
      </c>
      <c r="CD408" t="s">
        <v>203</v>
      </c>
      <c r="CG408" s="122"/>
      <c r="CV408" s="388"/>
    </row>
    <row r="409" spans="1:100" customFormat="1" ht="30" customHeight="1" outlineLevel="1">
      <c r="A409" s="112"/>
      <c r="B409" s="414">
        <v>0</v>
      </c>
      <c r="C409" s="465">
        <f>报价辅助计算!$E$13</f>
        <v>0</v>
      </c>
      <c r="D409" s="418"/>
      <c r="E409" s="415"/>
      <c r="F409" s="418"/>
      <c r="G409" s="418"/>
      <c r="H409" s="421"/>
      <c r="I409" s="421"/>
      <c r="J409" s="422"/>
      <c r="K409" s="54" t="s">
        <v>237</v>
      </c>
      <c r="L409" s="54"/>
      <c r="O409" t="s">
        <v>606</v>
      </c>
      <c r="R409" s="387"/>
      <c r="S409" s="387"/>
      <c r="T409" s="387"/>
      <c r="U409" s="387"/>
      <c r="V409" s="387"/>
      <c r="W409" s="387"/>
      <c r="X409" s="387"/>
      <c r="AQ409" s="110"/>
      <c r="BZ409" t="s">
        <v>606</v>
      </c>
      <c r="CD409" t="s">
        <v>203</v>
      </c>
      <c r="CG409" s="122"/>
      <c r="CV409" s="388"/>
    </row>
    <row r="410" spans="1:100" s="376" customFormat="1" ht="30" customHeight="1">
      <c r="A410" s="472"/>
      <c r="B410" s="473"/>
      <c r="C410" s="473"/>
      <c r="D410" s="473"/>
      <c r="E410" s="474"/>
      <c r="F410" s="473"/>
      <c r="G410" s="473"/>
      <c r="H410" s="421"/>
      <c r="I410" s="421"/>
      <c r="J410" s="422"/>
      <c r="K410" s="475"/>
      <c r="L410" s="475"/>
      <c r="R410" s="387"/>
      <c r="S410" s="387"/>
      <c r="T410" s="387"/>
      <c r="U410" s="387"/>
      <c r="V410" s="387"/>
      <c r="W410" s="387"/>
      <c r="X410" s="387"/>
      <c r="AQ410" s="476"/>
      <c r="BZ410" t="s">
        <v>606</v>
      </c>
      <c r="CA410"/>
      <c r="CB410"/>
      <c r="CC410"/>
      <c r="CD410" t="s">
        <v>203</v>
      </c>
      <c r="CE410"/>
      <c r="CF410"/>
      <c r="CG410" s="122"/>
    </row>
    <row r="411" spans="1:100" s="378" customFormat="1" ht="30" customHeight="1">
      <c r="A411" s="628"/>
      <c r="B411" s="629" t="s">
        <v>204</v>
      </c>
      <c r="C411" s="629"/>
      <c r="D411" s="629"/>
      <c r="E411" s="630"/>
      <c r="F411" s="629"/>
      <c r="G411" s="629"/>
      <c r="H411" s="421"/>
      <c r="I411" s="421"/>
      <c r="J411" s="422"/>
      <c r="K411" s="631"/>
      <c r="L411" s="631"/>
      <c r="R411" s="387"/>
      <c r="S411" s="387"/>
      <c r="T411" s="387"/>
      <c r="U411" s="387"/>
      <c r="V411" s="387"/>
      <c r="W411" s="387"/>
      <c r="X411" s="387"/>
      <c r="AQ411" s="632"/>
      <c r="CA411" s="628"/>
      <c r="CG411" s="633"/>
    </row>
    <row r="412" spans="1:100" customFormat="1" ht="30" customHeight="1">
      <c r="A412" s="112" t="str">
        <f>IF($C$13=1,IF(K412="报价行",IF(F412&gt;0,1," ")," ")," ")</f>
        <v xml:space="preserve"> </v>
      </c>
      <c r="B412" s="414" t="str">
        <f>IF(A412=1,SUM($A$11:A412),"悬臂立柱")</f>
        <v>悬臂立柱</v>
      </c>
      <c r="C412" s="415" t="str">
        <f>A413&amp;IF(C415=1,CHAR(10)&amp;A414," ")</f>
        <v xml:space="preserve">Post </v>
      </c>
      <c r="D412" s="645">
        <v>4900</v>
      </c>
      <c r="E412" s="665" t="str">
        <f>C413</f>
        <v>C300×90×3.0t</v>
      </c>
      <c r="F412" s="460">
        <v>12</v>
      </c>
      <c r="G412" s="419">
        <f>SUM(Q413*P413,Q414*P414)</f>
        <v>92.316000000000003</v>
      </c>
      <c r="H412" s="420">
        <f>SUM(H413:H415)</f>
        <v>376.20927787610623</v>
      </c>
      <c r="I412" s="421" t="s">
        <v>425</v>
      </c>
      <c r="J412" s="422"/>
      <c r="K412" s="423" t="s">
        <v>217</v>
      </c>
      <c r="L412" s="54"/>
      <c r="M412" t="s">
        <v>608</v>
      </c>
      <c r="O412" t="s">
        <v>609</v>
      </c>
      <c r="P412" t="s">
        <v>610</v>
      </c>
      <c r="Q412" t="s">
        <v>611</v>
      </c>
      <c r="R412" s="387" t="s">
        <v>612</v>
      </c>
      <c r="S412" s="387" t="s">
        <v>613</v>
      </c>
      <c r="T412" s="387" t="s">
        <v>614</v>
      </c>
      <c r="U412" s="387" t="s">
        <v>615</v>
      </c>
      <c r="V412" s="387" t="str">
        <f>U412&amp;"数量"</f>
        <v>配件1数量</v>
      </c>
      <c r="W412" s="387" t="str">
        <f>U412&amp;"单价"</f>
        <v>配件1单价</v>
      </c>
      <c r="X412" s="387" t="str">
        <f>U412&amp;"总价"</f>
        <v>配件1总价</v>
      </c>
      <c r="Y412" t="str">
        <f>U412&amp;"单重"</f>
        <v>配件1单重</v>
      </c>
      <c r="Z412" t="str">
        <f>U412&amp;"总重量"</f>
        <v>配件1总重量</v>
      </c>
      <c r="AA412" t="s">
        <v>616</v>
      </c>
      <c r="AB412" t="str">
        <f>AA412&amp;"数量"</f>
        <v>配件2数量</v>
      </c>
      <c r="AC412" t="str">
        <f>AA412&amp;"单价"</f>
        <v>配件2单价</v>
      </c>
      <c r="AD412" t="str">
        <f>AA412&amp;"总价"</f>
        <v>配件2总价</v>
      </c>
      <c r="AE412" t="str">
        <f>AA412&amp;"单重"</f>
        <v>配件2单重</v>
      </c>
      <c r="AF412" t="str">
        <f>AA412&amp;"总重量"</f>
        <v>配件2总重量</v>
      </c>
      <c r="AG412" t="s">
        <v>617</v>
      </c>
      <c r="AH412" t="str">
        <f>AG412&amp;"数量"</f>
        <v>配件3数量</v>
      </c>
      <c r="AI412" t="str">
        <f>AG412&amp;"单价"</f>
        <v>配件3单价</v>
      </c>
      <c r="AJ412" t="str">
        <f>AG412&amp;"总价"</f>
        <v>配件3总价</v>
      </c>
      <c r="AK412" t="str">
        <f>AG412&amp;"单重"</f>
        <v>配件3单重</v>
      </c>
      <c r="AL412" t="str">
        <f>AG412&amp;"总重量"</f>
        <v>配件3总重量</v>
      </c>
      <c r="AQ412" s="110"/>
      <c r="AX412" t="str">
        <f>E412</f>
        <v>C300×90×3.0t</v>
      </c>
      <c r="AY412" s="494">
        <f>D412</f>
        <v>4900</v>
      </c>
      <c r="AZ412">
        <f>F412</f>
        <v>12</v>
      </c>
      <c r="BA412" s="256">
        <f>G412</f>
        <v>92.316000000000003</v>
      </c>
      <c r="BB412">
        <f>AZ412*BA412</f>
        <v>1107.7919999999999</v>
      </c>
      <c r="BC412" s="495"/>
      <c r="BR412" t="str">
        <f>I412</f>
        <v>Pre gal</v>
      </c>
      <c r="BZ412" t="s">
        <v>609</v>
      </c>
      <c r="CA412" s="112"/>
      <c r="CE412" t="s">
        <v>204</v>
      </c>
      <c r="CG412" s="122"/>
      <c r="CV412" s="388"/>
    </row>
    <row r="413" spans="1:100" customFormat="1" ht="30" customHeight="1" outlineLevel="1">
      <c r="A413" s="623" t="s">
        <v>312</v>
      </c>
      <c r="B413" s="418" t="s">
        <v>10</v>
      </c>
      <c r="C413" s="460" t="s">
        <v>618</v>
      </c>
      <c r="D413" s="418">
        <f>IFERROR(IF(G413="预镀锌",VLOOKUP(C413,常规材料表!$1:$1048576,5,0),VLOOKUP(C413,常规材料表!$1:$1048576,10,0)),0)</f>
        <v>3.96</v>
      </c>
      <c r="E413" s="418">
        <f>IFERROR(IF(G413="喷塑",1,0)*VLOOKUP(C413,常规材料表!$1:$1048576,12,0)+IF(G413="热镀锌",1,0)*VLOOKUP(C413,常规材料表!$1:$1048576,13,0)+IF(G413="冷镀锌",1,0)*VLOOKUP(C413,常规材料表!$1:$1048576,15,0),0)+T413</f>
        <v>0</v>
      </c>
      <c r="F413" s="418">
        <f>IFERROR(VLOOKUP(C413,常规材料表!$1:$1048576,11,0)/Q413+E415,0)</f>
        <v>0.5708089605268859</v>
      </c>
      <c r="G413" s="514" t="s">
        <v>428</v>
      </c>
      <c r="H413" s="421">
        <f>Q413*(D413+F413*1.13+E413+T413)/1.13*P413</f>
        <v>376.20927787610623</v>
      </c>
      <c r="I413" s="421">
        <f>F412*P413</f>
        <v>12</v>
      </c>
      <c r="J413" s="421">
        <v>12</v>
      </c>
      <c r="K413" s="54" t="s">
        <v>237</v>
      </c>
      <c r="L413" s="54"/>
      <c r="M413" s="418">
        <f>H412/G412</f>
        <v>4.0752337392879481</v>
      </c>
      <c r="O413" t="s">
        <v>609</v>
      </c>
      <c r="P413">
        <f>J413/J413</f>
        <v>1</v>
      </c>
      <c r="Q413" s="112">
        <f>IFERROR(VLOOKUP(C413,常规材料表!$1:$1048576,3,0)*D412/1000,0)</f>
        <v>92.316000000000003</v>
      </c>
      <c r="R413" s="386">
        <f>IFERROR(VLOOKUP(C413,常规材料表!$1:$1048576,4,0)*D412/1000,0)</f>
        <v>3.92</v>
      </c>
      <c r="S413" s="387">
        <f>X413+AD413+AJ413</f>
        <v>0</v>
      </c>
      <c r="T413" s="387">
        <f>S413/Q413</f>
        <v>0</v>
      </c>
      <c r="U413" s="387">
        <f>IFERROR(VLOOKUP(C413,常规材料表!$1:$1048576,17,0),0)</f>
        <v>0</v>
      </c>
      <c r="V413" s="387">
        <f>IFERROR(VLOOKUP(C413,常规材料表!$1:$1048576,18,0),0)</f>
        <v>0</v>
      </c>
      <c r="W413" s="387">
        <f>IFERROR(VLOOKUP(U413,常规材料表!$1:$1048576,5,0),0)</f>
        <v>0</v>
      </c>
      <c r="X413" s="387">
        <f>W413*V413</f>
        <v>0</v>
      </c>
      <c r="Y413">
        <f>IFERROR(VLOOKUP(U413,常规材料表!$1:$1048576,3,0),0)</f>
        <v>0</v>
      </c>
      <c r="Z413">
        <f>Y413*V413</f>
        <v>0</v>
      </c>
      <c r="AA413">
        <f>IFERROR(VLOOKUP(C413,常规材料表!$1:$1048576,19,0),0)</f>
        <v>0</v>
      </c>
      <c r="AB413">
        <f>IFERROR(VLOOKUP(C413,常规材料表!$1:$1048576,20,0),0)</f>
        <v>0</v>
      </c>
      <c r="AC413">
        <f>IFERROR(VLOOKUP(AA413,常规材料表!$1:$1048576,5,0),0)</f>
        <v>0</v>
      </c>
      <c r="AD413">
        <f>AC413*AB413</f>
        <v>0</v>
      </c>
      <c r="AE413">
        <f>IFERROR(VLOOKUP(AA413,常规材料表!$1:$1048576,3,0),0)</f>
        <v>0</v>
      </c>
      <c r="AF413">
        <f>AE413*AB413</f>
        <v>0</v>
      </c>
      <c r="AG413">
        <f>IFERROR(VLOOKUP(C413,常规材料表!$1:$1048576,21,0),0)</f>
        <v>0</v>
      </c>
      <c r="AH413">
        <f>IFERROR(VLOOKUP(C413,常规材料表!$1:$1048576,22,0),0)</f>
        <v>0</v>
      </c>
      <c r="AI413">
        <f>IFERROR(VLOOKUP(AG413,常规材料表!$1:$1048576,5,0),0)</f>
        <v>0</v>
      </c>
      <c r="AJ413">
        <f>AI413*AH413</f>
        <v>0</v>
      </c>
      <c r="AK413">
        <f>IFERROR(VLOOKUP(AG413,常规材料表!$1:$1048576,3,0),0)</f>
        <v>0</v>
      </c>
      <c r="AL413">
        <f>AK413*AH413</f>
        <v>0</v>
      </c>
      <c r="AQ413" s="110"/>
      <c r="AX413" t="s">
        <v>156</v>
      </c>
      <c r="AY413" t="s">
        <v>246</v>
      </c>
      <c r="AZ413" t="s">
        <v>102</v>
      </c>
      <c r="BA413" t="s">
        <v>158</v>
      </c>
      <c r="BB413" t="s">
        <v>247</v>
      </c>
      <c r="BC413" t="s">
        <v>248</v>
      </c>
      <c r="BD413" t="s">
        <v>249</v>
      </c>
      <c r="BE413" t="s">
        <v>250</v>
      </c>
      <c r="BF413" t="s">
        <v>251</v>
      </c>
      <c r="BZ413" t="s">
        <v>609</v>
      </c>
      <c r="CA413" s="112"/>
      <c r="CE413" t="s">
        <v>204</v>
      </c>
      <c r="CG413" s="122"/>
      <c r="CV413" s="388"/>
    </row>
    <row r="414" spans="1:100" customFormat="1" ht="30" customHeight="1" outlineLevel="1">
      <c r="A414" s="112" t="s">
        <v>619</v>
      </c>
      <c r="B414" s="418" t="s">
        <v>620</v>
      </c>
      <c r="C414" s="460" t="s">
        <v>621</v>
      </c>
      <c r="D414" s="418">
        <f>IFERROR(IF(G414="预镀锌",VLOOKUP(C414,常规材料表!$1:$1048576,5,0),VLOOKUP(C414,常规材料表!$1:$1048576,10,0)),0)</f>
        <v>5.9049762941117896</v>
      </c>
      <c r="E414" s="418">
        <f>IFERROR(IF(G414="喷塑",1,0)*VLOOKUP(C414,常规材料表!$1:$1048576,12,0)+IF(G414="热镀锌",1,0)*VLOOKUP(C414,常规材料表!$1:$1048576,13,0)+IF(G414="冷镀锌",1,0)*VLOOKUP(C414,常规材料表!$1:$1048576,15,0),0)+T414</f>
        <v>0</v>
      </c>
      <c r="F414" s="418">
        <f>IFERROR(VLOOKUP(C414,常规材料表!$1:$1048576,11,0)/Q414+E415,0)</f>
        <v>0.3</v>
      </c>
      <c r="G414" s="514" t="str">
        <f>G413</f>
        <v>预镀锌</v>
      </c>
      <c r="H414" s="421">
        <f>Q414*(D414+F414*1.13+E414+T414)/1.13*P414</f>
        <v>0</v>
      </c>
      <c r="I414" s="421">
        <f>F412*P414</f>
        <v>0</v>
      </c>
      <c r="J414" s="421"/>
      <c r="K414" s="54" t="s">
        <v>237</v>
      </c>
      <c r="L414" s="54"/>
      <c r="O414" t="s">
        <v>609</v>
      </c>
      <c r="P414">
        <f>J414/J413</f>
        <v>0</v>
      </c>
      <c r="Q414" s="112">
        <f>IFERROR(VLOOKUP(C414,常规材料表!$1:$1048576,3,0),0)</f>
        <v>5.9204699999999999</v>
      </c>
      <c r="R414" s="386">
        <f>IFERROR(VLOOKUP(C414,常规材料表!$1:$1048576,4,0),0)</f>
        <v>0.25140000000000001</v>
      </c>
      <c r="S414" s="387">
        <f>X414+AD414+AJ414</f>
        <v>0</v>
      </c>
      <c r="T414" s="387">
        <f>S414/Q414</f>
        <v>0</v>
      </c>
      <c r="U414" s="387">
        <f>IFERROR(VLOOKUP(C414,常规材料表!$1:$1048576,17,0),0)</f>
        <v>0</v>
      </c>
      <c r="V414" s="387">
        <f>IFERROR(VLOOKUP(C414,常规材料表!$1:$1048576,18,0),0)</f>
        <v>0</v>
      </c>
      <c r="W414" s="387">
        <f>IFERROR(VLOOKUP(U414,常规材料表!$1:$1048576,5,0),0)</f>
        <v>0</v>
      </c>
      <c r="X414" s="387">
        <f>W414*V414</f>
        <v>0</v>
      </c>
      <c r="Y414">
        <f>IFERROR(VLOOKUP(U414,常规材料表!$1:$1048576,3,0),0)</f>
        <v>0</v>
      </c>
      <c r="Z414">
        <f>Y414*V414</f>
        <v>0</v>
      </c>
      <c r="AA414">
        <f>IFERROR(VLOOKUP(C414,常规材料表!$1:$1048576,19,0),0)</f>
        <v>0</v>
      </c>
      <c r="AB414">
        <f>IFERROR(VLOOKUP(C414,常规材料表!$1:$1048576,20,0),0)</f>
        <v>0</v>
      </c>
      <c r="AC414">
        <f>IFERROR(VLOOKUP(AA414,常规材料表!$1:$1048576,5,0),0)</f>
        <v>0</v>
      </c>
      <c r="AD414">
        <f>AC414*AB414</f>
        <v>0</v>
      </c>
      <c r="AE414">
        <f>IFERROR(VLOOKUP(AA414,常规材料表!$1:$1048576,3,0),0)</f>
        <v>0</v>
      </c>
      <c r="AF414">
        <f>AE414*AB414</f>
        <v>0</v>
      </c>
      <c r="AG414">
        <f>IFERROR(VLOOKUP(C414,常规材料表!$1:$1048576,21,0),0)</f>
        <v>0</v>
      </c>
      <c r="AH414">
        <f>IFERROR(VLOOKUP(C414,常规材料表!$1:$1048576,22,0),0)</f>
        <v>0</v>
      </c>
      <c r="AI414">
        <f>IFERROR(VLOOKUP(AG414,常规材料表!$1:$1048576,5,0),0)</f>
        <v>0</v>
      </c>
      <c r="AJ414">
        <f>AI414*AH414</f>
        <v>0</v>
      </c>
      <c r="AK414">
        <f>IFERROR(VLOOKUP(AG414,常规材料表!$1:$1048576,3,0),0)</f>
        <v>0</v>
      </c>
      <c r="AL414">
        <f>AK414*AH414</f>
        <v>0</v>
      </c>
      <c r="AQ414" s="110"/>
      <c r="BZ414" t="s">
        <v>609</v>
      </c>
      <c r="CA414" s="112"/>
      <c r="CE414" t="s">
        <v>204</v>
      </c>
      <c r="CG414" s="122"/>
      <c r="CV414" s="388"/>
    </row>
    <row r="415" spans="1:100" customFormat="1" ht="30" customHeight="1" outlineLevel="1">
      <c r="A415" s="112"/>
      <c r="B415" s="414">
        <v>0</v>
      </c>
      <c r="C415" s="465">
        <f>报价辅助计算!$E$13</f>
        <v>0</v>
      </c>
      <c r="D415" s="418" t="s">
        <v>622</v>
      </c>
      <c r="E415" s="655">
        <v>0.3</v>
      </c>
      <c r="F415" s="561"/>
      <c r="G415" s="418"/>
      <c r="H415" s="421"/>
      <c r="I415" s="421"/>
      <c r="J415" s="421" t="s">
        <v>623</v>
      </c>
      <c r="K415" s="54" t="s">
        <v>237</v>
      </c>
      <c r="L415" s="54"/>
      <c r="O415" t="s">
        <v>609</v>
      </c>
      <c r="R415" s="387"/>
      <c r="S415" s="387"/>
      <c r="T415" s="387"/>
      <c r="U415" s="387"/>
      <c r="V415" s="387"/>
      <c r="W415" s="387"/>
      <c r="X415" s="387"/>
      <c r="AQ415" s="110"/>
      <c r="BZ415" t="s">
        <v>609</v>
      </c>
      <c r="CA415" s="112"/>
      <c r="CE415" t="s">
        <v>204</v>
      </c>
      <c r="CG415" s="122"/>
      <c r="CV415" s="388"/>
    </row>
    <row r="416" spans="1:100" s="376" customFormat="1" ht="30" customHeight="1">
      <c r="A416" s="472"/>
      <c r="B416" s="473"/>
      <c r="C416" s="473"/>
      <c r="D416" s="473"/>
      <c r="E416" s="474"/>
      <c r="F416" s="473"/>
      <c r="G416" s="473"/>
      <c r="H416" s="421"/>
      <c r="I416" s="421"/>
      <c r="J416" s="422"/>
      <c r="K416" s="475"/>
      <c r="L416" s="475"/>
      <c r="R416" s="387"/>
      <c r="S416" s="387"/>
      <c r="T416" s="387"/>
      <c r="U416" s="387"/>
      <c r="V416" s="387"/>
      <c r="W416" s="387"/>
      <c r="X416" s="387"/>
      <c r="AQ416" s="476"/>
      <c r="BZ416" t="s">
        <v>609</v>
      </c>
      <c r="CA416" s="112"/>
      <c r="CB416"/>
      <c r="CC416"/>
      <c r="CD416"/>
      <c r="CE416" t="s">
        <v>204</v>
      </c>
      <c r="CF416"/>
      <c r="CG416" s="122"/>
    </row>
    <row r="417" spans="1:100" customFormat="1" ht="30" customHeight="1">
      <c r="A417" s="112" t="str">
        <f>IF($C$13=1,IF(K417="报价行",IF(F417&gt;0,1," ")," ")," ")</f>
        <v xml:space="preserve"> </v>
      </c>
      <c r="B417" s="414" t="str">
        <f>IF(A417=1,SUM($A$11:A417),"悬臂单底座")</f>
        <v>悬臂单底座</v>
      </c>
      <c r="C417" s="415" t="str">
        <f>A418&amp;IF(C424=1,CHAR(10)&amp;A419," ")</f>
        <v xml:space="preserve">Bases -Single sided </v>
      </c>
      <c r="D417" s="645">
        <v>2465</v>
      </c>
      <c r="E417" s="665" t="str">
        <f>C418</f>
        <v>B300×90×3.0t</v>
      </c>
      <c r="F417" s="460">
        <v>12</v>
      </c>
      <c r="G417" s="419">
        <f>SUM(Q418*P418,Q423*P423,P419*Q419,P420*Q420,P421*Q421,P422*Q422)</f>
        <v>67.076280000000011</v>
      </c>
      <c r="H417" s="420">
        <f>SUM(H418:H424)</f>
        <v>353.68056494531697</v>
      </c>
      <c r="I417" s="421" t="s">
        <v>425</v>
      </c>
      <c r="J417" s="421"/>
      <c r="K417" s="423" t="s">
        <v>217</v>
      </c>
      <c r="L417" s="54" t="s">
        <v>624</v>
      </c>
      <c r="M417" t="s">
        <v>608</v>
      </c>
      <c r="O417" t="s">
        <v>625</v>
      </c>
      <c r="P417" t="s">
        <v>610</v>
      </c>
      <c r="Q417" t="s">
        <v>611</v>
      </c>
      <c r="R417" s="387" t="s">
        <v>612</v>
      </c>
      <c r="S417" s="387" t="s">
        <v>613</v>
      </c>
      <c r="T417" s="387" t="s">
        <v>614</v>
      </c>
      <c r="U417" s="387" t="s">
        <v>615</v>
      </c>
      <c r="V417" s="387" t="str">
        <f>U417&amp;"数量"</f>
        <v>配件1数量</v>
      </c>
      <c r="W417" s="387" t="str">
        <f>U417&amp;"单价"</f>
        <v>配件1单价</v>
      </c>
      <c r="X417" s="387" t="str">
        <f>U417&amp;"总价"</f>
        <v>配件1总价</v>
      </c>
      <c r="Y417" t="str">
        <f>U417&amp;"单重"</f>
        <v>配件1单重</v>
      </c>
      <c r="Z417" t="str">
        <f>U417&amp;"总重量"</f>
        <v>配件1总重量</v>
      </c>
      <c r="AA417" t="s">
        <v>616</v>
      </c>
      <c r="AB417" t="str">
        <f>AA417&amp;"数量"</f>
        <v>配件2数量</v>
      </c>
      <c r="AC417" t="str">
        <f>AA417&amp;"单价"</f>
        <v>配件2单价</v>
      </c>
      <c r="AD417" t="str">
        <f>AA417&amp;"总价"</f>
        <v>配件2总价</v>
      </c>
      <c r="AE417" t="str">
        <f>AA417&amp;"单重"</f>
        <v>配件2单重</v>
      </c>
      <c r="AF417" t="str">
        <f>AA417&amp;"总重量"</f>
        <v>配件2总重量</v>
      </c>
      <c r="AG417" t="s">
        <v>617</v>
      </c>
      <c r="AH417" t="str">
        <f>AG417&amp;"数量"</f>
        <v>配件3数量</v>
      </c>
      <c r="AI417" t="str">
        <f>AG417&amp;"单价"</f>
        <v>配件3单价</v>
      </c>
      <c r="AJ417" t="str">
        <f>AG417&amp;"总价"</f>
        <v>配件3总价</v>
      </c>
      <c r="AK417" t="str">
        <f>AG417&amp;"单重"</f>
        <v>配件3单重</v>
      </c>
      <c r="AL417" t="str">
        <f>AG417&amp;"总重量"</f>
        <v>配件3总重量</v>
      </c>
      <c r="AQ417" s="110"/>
      <c r="AX417" t="str">
        <f>E417</f>
        <v>B300×90×3.0t</v>
      </c>
      <c r="AY417" s="494">
        <f>D417</f>
        <v>2465</v>
      </c>
      <c r="AZ417">
        <f>F417</f>
        <v>12</v>
      </c>
      <c r="BA417" s="256">
        <f>G417</f>
        <v>67.076280000000011</v>
      </c>
      <c r="BB417">
        <f>AZ417*BA417</f>
        <v>804.91536000000019</v>
      </c>
      <c r="BC417" s="495"/>
      <c r="BR417" t="str">
        <f>I417</f>
        <v>Pre gal</v>
      </c>
      <c r="BZ417" t="s">
        <v>626</v>
      </c>
      <c r="CA417" s="112"/>
      <c r="CE417" t="s">
        <v>204</v>
      </c>
      <c r="CG417" s="122"/>
      <c r="CV417" s="388"/>
    </row>
    <row r="418" spans="1:100" customFormat="1" ht="30" customHeight="1" outlineLevel="1">
      <c r="A418" s="623" t="s">
        <v>627</v>
      </c>
      <c r="B418" s="418" t="s">
        <v>628</v>
      </c>
      <c r="C418" s="460" t="s">
        <v>629</v>
      </c>
      <c r="D418" s="418">
        <f>IFERROR(IF(G418="预镀锌",VLOOKUP(C418,常规材料表!$1:$1048576,5,0),VLOOKUP(C418,常规材料表!$1:$1048576,10,0)),0)</f>
        <v>3.96</v>
      </c>
      <c r="E418" s="418">
        <f>IFERROR(IF(G418="喷塑",1,0)*VLOOKUP(C418,常规材料表!$1:$1048576,12,0)+IF(G418="热镀锌",1,0)*VLOOKUP(C418,常规材料表!$1:$1048576,13,0)+IF(G418="冷镀锌",1,0)*VLOOKUP(C418,常规材料表!$1:$1048576,15,0),0)</f>
        <v>0</v>
      </c>
      <c r="F418" s="418">
        <f>IFERROR(VLOOKUP(C418,常规材料表!$1:$1048576,11,0)/Q418+E424,0)</f>
        <v>0.73675293410621134</v>
      </c>
      <c r="G418" s="514" t="s">
        <v>428</v>
      </c>
      <c r="H418" s="421">
        <f t="shared" ref="H418:H423" si="1">Q418*(D418+F418*1.13+E418+T418)/1.13*P418</f>
        <v>285.2454330973452</v>
      </c>
      <c r="I418" s="421">
        <f>F417*P418</f>
        <v>12</v>
      </c>
      <c r="J418" s="386">
        <v>12</v>
      </c>
      <c r="K418" s="54" t="s">
        <v>237</v>
      </c>
      <c r="L418" s="460">
        <v>12</v>
      </c>
      <c r="M418" s="418">
        <f>H417/G417</f>
        <v>5.272811267191873</v>
      </c>
      <c r="O418" t="s">
        <v>625</v>
      </c>
      <c r="P418">
        <f>J418/J418</f>
        <v>1</v>
      </c>
      <c r="Q418" s="112">
        <f>IFERROR(VLOOKUP(C418,常规材料表!$1:$1048576,3,0)*D417/1000+Z418+AF418,0)</f>
        <v>57.240600000000001</v>
      </c>
      <c r="R418" s="386">
        <f>IFERROR(VLOOKUP(C418,常规材料表!$1:$1048576,4,0)*D417/1000,0)</f>
        <v>1.972</v>
      </c>
      <c r="S418" s="387">
        <f>X418+AD418+AJ418</f>
        <v>48</v>
      </c>
      <c r="T418" s="387">
        <f t="shared" ref="T418:T423" si="2">S418/Q418</f>
        <v>0.83856563348392577</v>
      </c>
      <c r="U418" s="387" t="s">
        <v>630</v>
      </c>
      <c r="V418" s="387">
        <f>IFERROR(VLOOKUP(C418,常规材料表!$1:$1048576,18,0),0)</f>
        <v>12</v>
      </c>
      <c r="W418" s="387">
        <f>IFERROR(VLOOKUP(U418,常规材料表!$1:$1048576,5,0),0)*Y418</f>
        <v>2</v>
      </c>
      <c r="X418" s="387">
        <f t="shared" ref="X418:X423" si="3">W418*V418</f>
        <v>24</v>
      </c>
      <c r="Y418">
        <f>IFERROR(VLOOKUP(U418,常规材料表!$1:$1048576,3,0),0)</f>
        <v>0.4</v>
      </c>
      <c r="Z418">
        <f t="shared" ref="Z418:Z423" si="4">Y418*V418</f>
        <v>4.8000000000000007</v>
      </c>
      <c r="AA418" t="s">
        <v>631</v>
      </c>
      <c r="AB418">
        <f>IFERROR(VLOOKUP(C418,常规材料表!$1:$1048576,20,0),0)</f>
        <v>24</v>
      </c>
      <c r="AC418">
        <f>IFERROR(VLOOKUP(AA418,常规材料表!$1:$1048576,5,0),0)*AE418</f>
        <v>1</v>
      </c>
      <c r="AD418">
        <f t="shared" ref="AD418:AD423" si="5">AC418*AB418</f>
        <v>24</v>
      </c>
      <c r="AE418">
        <f>IFERROR(VLOOKUP(AA418,常规材料表!$1:$1048576,3,0),0)</f>
        <v>0.25</v>
      </c>
      <c r="AF418">
        <f t="shared" ref="AF418:AF423" si="6">AE418*AB418</f>
        <v>6</v>
      </c>
      <c r="AG418">
        <f>IFERROR(VLOOKUP(C418,常规材料表!$1:$1048576,21,0),0)</f>
        <v>0</v>
      </c>
      <c r="AH418">
        <f>IFERROR(VLOOKUP(C418,常规材料表!$1:$1048576,22,0),0)</f>
        <v>0</v>
      </c>
      <c r="AI418">
        <f>IFERROR(VLOOKUP(AG418,常规材料表!$1:$1048576,5,0),0)</f>
        <v>0</v>
      </c>
      <c r="AJ418">
        <f t="shared" ref="AJ418:AJ423" si="7">AI418*AH418</f>
        <v>0</v>
      </c>
      <c r="AK418">
        <f>IFERROR(VLOOKUP(AG418,常规材料表!$1:$1048576,3,0),0)</f>
        <v>0</v>
      </c>
      <c r="AL418">
        <f t="shared" ref="AL418:AL423" si="8">AK418*AH418</f>
        <v>0</v>
      </c>
      <c r="AQ418" s="110"/>
      <c r="AX418" t="s">
        <v>156</v>
      </c>
      <c r="AY418" t="s">
        <v>246</v>
      </c>
      <c r="AZ418" t="s">
        <v>102</v>
      </c>
      <c r="BA418" t="s">
        <v>158</v>
      </c>
      <c r="BB418" t="s">
        <v>247</v>
      </c>
      <c r="BC418" t="s">
        <v>248</v>
      </c>
      <c r="BD418" t="s">
        <v>249</v>
      </c>
      <c r="BE418" t="s">
        <v>250</v>
      </c>
      <c r="BF418" t="s">
        <v>251</v>
      </c>
      <c r="BZ418" t="s">
        <v>626</v>
      </c>
      <c r="CA418" s="112"/>
      <c r="CE418" t="s">
        <v>204</v>
      </c>
      <c r="CG418" s="122"/>
      <c r="CV418" s="388"/>
    </row>
    <row r="419" spans="1:100" customFormat="1" ht="30" customHeight="1" outlineLevel="1">
      <c r="A419" s="112" t="s">
        <v>632</v>
      </c>
      <c r="B419" s="418" t="s">
        <v>633</v>
      </c>
      <c r="C419" s="460" t="s">
        <v>634</v>
      </c>
      <c r="D419" s="418">
        <f>IFERROR(IF(G419="预镀锌",VLOOKUP(C419,常规材料表!$1:$1048576,5,0),VLOOKUP(C419,常规材料表!$1:$1048576,10,0)),0)</f>
        <v>4.93</v>
      </c>
      <c r="E419" s="418">
        <f>IFERROR(IF(G419="喷塑",1,0)*VLOOKUP(C419,常规材料表!$1:$1048576,12,0)+IF(G419="热镀锌",1,0)*VLOOKUP(C419,常规材料表!$1:$1048576,13,0)+IF(G419="冷镀锌",1,0)*VLOOKUP(C419,常规材料表!$1:$1048576,15,0),0)</f>
        <v>2.2000000000000002</v>
      </c>
      <c r="F419" s="418">
        <f>IFERROR(VLOOKUP(C419,常规材料表!$1:$1048576,11,0)/Q419+E424,0)</f>
        <v>0.76777373116375425</v>
      </c>
      <c r="G419" s="514" t="s">
        <v>549</v>
      </c>
      <c r="H419" s="421">
        <f t="shared" si="1"/>
        <v>48.976357051511592</v>
      </c>
      <c r="I419" s="421">
        <f>F417*P419</f>
        <v>48</v>
      </c>
      <c r="J419" s="666">
        <v>48</v>
      </c>
      <c r="K419" s="54" t="s">
        <v>237</v>
      </c>
      <c r="L419" s="54"/>
      <c r="O419" t="s">
        <v>625</v>
      </c>
      <c r="P419">
        <f>J419/J418</f>
        <v>4</v>
      </c>
      <c r="Q419" s="112">
        <f>IFERROR(VLOOKUP(C419,常规材料表!$1:$1048576,3,0),0)</f>
        <v>1.73</v>
      </c>
      <c r="R419" s="386">
        <f>IFERROR(VLOOKUP(C419,常规材料表!$1:$1048576,4,0),0)</f>
        <v>0</v>
      </c>
      <c r="S419" s="387">
        <f t="shared" ref="S419:S423" si="9">X419+AD419+AJ419</f>
        <v>0</v>
      </c>
      <c r="T419" s="387">
        <f t="shared" si="2"/>
        <v>0</v>
      </c>
      <c r="U419" s="387">
        <f>IFERROR(VLOOKUP(C419,常规材料表!$1:$1048576,17,0),0)</f>
        <v>0</v>
      </c>
      <c r="V419" s="387">
        <f>IFERROR(VLOOKUP(C419,常规材料表!$1:$1048576,18,0),0)</f>
        <v>0</v>
      </c>
      <c r="W419" s="387">
        <f>IFERROR(VLOOKUP(U419,常规材料表!$1:$1048576,5,0),0)</f>
        <v>0</v>
      </c>
      <c r="X419" s="387">
        <f t="shared" si="3"/>
        <v>0</v>
      </c>
      <c r="Y419">
        <f>IFERROR(VLOOKUP(U419,常规材料表!$1:$1048576,3,0),0)</f>
        <v>0</v>
      </c>
      <c r="Z419">
        <f t="shared" si="4"/>
        <v>0</v>
      </c>
      <c r="AA419">
        <f>IFERROR(VLOOKUP(C419,常规材料表!$1:$1048576,19,0),0)</f>
        <v>0</v>
      </c>
      <c r="AB419">
        <f>IFERROR(VLOOKUP(C419,常规材料表!$1:$1048576,20,0),0)</f>
        <v>0</v>
      </c>
      <c r="AC419">
        <f>IFERROR(VLOOKUP(AA419,常规材料表!$1:$1048576,5,0),0)</f>
        <v>0</v>
      </c>
      <c r="AD419">
        <f t="shared" si="5"/>
        <v>0</v>
      </c>
      <c r="AE419">
        <f>IFERROR(VLOOKUP(AA419,常规材料表!$1:$1048576,3,0),0)</f>
        <v>0</v>
      </c>
      <c r="AF419">
        <f t="shared" si="6"/>
        <v>0</v>
      </c>
      <c r="AG419">
        <f>IFERROR(VLOOKUP(C419,常规材料表!$1:$1048576,21,0),0)</f>
        <v>0</v>
      </c>
      <c r="AH419">
        <f>IFERROR(VLOOKUP(C419,常规材料表!$1:$1048576,22,0),0)</f>
        <v>0</v>
      </c>
      <c r="AI419">
        <f>IFERROR(VLOOKUP(AG419,常规材料表!$1:$1048576,5,0),0)</f>
        <v>0</v>
      </c>
      <c r="AJ419">
        <f t="shared" si="7"/>
        <v>0</v>
      </c>
      <c r="AK419">
        <f>IFERROR(VLOOKUP(AG419,常规材料表!$1:$1048576,3,0),0)</f>
        <v>0</v>
      </c>
      <c r="AL419">
        <f t="shared" si="8"/>
        <v>0</v>
      </c>
      <c r="AQ419" s="110"/>
      <c r="BZ419" t="s">
        <v>626</v>
      </c>
      <c r="CA419" s="112"/>
      <c r="CE419" t="s">
        <v>204</v>
      </c>
      <c r="CG419" s="122"/>
      <c r="CV419" s="388"/>
    </row>
    <row r="420" spans="1:100" customFormat="1" ht="30" customHeight="1" outlineLevel="1">
      <c r="A420" s="112"/>
      <c r="B420" s="418" t="s">
        <v>635</v>
      </c>
      <c r="C420" s="460" t="s">
        <v>636</v>
      </c>
      <c r="D420" s="418">
        <f>IFERROR(IF(G420="预镀锌",VLOOKUP(C420,常规材料表!$1:$1048576,5,0),VLOOKUP(C420,常规材料表!$1:$1048576,10,0)),0)</f>
        <v>0</v>
      </c>
      <c r="E420" s="418">
        <f>IFERROR(IF(G420="喷塑",1,0)*VLOOKUP(C420,常规材料表!$1:$1048576,12,0)+IF(G420="热镀锌",1,0)*VLOOKUP(C420,常规材料表!$1:$1048576,13,0)+IF(G420="冷镀锌",1,0)*VLOOKUP(C420,常规材料表!$1:$1048576,15,0),0)</f>
        <v>0</v>
      </c>
      <c r="F420" s="418">
        <f>IFERROR(VLOOKUP(C420,常规材料表!$1:$1048576,11,0)/Q420+E424,0)</f>
        <v>0.56827420780204529</v>
      </c>
      <c r="G420" s="514" t="str">
        <f>G418</f>
        <v>预镀锌</v>
      </c>
      <c r="H420" s="421">
        <f t="shared" si="1"/>
        <v>0</v>
      </c>
      <c r="I420" s="421">
        <f>F417*P420</f>
        <v>0</v>
      </c>
      <c r="J420" s="666"/>
      <c r="K420" s="54" t="s">
        <v>237</v>
      </c>
      <c r="L420" s="54"/>
      <c r="O420" t="s">
        <v>625</v>
      </c>
      <c r="P420">
        <f>J420/J418</f>
        <v>0</v>
      </c>
      <c r="Q420" s="112">
        <f>IFERROR(VLOOKUP(C420,常规材料表!$1:$1048576,3,0),0)</f>
        <v>3.56</v>
      </c>
      <c r="R420" s="386">
        <f>IFERROR(VLOOKUP(C420,常规材料表!$1:$1048576,4,0),0)</f>
        <v>0.23</v>
      </c>
      <c r="S420" s="387">
        <f t="shared" si="9"/>
        <v>0</v>
      </c>
      <c r="T420" s="387">
        <f t="shared" si="2"/>
        <v>0</v>
      </c>
      <c r="U420" s="387">
        <f>IFERROR(VLOOKUP(C420,常规材料表!$1:$1048576,17,0),0)</f>
        <v>0</v>
      </c>
      <c r="V420" s="387">
        <f>IFERROR(VLOOKUP(C420,常规材料表!$1:$1048576,18,0),0)</f>
        <v>0</v>
      </c>
      <c r="W420" s="387">
        <f>IFERROR(VLOOKUP(U420,常规材料表!$1:$1048576,5,0),0)</f>
        <v>0</v>
      </c>
      <c r="X420" s="387">
        <f t="shared" si="3"/>
        <v>0</v>
      </c>
      <c r="Y420">
        <f>IFERROR(VLOOKUP(U420,常规材料表!$1:$1048576,3,0),0)</f>
        <v>0</v>
      </c>
      <c r="Z420">
        <f t="shared" si="4"/>
        <v>0</v>
      </c>
      <c r="AA420">
        <f>IFERROR(VLOOKUP(C420,常规材料表!$1:$1048576,19,0),0)</f>
        <v>0</v>
      </c>
      <c r="AB420">
        <f>IFERROR(VLOOKUP(C420,常规材料表!$1:$1048576,20,0),0)</f>
        <v>0</v>
      </c>
      <c r="AC420">
        <f>IFERROR(VLOOKUP(AA420,常规材料表!$1:$1048576,5,0),0)</f>
        <v>0</v>
      </c>
      <c r="AD420">
        <f t="shared" si="5"/>
        <v>0</v>
      </c>
      <c r="AE420">
        <f>IFERROR(VLOOKUP(AA420,常规材料表!$1:$1048576,3,0),0)</f>
        <v>0</v>
      </c>
      <c r="AF420">
        <f t="shared" si="6"/>
        <v>0</v>
      </c>
      <c r="AG420">
        <f>IFERROR(VLOOKUP(C420,常规材料表!$1:$1048576,21,0),0)</f>
        <v>0</v>
      </c>
      <c r="AH420">
        <f>IFERROR(VLOOKUP(C420,常规材料表!$1:$1048576,22,0),0)</f>
        <v>0</v>
      </c>
      <c r="AI420">
        <f>IFERROR(VLOOKUP(AG420,常规材料表!$1:$1048576,5,0),0)</f>
        <v>0</v>
      </c>
      <c r="AJ420">
        <f t="shared" si="7"/>
        <v>0</v>
      </c>
      <c r="AK420">
        <f>IFERROR(VLOOKUP(AG420,常规材料表!$1:$1048576,3,0),0)</f>
        <v>0</v>
      </c>
      <c r="AL420">
        <f t="shared" si="8"/>
        <v>0</v>
      </c>
      <c r="AQ420" s="110"/>
      <c r="BZ420" t="s">
        <v>626</v>
      </c>
      <c r="CA420" s="112"/>
      <c r="CE420" t="s">
        <v>204</v>
      </c>
      <c r="CG420" s="122"/>
      <c r="CV420" s="388"/>
    </row>
    <row r="421" spans="1:100" customFormat="1" ht="30" customHeight="1" outlineLevel="1">
      <c r="A421" s="112"/>
      <c r="B421" s="418" t="s">
        <v>637</v>
      </c>
      <c r="C421" s="460" t="s">
        <v>638</v>
      </c>
      <c r="D421" s="418">
        <f>IFERROR(VLOOKUP(C421,常规材料表!$1:$1048576,5,0),0)</f>
        <v>7.9411764705882399</v>
      </c>
      <c r="E421" s="418">
        <f>IFERROR(IF(G421="喷塑",1,0)*VLOOKUP(C421,常规材料表!$1:$1048576,12,0)+IF(G421="热镀锌",1,0)*VLOOKUP(C421,常规材料表!$1:$1048576,13,0)+IF(G421="冷镀锌",1,0)*VLOOKUP(C421,常规材料表!$1:$1048576,15,0),0)</f>
        <v>0</v>
      </c>
      <c r="F421" s="418">
        <f>IFERROR(VLOOKUP(C421,常规材料表!$1:$1048576,11,0)/Q421+E424,0)</f>
        <v>0.3</v>
      </c>
      <c r="G421" s="514" t="str">
        <f>G418</f>
        <v>预镀锌</v>
      </c>
      <c r="H421" s="421">
        <f t="shared" si="1"/>
        <v>4.9827610619469063</v>
      </c>
      <c r="I421" s="421">
        <f>F417*P421</f>
        <v>48</v>
      </c>
      <c r="J421" s="666">
        <f>J419+J420</f>
        <v>48</v>
      </c>
      <c r="K421" s="54" t="s">
        <v>237</v>
      </c>
      <c r="L421" s="54"/>
      <c r="O421" t="s">
        <v>625</v>
      </c>
      <c r="P421">
        <f>J421/J418</f>
        <v>4</v>
      </c>
      <c r="Q421" s="112">
        <f>IFERROR(VLOOKUP(C421,常规材料表!$1:$1048576,3,0),0)</f>
        <v>0.17</v>
      </c>
      <c r="R421" s="386">
        <f>IFERROR(VLOOKUP(C421,常规材料表!$1:$1048576,4,0),0)</f>
        <v>0</v>
      </c>
      <c r="S421" s="387">
        <f t="shared" si="9"/>
        <v>0</v>
      </c>
      <c r="T421" s="387">
        <f t="shared" si="2"/>
        <v>0</v>
      </c>
      <c r="U421" s="387">
        <f>IFERROR(VLOOKUP(C421,常规材料表!$1:$1048576,17,0),0)</f>
        <v>0</v>
      </c>
      <c r="V421" s="387">
        <f>IFERROR(VLOOKUP(C421,常规材料表!$1:$1048576,18,0),0)</f>
        <v>0</v>
      </c>
      <c r="W421" s="387">
        <f>IFERROR(VLOOKUP(U421,常规材料表!$1:$1048576,5,0),0)</f>
        <v>0</v>
      </c>
      <c r="X421" s="387">
        <f t="shared" si="3"/>
        <v>0</v>
      </c>
      <c r="Y421">
        <f>IFERROR(VLOOKUP(U421,常规材料表!$1:$1048576,3,0),0)</f>
        <v>0</v>
      </c>
      <c r="Z421">
        <f t="shared" si="4"/>
        <v>0</v>
      </c>
      <c r="AA421">
        <f>IFERROR(VLOOKUP(C421,常规材料表!$1:$1048576,19,0),0)</f>
        <v>0</v>
      </c>
      <c r="AB421">
        <f>IFERROR(VLOOKUP(C421,常规材料表!$1:$1048576,20,0),0)</f>
        <v>0</v>
      </c>
      <c r="AC421">
        <f>IFERROR(VLOOKUP(AA421,常规材料表!$1:$1048576,5,0),0)</f>
        <v>0</v>
      </c>
      <c r="AD421">
        <f t="shared" si="5"/>
        <v>0</v>
      </c>
      <c r="AE421">
        <f>IFERROR(VLOOKUP(AA421,常规材料表!$1:$1048576,3,0),0)</f>
        <v>0</v>
      </c>
      <c r="AF421">
        <f t="shared" si="6"/>
        <v>0</v>
      </c>
      <c r="AG421">
        <f>IFERROR(VLOOKUP(C421,常规材料表!$1:$1048576,21,0),0)</f>
        <v>0</v>
      </c>
      <c r="AH421">
        <f>IFERROR(VLOOKUP(C421,常规材料表!$1:$1048576,22,0),0)</f>
        <v>0</v>
      </c>
      <c r="AI421">
        <f>IFERROR(VLOOKUP(AG421,常规材料表!$1:$1048576,5,0),0)</f>
        <v>0</v>
      </c>
      <c r="AJ421">
        <f t="shared" si="7"/>
        <v>0</v>
      </c>
      <c r="AK421">
        <f>IFERROR(VLOOKUP(AG421,常规材料表!$1:$1048576,3,0),0)</f>
        <v>0</v>
      </c>
      <c r="AL421">
        <f t="shared" si="8"/>
        <v>0</v>
      </c>
      <c r="AQ421" s="110"/>
      <c r="BZ421" t="s">
        <v>626</v>
      </c>
      <c r="CA421" s="112"/>
      <c r="CE421" t="s">
        <v>204</v>
      </c>
      <c r="CG421" s="122"/>
      <c r="CV421" s="388"/>
    </row>
    <row r="422" spans="1:100" customFormat="1" ht="30" customHeight="1" outlineLevel="1">
      <c r="A422" s="112"/>
      <c r="B422" s="418" t="s">
        <v>639</v>
      </c>
      <c r="C422" s="460" t="s">
        <v>640</v>
      </c>
      <c r="D422" s="418">
        <f>IFERROR(VLOOKUP(C422,常规材料表!$1:$1048576,5,0),0)</f>
        <v>9.3036570528877096</v>
      </c>
      <c r="E422" s="418">
        <f>IFERROR(IF(G422="喷塑",1,0)*VLOOKUP(C422,常规材料表!$1:$1048576,12,0)+IF(G422="热镀锌",1,0)*VLOOKUP(C422,常规材料表!$1:$1048576,13,0)+IF(G422="冷镀锌",1,0)*VLOOKUP(C422,常规材料表!$1:$1048576,15,0),0)</f>
        <v>0</v>
      </c>
      <c r="F422" s="418">
        <f>IFERROR(VLOOKUP(C422,常规材料表!$1:$1048576,11,0)/Q422+E424,0)</f>
        <v>0.3</v>
      </c>
      <c r="G422" s="514" t="str">
        <f>G418</f>
        <v>预镀锌</v>
      </c>
      <c r="H422" s="421">
        <f t="shared" si="1"/>
        <v>4.7694459115044241</v>
      </c>
      <c r="I422" s="421">
        <f>F417*P422</f>
        <v>48</v>
      </c>
      <c r="J422" s="666">
        <f>J421</f>
        <v>48</v>
      </c>
      <c r="K422" s="54" t="s">
        <v>237</v>
      </c>
      <c r="L422" s="54"/>
      <c r="O422" t="s">
        <v>625</v>
      </c>
      <c r="P422">
        <f>J422/J418</f>
        <v>4</v>
      </c>
      <c r="Q422" s="112">
        <f>IFERROR(VLOOKUP(C422,常规材料表!$1:$1048576,3,0),0)</f>
        <v>0.13972999999999999</v>
      </c>
      <c r="R422" s="386">
        <f>IFERROR(VLOOKUP(C422,常规材料表!$1:$1048576,4,0),0)</f>
        <v>0</v>
      </c>
      <c r="S422" s="387">
        <f t="shared" si="9"/>
        <v>0</v>
      </c>
      <c r="T422" s="387">
        <f t="shared" si="2"/>
        <v>0</v>
      </c>
      <c r="U422" s="387">
        <f>IFERROR(VLOOKUP(C422,常规材料表!$1:$1048576,17,0),0)</f>
        <v>0</v>
      </c>
      <c r="V422" s="387">
        <f>IFERROR(VLOOKUP(C422,常规材料表!$1:$1048576,18,0),0)</f>
        <v>0</v>
      </c>
      <c r="W422" s="387">
        <f>IFERROR(VLOOKUP(U422,常规材料表!$1:$1048576,5,0),0)</f>
        <v>0</v>
      </c>
      <c r="X422" s="387">
        <f t="shared" si="3"/>
        <v>0</v>
      </c>
      <c r="Y422">
        <f>IFERROR(VLOOKUP(U422,常规材料表!$1:$1048576,3,0),0)</f>
        <v>0</v>
      </c>
      <c r="Z422">
        <f t="shared" si="4"/>
        <v>0</v>
      </c>
      <c r="AA422">
        <f>IFERROR(VLOOKUP(C422,常规材料表!$1:$1048576,19,0),0)</f>
        <v>0</v>
      </c>
      <c r="AB422">
        <f>IFERROR(VLOOKUP(C422,常规材料表!$1:$1048576,20,0),0)</f>
        <v>0</v>
      </c>
      <c r="AC422">
        <f>IFERROR(VLOOKUP(AA422,常规材料表!$1:$1048576,5,0),0)</f>
        <v>0</v>
      </c>
      <c r="AD422">
        <f t="shared" si="5"/>
        <v>0</v>
      </c>
      <c r="AE422">
        <f>IFERROR(VLOOKUP(AA422,常规材料表!$1:$1048576,3,0),0)</f>
        <v>0</v>
      </c>
      <c r="AF422">
        <f t="shared" si="6"/>
        <v>0</v>
      </c>
      <c r="AG422">
        <f>IFERROR(VLOOKUP(C422,常规材料表!$1:$1048576,21,0),0)</f>
        <v>0</v>
      </c>
      <c r="AH422">
        <f>IFERROR(VLOOKUP(C422,常规材料表!$1:$1048576,22,0),0)</f>
        <v>0</v>
      </c>
      <c r="AI422">
        <f>IFERROR(VLOOKUP(AG422,常规材料表!$1:$1048576,5,0),0)</f>
        <v>0</v>
      </c>
      <c r="AJ422">
        <f t="shared" si="7"/>
        <v>0</v>
      </c>
      <c r="AK422">
        <f>IFERROR(VLOOKUP(AG422,常规材料表!$1:$1048576,3,0),0)</f>
        <v>0</v>
      </c>
      <c r="AL422">
        <f t="shared" si="8"/>
        <v>0</v>
      </c>
      <c r="AQ422" s="110"/>
      <c r="BZ422" t="s">
        <v>626</v>
      </c>
      <c r="CA422" s="112"/>
      <c r="CE422" t="s">
        <v>204</v>
      </c>
      <c r="CG422" s="122"/>
      <c r="CV422" s="388"/>
    </row>
    <row r="423" spans="1:100" customFormat="1" ht="30" customHeight="1" outlineLevel="1">
      <c r="A423" s="112"/>
      <c r="B423" s="418" t="s">
        <v>641</v>
      </c>
      <c r="C423" s="460" t="s">
        <v>642</v>
      </c>
      <c r="D423" s="418">
        <f>IFERROR(VLOOKUP(C423,常规材料表!$1:$1048576,5,0),0)</f>
        <v>6.2024380352584796</v>
      </c>
      <c r="E423" s="418">
        <f>IFERROR(IF(G423="喷塑",1,0)*VLOOKUP(C423,常规材料表!$1:$1048576,12,0)+IF(G423="热镀锌",1,0)*VLOOKUP(C423,常规材料表!$1:$1048576,13,0)+IF(G423="冷镀锌",1,0)*VLOOKUP(C423,常规材料表!$1:$1048576,15,0),0)</f>
        <v>0</v>
      </c>
      <c r="F423" s="418">
        <f>IFERROR(VLOOKUP(C423,常规材料表!$1:$1048576,11,0)/Q423+E424,0)</f>
        <v>0.3</v>
      </c>
      <c r="G423" s="514" t="str">
        <f>G418</f>
        <v>预镀锌</v>
      </c>
      <c r="H423" s="421">
        <f t="shared" si="1"/>
        <v>9.706567823008859</v>
      </c>
      <c r="I423" s="421">
        <f>F417*P423</f>
        <v>48</v>
      </c>
      <c r="J423" s="666">
        <f>J421</f>
        <v>48</v>
      </c>
      <c r="K423" s="54" t="s">
        <v>237</v>
      </c>
      <c r="L423" s="54"/>
      <c r="O423" t="s">
        <v>625</v>
      </c>
      <c r="P423">
        <f>J423/J418</f>
        <v>4</v>
      </c>
      <c r="Q423" s="112">
        <f>IFERROR(VLOOKUP(C423,常规材料表!$1:$1048576,3,0),0)</f>
        <v>0.41919000000000001</v>
      </c>
      <c r="R423" s="386">
        <f>IFERROR(VLOOKUP(C423,常规材料表!$1:$1048576,4,0),0)</f>
        <v>0</v>
      </c>
      <c r="S423" s="387">
        <f t="shared" si="9"/>
        <v>0</v>
      </c>
      <c r="T423" s="387">
        <f t="shared" si="2"/>
        <v>0</v>
      </c>
      <c r="U423" s="387">
        <f>IFERROR(VLOOKUP(C423,常规材料表!$1:$1048576,17,0),0)</f>
        <v>0</v>
      </c>
      <c r="V423" s="387">
        <f>IFERROR(VLOOKUP(C423,常规材料表!$1:$1048576,18,0),0)</f>
        <v>0</v>
      </c>
      <c r="W423" s="387">
        <f>IFERROR(VLOOKUP(U423,常规材料表!$1:$1048576,5,0),0)</f>
        <v>0</v>
      </c>
      <c r="X423" s="387">
        <f t="shared" si="3"/>
        <v>0</v>
      </c>
      <c r="Y423">
        <f>IFERROR(VLOOKUP(U423,常规材料表!$1:$1048576,3,0),0)</f>
        <v>0</v>
      </c>
      <c r="Z423">
        <f t="shared" si="4"/>
        <v>0</v>
      </c>
      <c r="AA423">
        <f>IFERROR(VLOOKUP(C423,常规材料表!$1:$1048576,19,0),0)</f>
        <v>0</v>
      </c>
      <c r="AB423">
        <f>IFERROR(VLOOKUP(C423,常规材料表!$1:$1048576,20,0),0)</f>
        <v>0</v>
      </c>
      <c r="AC423">
        <f>IFERROR(VLOOKUP(AA423,常规材料表!$1:$1048576,5,0),0)</f>
        <v>0</v>
      </c>
      <c r="AD423">
        <f t="shared" si="5"/>
        <v>0</v>
      </c>
      <c r="AE423">
        <f>IFERROR(VLOOKUP(AA423,常规材料表!$1:$1048576,3,0),0)</f>
        <v>0</v>
      </c>
      <c r="AF423">
        <f t="shared" si="6"/>
        <v>0</v>
      </c>
      <c r="AG423">
        <f>IFERROR(VLOOKUP(C423,常规材料表!$1:$1048576,21,0),0)</f>
        <v>0</v>
      </c>
      <c r="AH423">
        <f>IFERROR(VLOOKUP(C423,常规材料表!$1:$1048576,22,0),0)</f>
        <v>0</v>
      </c>
      <c r="AI423">
        <f>IFERROR(VLOOKUP(AG423,常规材料表!$1:$1048576,5,0),0)</f>
        <v>0</v>
      </c>
      <c r="AJ423">
        <f t="shared" si="7"/>
        <v>0</v>
      </c>
      <c r="AK423">
        <f>IFERROR(VLOOKUP(AG423,常规材料表!$1:$1048576,3,0),0)</f>
        <v>0</v>
      </c>
      <c r="AL423">
        <f t="shared" si="8"/>
        <v>0</v>
      </c>
      <c r="AQ423" s="110"/>
      <c r="BZ423" t="s">
        <v>626</v>
      </c>
      <c r="CA423" s="112"/>
      <c r="CE423" t="s">
        <v>204</v>
      </c>
      <c r="CG423" s="122"/>
      <c r="CV423" s="388"/>
    </row>
    <row r="424" spans="1:100" customFormat="1" ht="30" customHeight="1" outlineLevel="1">
      <c r="A424" s="112"/>
      <c r="B424" s="414">
        <v>0</v>
      </c>
      <c r="C424" s="465">
        <f>报价辅助计算!$E$13</f>
        <v>0</v>
      </c>
      <c r="D424" s="418" t="s">
        <v>622</v>
      </c>
      <c r="E424" s="655">
        <v>0.3</v>
      </c>
      <c r="F424" s="561"/>
      <c r="G424" s="418"/>
      <c r="H424" s="421"/>
      <c r="I424" s="421" t="s">
        <v>102</v>
      </c>
      <c r="J424" s="421" t="s">
        <v>623</v>
      </c>
      <c r="K424" s="54" t="s">
        <v>237</v>
      </c>
      <c r="L424" s="54"/>
      <c r="O424" t="s">
        <v>625</v>
      </c>
      <c r="R424" s="387"/>
      <c r="S424" s="387"/>
      <c r="T424" s="387"/>
      <c r="U424" s="387"/>
      <c r="V424" s="387"/>
      <c r="W424" s="387"/>
      <c r="X424" s="387"/>
      <c r="AQ424" s="110"/>
      <c r="BZ424" t="s">
        <v>626</v>
      </c>
      <c r="CA424" s="112"/>
      <c r="CE424" t="s">
        <v>204</v>
      </c>
      <c r="CG424" s="122"/>
      <c r="CV424" s="388"/>
    </row>
    <row r="425" spans="1:100" s="376" customFormat="1" ht="30" customHeight="1">
      <c r="A425" s="472"/>
      <c r="B425" s="473"/>
      <c r="C425" s="473"/>
      <c r="D425" s="473"/>
      <c r="E425" s="474"/>
      <c r="F425" s="473"/>
      <c r="G425" s="473"/>
      <c r="H425" s="421"/>
      <c r="I425" s="421"/>
      <c r="J425" s="422"/>
      <c r="K425" s="475"/>
      <c r="L425" s="475"/>
      <c r="R425" s="387"/>
      <c r="S425" s="387"/>
      <c r="T425" s="387"/>
      <c r="U425" s="387"/>
      <c r="V425" s="387"/>
      <c r="W425" s="387"/>
      <c r="X425" s="387"/>
      <c r="AQ425" s="476"/>
      <c r="BZ425" t="s">
        <v>626</v>
      </c>
      <c r="CA425" s="112"/>
      <c r="CB425"/>
      <c r="CC425"/>
      <c r="CD425"/>
      <c r="CE425" t="s">
        <v>204</v>
      </c>
      <c r="CF425"/>
      <c r="CG425" s="122"/>
    </row>
    <row r="426" spans="1:100" customFormat="1" ht="30" customHeight="1">
      <c r="A426" s="112" t="str">
        <f>IF($C$13=1,IF(K426="报价行",IF(F426&gt;0,1," ")," ")," ")</f>
        <v xml:space="preserve"> </v>
      </c>
      <c r="B426" s="414" t="str">
        <f>IF(A426=1,SUM($A$11:A426),"悬臂双底座")</f>
        <v>悬臂双底座</v>
      </c>
      <c r="C426" s="415" t="str">
        <f>A427&amp;IF(C433=1,CHAR(10)&amp;A428," ")</f>
        <v xml:space="preserve">Bases -double sided </v>
      </c>
      <c r="D426" s="645">
        <v>2465</v>
      </c>
      <c r="E426" s="665" t="str">
        <f>C427</f>
        <v>B300×90×3.0t</v>
      </c>
      <c r="F426" s="460">
        <v>12</v>
      </c>
      <c r="G426" s="419">
        <f>SUM(Q427*P427,Q432*P432,P428*Q428,P429*Q429,P430*Q430,P431*Q431)</f>
        <v>71.994119999999995</v>
      </c>
      <c r="H426" s="420">
        <f>SUM(H427:H433)</f>
        <v>359.22556449762146</v>
      </c>
      <c r="I426" s="421" t="s">
        <v>425</v>
      </c>
      <c r="J426" s="421"/>
      <c r="K426" s="423" t="s">
        <v>217</v>
      </c>
      <c r="L426" s="54" t="s">
        <v>624</v>
      </c>
      <c r="M426" t="s">
        <v>608</v>
      </c>
      <c r="O426" t="s">
        <v>643</v>
      </c>
      <c r="P426" t="s">
        <v>610</v>
      </c>
      <c r="Q426" t="s">
        <v>611</v>
      </c>
      <c r="R426" s="387" t="s">
        <v>612</v>
      </c>
      <c r="S426" s="387" t="s">
        <v>613</v>
      </c>
      <c r="T426" s="387" t="s">
        <v>614</v>
      </c>
      <c r="U426" s="387" t="s">
        <v>615</v>
      </c>
      <c r="V426" s="387" t="str">
        <f>U426&amp;"数量"</f>
        <v>配件1数量</v>
      </c>
      <c r="W426" s="387" t="str">
        <f>U426&amp;"单价"</f>
        <v>配件1单价</v>
      </c>
      <c r="X426" s="387" t="str">
        <f>U426&amp;"总价"</f>
        <v>配件1总价</v>
      </c>
      <c r="Y426" t="str">
        <f>U426&amp;"单重"</f>
        <v>配件1单重</v>
      </c>
      <c r="Z426" t="str">
        <f>U426&amp;"总重量"</f>
        <v>配件1总重量</v>
      </c>
      <c r="AA426" t="s">
        <v>616</v>
      </c>
      <c r="AB426" t="str">
        <f>AA426&amp;"数量"</f>
        <v>配件2数量</v>
      </c>
      <c r="AC426" t="str">
        <f>AA426&amp;"单价"</f>
        <v>配件2单价</v>
      </c>
      <c r="AD426" t="str">
        <f>AA426&amp;"总价"</f>
        <v>配件2总价</v>
      </c>
      <c r="AE426" t="str">
        <f>AA426&amp;"单重"</f>
        <v>配件2单重</v>
      </c>
      <c r="AF426" t="str">
        <f>AA426&amp;"总重量"</f>
        <v>配件2总重量</v>
      </c>
      <c r="AG426" t="s">
        <v>617</v>
      </c>
      <c r="AH426" t="str">
        <f>AG426&amp;"数量"</f>
        <v>配件3数量</v>
      </c>
      <c r="AI426" t="str">
        <f>AG426&amp;"单价"</f>
        <v>配件3单价</v>
      </c>
      <c r="AJ426" t="str">
        <f>AG426&amp;"总价"</f>
        <v>配件3总价</v>
      </c>
      <c r="AK426" t="str">
        <f>AG426&amp;"单重"</f>
        <v>配件3单重</v>
      </c>
      <c r="AL426" t="str">
        <f>AG426&amp;"总重量"</f>
        <v>配件3总重量</v>
      </c>
      <c r="AQ426" s="110"/>
      <c r="AX426" t="str">
        <f>E426</f>
        <v>B300×90×3.0t</v>
      </c>
      <c r="AY426" s="494">
        <f>D426</f>
        <v>2465</v>
      </c>
      <c r="AZ426">
        <f>F426</f>
        <v>12</v>
      </c>
      <c r="BA426" s="256">
        <f>G426</f>
        <v>71.994119999999995</v>
      </c>
      <c r="BB426">
        <f>AZ426*BA426</f>
        <v>863.92943999999989</v>
      </c>
      <c r="BC426" s="495"/>
      <c r="BR426" t="str">
        <f>I426</f>
        <v>Pre gal</v>
      </c>
      <c r="BZ426" t="s">
        <v>626</v>
      </c>
      <c r="CA426" s="112"/>
      <c r="CE426" t="s">
        <v>204</v>
      </c>
      <c r="CG426" s="122"/>
      <c r="CV426" s="388"/>
    </row>
    <row r="427" spans="1:100" customFormat="1" ht="30" customHeight="1" outlineLevel="1">
      <c r="A427" s="623" t="s">
        <v>644</v>
      </c>
      <c r="B427" s="418" t="s">
        <v>628</v>
      </c>
      <c r="C427" s="460" t="s">
        <v>629</v>
      </c>
      <c r="D427" s="418">
        <f>IFERROR(IF(G427="预镀锌",VLOOKUP(C427,常规材料表!$1:$1048576,5,0),VLOOKUP(C427,常规材料表!$1:$1048576,10,0)),0)</f>
        <v>3.96</v>
      </c>
      <c r="E427" s="418">
        <f>IFERROR(IF(G427="喷塑",1,0)*VLOOKUP(C427,常规材料表!$1:$1048576,12,0)+IF(G427="热镀锌",1,0)*VLOOKUP(C427,常规材料表!$1:$1048576,13,0)+IF(G427="冷镀锌",1,0)*VLOOKUP(C427,常规材料表!$1:$1048576,15,0),0)</f>
        <v>0</v>
      </c>
      <c r="F427" s="418">
        <f>IFERROR(VLOOKUP(C427,常规材料表!$1:$1048576,11,0)/Q427+E433,0)</f>
        <v>0.73675293410621134</v>
      </c>
      <c r="G427" s="514" t="s">
        <v>428</v>
      </c>
      <c r="H427" s="421">
        <f t="shared" ref="H427:H432" si="10">Q427*(D427+F427*1.13+E427+T427)/1.13*P427</f>
        <v>256.57286672566374</v>
      </c>
      <c r="I427" s="421">
        <f>F426*P427</f>
        <v>12</v>
      </c>
      <c r="J427" s="386">
        <v>12</v>
      </c>
      <c r="K427" s="54" t="s">
        <v>237</v>
      </c>
      <c r="L427" s="460">
        <v>12</v>
      </c>
      <c r="M427" s="418">
        <f>H426/G426</f>
        <v>4.9896514395567513</v>
      </c>
      <c r="O427" t="s">
        <v>643</v>
      </c>
      <c r="P427">
        <f>J427/J427</f>
        <v>1</v>
      </c>
      <c r="Q427" s="112">
        <f>IFERROR(VLOOKUP(C427,常规材料表!$1:$1048576,3,0)*D426/1000+Z427+AF427,0)</f>
        <v>57.240600000000001</v>
      </c>
      <c r="R427" s="386">
        <f>IFERROR(VLOOKUP(C427,常规材料表!$1:$1048576,4,0)*D426/1000,0)</f>
        <v>1.972</v>
      </c>
      <c r="S427" s="387">
        <f>X427+AD427+AJ427</f>
        <v>15.600000000000001</v>
      </c>
      <c r="T427" s="387">
        <f t="shared" ref="T427:T432" si="11">S427/Q427</f>
        <v>0.2725338308822759</v>
      </c>
      <c r="U427" s="387" t="s">
        <v>630</v>
      </c>
      <c r="V427" s="387">
        <f>IFERROR(VLOOKUP(C427,常规材料表!$1:$1048576,18,0),0)</f>
        <v>12</v>
      </c>
      <c r="W427" s="387">
        <f>IFERROR(VLOOKUP(U427,常规材料表!$1:$1048576,5,0),0)*Y427</f>
        <v>2</v>
      </c>
      <c r="X427" s="387">
        <f>W427*Z427</f>
        <v>9.6000000000000014</v>
      </c>
      <c r="Y427">
        <f>IFERROR(VLOOKUP(U427,常规材料表!$1:$1048576,3,0),0)</f>
        <v>0.4</v>
      </c>
      <c r="Z427">
        <f t="shared" ref="Z427:Z432" si="12">Y427*V427</f>
        <v>4.8000000000000007</v>
      </c>
      <c r="AA427" t="s">
        <v>631</v>
      </c>
      <c r="AB427">
        <f>IFERROR(VLOOKUP(C427,常规材料表!$1:$1048576,20,0),0)</f>
        <v>24</v>
      </c>
      <c r="AC427">
        <f>IFERROR(VLOOKUP(AA427,常规材料表!$1:$1048576,5,0),0)*AE427</f>
        <v>1</v>
      </c>
      <c r="AD427">
        <f>AC427*AF427</f>
        <v>6</v>
      </c>
      <c r="AE427">
        <f>IFERROR(VLOOKUP(AA427,常规材料表!$1:$1048576,3,0),0)</f>
        <v>0.25</v>
      </c>
      <c r="AF427">
        <f t="shared" ref="AF427:AF432" si="13">AE427*AB427</f>
        <v>6</v>
      </c>
      <c r="AG427">
        <f>IFERROR(VLOOKUP(C427,常规材料表!$1:$1048576,21,0),0)</f>
        <v>0</v>
      </c>
      <c r="AH427">
        <f>IFERROR(VLOOKUP(C427,常规材料表!$1:$1048576,22,0),0)</f>
        <v>0</v>
      </c>
      <c r="AI427">
        <f>IFERROR(VLOOKUP(AG427,常规材料表!$1:$1048576,5,0),0)</f>
        <v>0</v>
      </c>
      <c r="AJ427">
        <f t="shared" ref="AJ427:AJ432" si="14">AI427*AH427</f>
        <v>0</v>
      </c>
      <c r="AK427">
        <f>IFERROR(VLOOKUP(AG427,常规材料表!$1:$1048576,3,0),0)</f>
        <v>0</v>
      </c>
      <c r="AL427">
        <f t="shared" ref="AL427:AL432" si="15">AK427*AH427</f>
        <v>0</v>
      </c>
      <c r="AQ427" s="110"/>
      <c r="AX427" t="s">
        <v>156</v>
      </c>
      <c r="AY427" t="s">
        <v>246</v>
      </c>
      <c r="AZ427" t="s">
        <v>102</v>
      </c>
      <c r="BA427" t="s">
        <v>158</v>
      </c>
      <c r="BB427" t="s">
        <v>247</v>
      </c>
      <c r="BC427" t="s">
        <v>248</v>
      </c>
      <c r="BD427" t="s">
        <v>249</v>
      </c>
      <c r="BE427" t="s">
        <v>250</v>
      </c>
      <c r="BF427" t="s">
        <v>251</v>
      </c>
      <c r="BZ427" t="s">
        <v>626</v>
      </c>
      <c r="CA427" s="112"/>
      <c r="CE427" t="s">
        <v>204</v>
      </c>
      <c r="CG427" s="122"/>
      <c r="CV427" s="388"/>
    </row>
    <row r="428" spans="1:100" customFormat="1" ht="30" customHeight="1" outlineLevel="1">
      <c r="A428" s="112" t="s">
        <v>645</v>
      </c>
      <c r="B428" s="418" t="s">
        <v>633</v>
      </c>
      <c r="C428" s="460" t="s">
        <v>634</v>
      </c>
      <c r="D428" s="418">
        <f>IFERROR(IF(G428="预镀锌",VLOOKUP(C428,常规材料表!$1:$1048576,5,0),VLOOKUP(C428,常规材料表!$1:$1048576,10,0)),0)</f>
        <v>4.93</v>
      </c>
      <c r="E428" s="418">
        <f>IFERROR(IF(G428="喷塑",1,0)*VLOOKUP(C428,常规材料表!$1:$1048576,12,0)+IF(G428="热镀锌",1,0)*VLOOKUP(C428,常规材料表!$1:$1048576,13,0)+IF(G428="冷镀锌",1,0)*VLOOKUP(C428,常规材料表!$1:$1048576,15,0),0)</f>
        <v>2.2000000000000002</v>
      </c>
      <c r="F428" s="418">
        <f>IFERROR(VLOOKUP(C428,常规材料表!$1:$1048576,11,0)/Q428+E433,0)</f>
        <v>0.76777373116375425</v>
      </c>
      <c r="G428" s="514" t="s">
        <v>549</v>
      </c>
      <c r="H428" s="421">
        <f t="shared" si="10"/>
        <v>73.464535577267384</v>
      </c>
      <c r="I428" s="421">
        <f>F426*P428</f>
        <v>72</v>
      </c>
      <c r="J428" s="666">
        <v>72</v>
      </c>
      <c r="K428" s="54" t="s">
        <v>237</v>
      </c>
      <c r="L428" s="54"/>
      <c r="O428" t="s">
        <v>643</v>
      </c>
      <c r="P428">
        <f>J428/J427</f>
        <v>6</v>
      </c>
      <c r="Q428" s="112">
        <f>IFERROR(VLOOKUP(C428,常规材料表!$1:$1048576,3,0),0)</f>
        <v>1.73</v>
      </c>
      <c r="R428" s="386">
        <f>IFERROR(VLOOKUP(C428,常规材料表!$1:$1048576,4,0),0)</f>
        <v>0</v>
      </c>
      <c r="S428" s="387">
        <f t="shared" ref="S428:S432" si="16">X428+AD428+AJ428</f>
        <v>0</v>
      </c>
      <c r="T428" s="387">
        <f t="shared" si="11"/>
        <v>0</v>
      </c>
      <c r="U428" s="387">
        <f>IFERROR(VLOOKUP(C428,常规材料表!$1:$1048576,17,0),0)</f>
        <v>0</v>
      </c>
      <c r="V428" s="387">
        <f>IFERROR(VLOOKUP(C428,常规材料表!$1:$1048576,18,0),0)</f>
        <v>0</v>
      </c>
      <c r="W428" s="387">
        <f>IFERROR(VLOOKUP(U428,常规材料表!$1:$1048576,5,0),0)</f>
        <v>0</v>
      </c>
      <c r="X428" s="387">
        <f t="shared" ref="X428:X432" si="17">W428*V428</f>
        <v>0</v>
      </c>
      <c r="Y428">
        <f>IFERROR(VLOOKUP(U428,常规材料表!$1:$1048576,3,0),0)</f>
        <v>0</v>
      </c>
      <c r="Z428">
        <f t="shared" si="12"/>
        <v>0</v>
      </c>
      <c r="AA428">
        <f>IFERROR(VLOOKUP(C428,常规材料表!$1:$1048576,19,0),0)</f>
        <v>0</v>
      </c>
      <c r="AB428">
        <f>IFERROR(VLOOKUP(C428,常规材料表!$1:$1048576,20,0),0)</f>
        <v>0</v>
      </c>
      <c r="AC428">
        <f>IFERROR(VLOOKUP(AA428,常规材料表!$1:$1048576,5,0),0)</f>
        <v>0</v>
      </c>
      <c r="AD428">
        <f t="shared" ref="AD428:AD432" si="18">AC428*AB428</f>
        <v>0</v>
      </c>
      <c r="AE428">
        <f>IFERROR(VLOOKUP(AA428,常规材料表!$1:$1048576,3,0),0)</f>
        <v>0</v>
      </c>
      <c r="AF428">
        <f t="shared" si="13"/>
        <v>0</v>
      </c>
      <c r="AG428">
        <f>IFERROR(VLOOKUP(C428,常规材料表!$1:$1048576,21,0),0)</f>
        <v>0</v>
      </c>
      <c r="AH428">
        <f>IFERROR(VLOOKUP(C428,常规材料表!$1:$1048576,22,0),0)</f>
        <v>0</v>
      </c>
      <c r="AI428">
        <f>IFERROR(VLOOKUP(AG428,常规材料表!$1:$1048576,5,0),0)</f>
        <v>0</v>
      </c>
      <c r="AJ428">
        <f t="shared" si="14"/>
        <v>0</v>
      </c>
      <c r="AK428">
        <f>IFERROR(VLOOKUP(AG428,常规材料表!$1:$1048576,3,0),0)</f>
        <v>0</v>
      </c>
      <c r="AL428">
        <f t="shared" si="15"/>
        <v>0</v>
      </c>
      <c r="AQ428" s="110"/>
      <c r="BZ428" t="s">
        <v>626</v>
      </c>
      <c r="CA428" s="112"/>
      <c r="CE428" t="s">
        <v>204</v>
      </c>
      <c r="CG428" s="122"/>
      <c r="CV428" s="388"/>
    </row>
    <row r="429" spans="1:100" customFormat="1" ht="30" customHeight="1" outlineLevel="1">
      <c r="A429" s="112"/>
      <c r="B429" s="418" t="s">
        <v>635</v>
      </c>
      <c r="C429" s="460" t="s">
        <v>636</v>
      </c>
      <c r="D429" s="418">
        <f>IFERROR(IF(G429="预镀锌",VLOOKUP(C429,常规材料表!$1:$1048576,5,0),VLOOKUP(C429,常规材料表!$1:$1048576,10,0)),0)</f>
        <v>0</v>
      </c>
      <c r="E429" s="418">
        <f>IFERROR(IF(G429="喷塑",1,0)*VLOOKUP(C429,常规材料表!$1:$1048576,12,0)+IF(G429="热镀锌",1,0)*VLOOKUP(C429,常规材料表!$1:$1048576,13,0)+IF(G429="冷镀锌",1,0)*VLOOKUP(C429,常规材料表!$1:$1048576,15,0),0)</f>
        <v>0</v>
      </c>
      <c r="F429" s="418">
        <f>IFERROR(VLOOKUP(C429,常规材料表!$1:$1048576,11,0)/Q429+E433,0)</f>
        <v>0.56827420780204529</v>
      </c>
      <c r="G429" s="514" t="str">
        <f>G427</f>
        <v>预镀锌</v>
      </c>
      <c r="H429" s="421">
        <f t="shared" si="10"/>
        <v>0</v>
      </c>
      <c r="I429" s="421">
        <f>F426*P429</f>
        <v>0</v>
      </c>
      <c r="J429" s="666"/>
      <c r="K429" s="54" t="s">
        <v>237</v>
      </c>
      <c r="L429" s="54"/>
      <c r="O429" t="s">
        <v>643</v>
      </c>
      <c r="P429">
        <f>J429/J427</f>
        <v>0</v>
      </c>
      <c r="Q429" s="112">
        <f>IFERROR(VLOOKUP(C429,常规材料表!$1:$1048576,3,0),0)</f>
        <v>3.56</v>
      </c>
      <c r="R429" s="386">
        <f>IFERROR(VLOOKUP(C429,常规材料表!$1:$1048576,4,0),0)</f>
        <v>0.23</v>
      </c>
      <c r="S429" s="387">
        <f t="shared" si="16"/>
        <v>0</v>
      </c>
      <c r="T429" s="387">
        <f t="shared" si="11"/>
        <v>0</v>
      </c>
      <c r="U429" s="387">
        <f>IFERROR(VLOOKUP(C429,常规材料表!$1:$1048576,17,0),0)</f>
        <v>0</v>
      </c>
      <c r="V429" s="387">
        <f>IFERROR(VLOOKUP(C429,常规材料表!$1:$1048576,18,0),0)</f>
        <v>0</v>
      </c>
      <c r="W429" s="387">
        <f>IFERROR(VLOOKUP(U429,常规材料表!$1:$1048576,5,0),0)</f>
        <v>0</v>
      </c>
      <c r="X429" s="387">
        <f t="shared" si="17"/>
        <v>0</v>
      </c>
      <c r="Y429">
        <f>IFERROR(VLOOKUP(U429,常规材料表!$1:$1048576,3,0),0)</f>
        <v>0</v>
      </c>
      <c r="Z429">
        <f t="shared" si="12"/>
        <v>0</v>
      </c>
      <c r="AA429">
        <f>IFERROR(VLOOKUP(C429,常规材料表!$1:$1048576,19,0),0)</f>
        <v>0</v>
      </c>
      <c r="AB429">
        <f>IFERROR(VLOOKUP(C429,常规材料表!$1:$1048576,20,0),0)</f>
        <v>0</v>
      </c>
      <c r="AC429">
        <f>IFERROR(VLOOKUP(AA429,常规材料表!$1:$1048576,5,0),0)</f>
        <v>0</v>
      </c>
      <c r="AD429">
        <f t="shared" si="18"/>
        <v>0</v>
      </c>
      <c r="AE429">
        <f>IFERROR(VLOOKUP(AA429,常规材料表!$1:$1048576,3,0),0)</f>
        <v>0</v>
      </c>
      <c r="AF429">
        <f t="shared" si="13"/>
        <v>0</v>
      </c>
      <c r="AG429">
        <f>IFERROR(VLOOKUP(C429,常规材料表!$1:$1048576,21,0),0)</f>
        <v>0</v>
      </c>
      <c r="AH429">
        <f>IFERROR(VLOOKUP(C429,常规材料表!$1:$1048576,22,0),0)</f>
        <v>0</v>
      </c>
      <c r="AI429">
        <f>IFERROR(VLOOKUP(AG429,常规材料表!$1:$1048576,5,0),0)</f>
        <v>0</v>
      </c>
      <c r="AJ429">
        <f t="shared" si="14"/>
        <v>0</v>
      </c>
      <c r="AK429">
        <f>IFERROR(VLOOKUP(AG429,常规材料表!$1:$1048576,3,0),0)</f>
        <v>0</v>
      </c>
      <c r="AL429">
        <f t="shared" si="15"/>
        <v>0</v>
      </c>
      <c r="AQ429" s="110"/>
      <c r="BZ429" t="s">
        <v>626</v>
      </c>
      <c r="CA429" s="112"/>
      <c r="CE429" t="s">
        <v>204</v>
      </c>
      <c r="CG429" s="122"/>
      <c r="CV429" s="388"/>
    </row>
    <row r="430" spans="1:100" customFormat="1" ht="30" customHeight="1" outlineLevel="1">
      <c r="A430" s="112"/>
      <c r="B430" s="418" t="s">
        <v>637</v>
      </c>
      <c r="C430" s="460" t="s">
        <v>638</v>
      </c>
      <c r="D430" s="418">
        <f>IFERROR(VLOOKUP(C430,常规材料表!$1:$1048576,5,0),0)</f>
        <v>7.9411764705882399</v>
      </c>
      <c r="E430" s="418">
        <f>IFERROR(IF(G430="喷塑",1,0)*VLOOKUP(C430,常规材料表!$1:$1048576,12,0)+IF(G430="热镀锌",1,0)*VLOOKUP(C430,常规材料表!$1:$1048576,13,0)+IF(G430="冷镀锌",1,0)*VLOOKUP(C430,常规材料表!$1:$1048576,15,0),0)</f>
        <v>0</v>
      </c>
      <c r="F430" s="418">
        <f>IFERROR(VLOOKUP(C430,常规材料表!$1:$1048576,11,0)/Q430+E433,0)</f>
        <v>0.3</v>
      </c>
      <c r="G430" s="514" t="str">
        <f>G427</f>
        <v>预镀锌</v>
      </c>
      <c r="H430" s="421">
        <f t="shared" si="10"/>
        <v>7.4741415929203594</v>
      </c>
      <c r="I430" s="421">
        <f>F426*P430</f>
        <v>72</v>
      </c>
      <c r="J430" s="666">
        <f>J428+J429</f>
        <v>72</v>
      </c>
      <c r="K430" s="54" t="s">
        <v>237</v>
      </c>
      <c r="L430" s="54"/>
      <c r="O430" t="s">
        <v>643</v>
      </c>
      <c r="P430">
        <f>J430/J427</f>
        <v>6</v>
      </c>
      <c r="Q430" s="112">
        <f>IFERROR(VLOOKUP(C430,常规材料表!$1:$1048576,3,0),0)</f>
        <v>0.17</v>
      </c>
      <c r="R430" s="386">
        <f>IFERROR(VLOOKUP(C430,常规材料表!$1:$1048576,4,0),0)</f>
        <v>0</v>
      </c>
      <c r="S430" s="387">
        <f t="shared" si="16"/>
        <v>0</v>
      </c>
      <c r="T430" s="387">
        <f t="shared" si="11"/>
        <v>0</v>
      </c>
      <c r="U430" s="387">
        <f>IFERROR(VLOOKUP(C430,常规材料表!$1:$1048576,17,0),0)</f>
        <v>0</v>
      </c>
      <c r="V430" s="387">
        <f>IFERROR(VLOOKUP(C430,常规材料表!$1:$1048576,18,0),0)</f>
        <v>0</v>
      </c>
      <c r="W430" s="387">
        <f>IFERROR(VLOOKUP(U430,常规材料表!$1:$1048576,5,0),0)</f>
        <v>0</v>
      </c>
      <c r="X430" s="387">
        <f t="shared" si="17"/>
        <v>0</v>
      </c>
      <c r="Y430">
        <f>IFERROR(VLOOKUP(U430,常规材料表!$1:$1048576,3,0),0)</f>
        <v>0</v>
      </c>
      <c r="Z430">
        <f t="shared" si="12"/>
        <v>0</v>
      </c>
      <c r="AA430">
        <f>IFERROR(VLOOKUP(C430,常规材料表!$1:$1048576,19,0),0)</f>
        <v>0</v>
      </c>
      <c r="AB430">
        <f>IFERROR(VLOOKUP(C430,常规材料表!$1:$1048576,20,0),0)</f>
        <v>0</v>
      </c>
      <c r="AC430">
        <f>IFERROR(VLOOKUP(AA430,常规材料表!$1:$1048576,5,0),0)</f>
        <v>0</v>
      </c>
      <c r="AD430">
        <f t="shared" si="18"/>
        <v>0</v>
      </c>
      <c r="AE430">
        <f>IFERROR(VLOOKUP(AA430,常规材料表!$1:$1048576,3,0),0)</f>
        <v>0</v>
      </c>
      <c r="AF430">
        <f t="shared" si="13"/>
        <v>0</v>
      </c>
      <c r="AG430">
        <f>IFERROR(VLOOKUP(C430,常规材料表!$1:$1048576,21,0),0)</f>
        <v>0</v>
      </c>
      <c r="AH430">
        <f>IFERROR(VLOOKUP(C430,常规材料表!$1:$1048576,22,0),0)</f>
        <v>0</v>
      </c>
      <c r="AI430">
        <f>IFERROR(VLOOKUP(AG430,常规材料表!$1:$1048576,5,0),0)</f>
        <v>0</v>
      </c>
      <c r="AJ430">
        <f t="shared" si="14"/>
        <v>0</v>
      </c>
      <c r="AK430">
        <f>IFERROR(VLOOKUP(AG430,常规材料表!$1:$1048576,3,0),0)</f>
        <v>0</v>
      </c>
      <c r="AL430">
        <f t="shared" si="15"/>
        <v>0</v>
      </c>
      <c r="AQ430" s="110"/>
      <c r="BZ430" t="s">
        <v>626</v>
      </c>
      <c r="CA430" s="112"/>
      <c r="CE430" t="s">
        <v>204</v>
      </c>
      <c r="CG430" s="122"/>
      <c r="CV430" s="388"/>
    </row>
    <row r="431" spans="1:100" customFormat="1" ht="30" customHeight="1" outlineLevel="1">
      <c r="A431" s="112"/>
      <c r="B431" s="418" t="s">
        <v>639</v>
      </c>
      <c r="C431" s="460" t="s">
        <v>640</v>
      </c>
      <c r="D431" s="418">
        <f>IFERROR(VLOOKUP(C431,常规材料表!$1:$1048576,5,0),0)</f>
        <v>9.3036570528877096</v>
      </c>
      <c r="E431" s="418">
        <f>IFERROR(IF(G431="喷塑",1,0)*VLOOKUP(C431,常规材料表!$1:$1048576,12,0)+IF(G431="热镀锌",1,0)*VLOOKUP(C431,常规材料表!$1:$1048576,13,0)+IF(G431="冷镀锌",1,0)*VLOOKUP(C431,常规材料表!$1:$1048576,15,0),0)</f>
        <v>0</v>
      </c>
      <c r="F431" s="418">
        <f>IFERROR(VLOOKUP(C431,常规材料表!$1:$1048576,11,0)/Q431+E433,0)</f>
        <v>0.3</v>
      </c>
      <c r="G431" s="514" t="str">
        <f>G427</f>
        <v>预镀锌</v>
      </c>
      <c r="H431" s="421">
        <f t="shared" si="10"/>
        <v>7.1541688672566366</v>
      </c>
      <c r="I431" s="421">
        <f>F426*P431</f>
        <v>72</v>
      </c>
      <c r="J431" s="666">
        <f>J430</f>
        <v>72</v>
      </c>
      <c r="K431" s="54" t="s">
        <v>237</v>
      </c>
      <c r="L431" s="54"/>
      <c r="O431" t="s">
        <v>643</v>
      </c>
      <c r="P431">
        <f>J431/J427</f>
        <v>6</v>
      </c>
      <c r="Q431" s="112">
        <f>IFERROR(VLOOKUP(C431,常规材料表!$1:$1048576,3,0),0)</f>
        <v>0.13972999999999999</v>
      </c>
      <c r="R431" s="386">
        <f>IFERROR(VLOOKUP(C431,常规材料表!$1:$1048576,4,0),0)</f>
        <v>0</v>
      </c>
      <c r="S431" s="387">
        <f t="shared" si="16"/>
        <v>0</v>
      </c>
      <c r="T431" s="387">
        <f t="shared" si="11"/>
        <v>0</v>
      </c>
      <c r="U431" s="387">
        <f>IFERROR(VLOOKUP(C431,常规材料表!$1:$1048576,17,0),0)</f>
        <v>0</v>
      </c>
      <c r="V431" s="387">
        <f>IFERROR(VLOOKUP(C431,常规材料表!$1:$1048576,18,0),0)</f>
        <v>0</v>
      </c>
      <c r="W431" s="387">
        <f>IFERROR(VLOOKUP(U431,常规材料表!$1:$1048576,5,0),0)</f>
        <v>0</v>
      </c>
      <c r="X431" s="387">
        <f t="shared" si="17"/>
        <v>0</v>
      </c>
      <c r="Y431">
        <f>IFERROR(VLOOKUP(U431,常规材料表!$1:$1048576,3,0),0)</f>
        <v>0</v>
      </c>
      <c r="Z431">
        <f t="shared" si="12"/>
        <v>0</v>
      </c>
      <c r="AA431">
        <f>IFERROR(VLOOKUP(C431,常规材料表!$1:$1048576,19,0),0)</f>
        <v>0</v>
      </c>
      <c r="AB431">
        <f>IFERROR(VLOOKUP(C431,常规材料表!$1:$1048576,20,0),0)</f>
        <v>0</v>
      </c>
      <c r="AC431">
        <f>IFERROR(VLOOKUP(AA431,常规材料表!$1:$1048576,5,0),0)</f>
        <v>0</v>
      </c>
      <c r="AD431">
        <f t="shared" si="18"/>
        <v>0</v>
      </c>
      <c r="AE431">
        <f>IFERROR(VLOOKUP(AA431,常规材料表!$1:$1048576,3,0),0)</f>
        <v>0</v>
      </c>
      <c r="AF431">
        <f t="shared" si="13"/>
        <v>0</v>
      </c>
      <c r="AG431">
        <f>IFERROR(VLOOKUP(C431,常规材料表!$1:$1048576,21,0),0)</f>
        <v>0</v>
      </c>
      <c r="AH431">
        <f>IFERROR(VLOOKUP(C431,常规材料表!$1:$1048576,22,0),0)</f>
        <v>0</v>
      </c>
      <c r="AI431">
        <f>IFERROR(VLOOKUP(AG431,常规材料表!$1:$1048576,5,0),0)</f>
        <v>0</v>
      </c>
      <c r="AJ431">
        <f t="shared" si="14"/>
        <v>0</v>
      </c>
      <c r="AK431">
        <f>IFERROR(VLOOKUP(AG431,常规材料表!$1:$1048576,3,0),0)</f>
        <v>0</v>
      </c>
      <c r="AL431">
        <f t="shared" si="15"/>
        <v>0</v>
      </c>
      <c r="AQ431" s="110"/>
      <c r="BZ431" t="s">
        <v>626</v>
      </c>
      <c r="CA431" s="112"/>
      <c r="CE431" t="s">
        <v>204</v>
      </c>
      <c r="CG431" s="122"/>
      <c r="CV431" s="388"/>
    </row>
    <row r="432" spans="1:100" customFormat="1" ht="30" customHeight="1" outlineLevel="1">
      <c r="A432" s="112"/>
      <c r="B432" s="418" t="s">
        <v>641</v>
      </c>
      <c r="C432" s="460" t="s">
        <v>642</v>
      </c>
      <c r="D432" s="418">
        <f>IFERROR(VLOOKUP(C432,常规材料表!$1:$1048576,5,0),0)</f>
        <v>6.2024380352584796</v>
      </c>
      <c r="E432" s="418">
        <f>IFERROR(IF(G432="喷塑",1,0)*VLOOKUP(C432,常规材料表!$1:$1048576,12,0)+IF(G432="热镀锌",1,0)*VLOOKUP(C432,常规材料表!$1:$1048576,13,0)+IF(G432="冷镀锌",1,0)*VLOOKUP(C432,常规材料表!$1:$1048576,15,0),0)</f>
        <v>0</v>
      </c>
      <c r="F432" s="418">
        <f>IFERROR(VLOOKUP(C432,常规材料表!$1:$1048576,11,0)/Q432+E433,0)</f>
        <v>0.3</v>
      </c>
      <c r="G432" s="514" t="str">
        <f>G427</f>
        <v>预镀锌</v>
      </c>
      <c r="H432" s="421">
        <f t="shared" si="10"/>
        <v>14.559851734513288</v>
      </c>
      <c r="I432" s="421">
        <f>F426*P432</f>
        <v>72</v>
      </c>
      <c r="J432" s="666">
        <f>J430</f>
        <v>72</v>
      </c>
      <c r="K432" s="54" t="s">
        <v>237</v>
      </c>
      <c r="L432" s="54"/>
      <c r="O432" t="s">
        <v>643</v>
      </c>
      <c r="P432">
        <f>J432/J427</f>
        <v>6</v>
      </c>
      <c r="Q432" s="112">
        <f>IFERROR(VLOOKUP(C432,常规材料表!$1:$1048576,3,0),0)</f>
        <v>0.41919000000000001</v>
      </c>
      <c r="R432" s="386">
        <f>IFERROR(VLOOKUP(C432,常规材料表!$1:$1048576,4,0),0)</f>
        <v>0</v>
      </c>
      <c r="S432" s="387">
        <f t="shared" si="16"/>
        <v>0</v>
      </c>
      <c r="T432" s="387">
        <f t="shared" si="11"/>
        <v>0</v>
      </c>
      <c r="U432" s="387">
        <f>IFERROR(VLOOKUP(C432,常规材料表!$1:$1048576,17,0),0)</f>
        <v>0</v>
      </c>
      <c r="V432" s="387">
        <f>IFERROR(VLOOKUP(C432,常规材料表!$1:$1048576,18,0),0)</f>
        <v>0</v>
      </c>
      <c r="W432" s="387">
        <f>IFERROR(VLOOKUP(U432,常规材料表!$1:$1048576,5,0),0)</f>
        <v>0</v>
      </c>
      <c r="X432" s="387">
        <f t="shared" si="17"/>
        <v>0</v>
      </c>
      <c r="Y432">
        <f>IFERROR(VLOOKUP(U432,常规材料表!$1:$1048576,3,0),0)</f>
        <v>0</v>
      </c>
      <c r="Z432">
        <f t="shared" si="12"/>
        <v>0</v>
      </c>
      <c r="AA432">
        <f>IFERROR(VLOOKUP(C432,常规材料表!$1:$1048576,19,0),0)</f>
        <v>0</v>
      </c>
      <c r="AB432">
        <f>IFERROR(VLOOKUP(C432,常规材料表!$1:$1048576,20,0),0)</f>
        <v>0</v>
      </c>
      <c r="AC432">
        <f>IFERROR(VLOOKUP(AA432,常规材料表!$1:$1048576,5,0),0)</f>
        <v>0</v>
      </c>
      <c r="AD432">
        <f t="shared" si="18"/>
        <v>0</v>
      </c>
      <c r="AE432">
        <f>IFERROR(VLOOKUP(AA432,常规材料表!$1:$1048576,3,0),0)</f>
        <v>0</v>
      </c>
      <c r="AF432">
        <f t="shared" si="13"/>
        <v>0</v>
      </c>
      <c r="AG432">
        <f>IFERROR(VLOOKUP(C432,常规材料表!$1:$1048576,21,0),0)</f>
        <v>0</v>
      </c>
      <c r="AH432">
        <f>IFERROR(VLOOKUP(C432,常规材料表!$1:$1048576,22,0),0)</f>
        <v>0</v>
      </c>
      <c r="AI432">
        <f>IFERROR(VLOOKUP(AG432,常规材料表!$1:$1048576,5,0),0)</f>
        <v>0</v>
      </c>
      <c r="AJ432">
        <f t="shared" si="14"/>
        <v>0</v>
      </c>
      <c r="AK432">
        <f>IFERROR(VLOOKUP(AG432,常规材料表!$1:$1048576,3,0),0)</f>
        <v>0</v>
      </c>
      <c r="AL432">
        <f t="shared" si="15"/>
        <v>0</v>
      </c>
      <c r="AQ432" s="110"/>
      <c r="BZ432" t="s">
        <v>626</v>
      </c>
      <c r="CA432" s="112"/>
      <c r="CE432" t="s">
        <v>204</v>
      </c>
      <c r="CG432" s="122"/>
      <c r="CV432" s="388"/>
    </row>
    <row r="433" spans="1:100" customFormat="1" ht="30" customHeight="1" outlineLevel="1">
      <c r="A433" s="112"/>
      <c r="B433" s="414">
        <v>0</v>
      </c>
      <c r="C433" s="465">
        <f>报价辅助计算!$E$13</f>
        <v>0</v>
      </c>
      <c r="D433" s="418" t="s">
        <v>622</v>
      </c>
      <c r="E433" s="655">
        <v>0.3</v>
      </c>
      <c r="F433" s="561"/>
      <c r="G433" s="418"/>
      <c r="H433" s="421"/>
      <c r="I433" s="421" t="s">
        <v>102</v>
      </c>
      <c r="J433" s="421" t="s">
        <v>623</v>
      </c>
      <c r="K433" s="54" t="s">
        <v>237</v>
      </c>
      <c r="L433" s="54"/>
      <c r="O433" t="s">
        <v>643</v>
      </c>
      <c r="R433" s="387"/>
      <c r="S433" s="387"/>
      <c r="T433" s="387"/>
      <c r="U433" s="387"/>
      <c r="V433" s="387"/>
      <c r="W433" s="387"/>
      <c r="X433" s="387"/>
      <c r="AQ433" s="110"/>
      <c r="BZ433" t="s">
        <v>626</v>
      </c>
      <c r="CA433" s="112"/>
      <c r="CE433" t="s">
        <v>204</v>
      </c>
      <c r="CG433" s="122"/>
      <c r="CV433" s="388"/>
    </row>
    <row r="434" spans="1:100" s="376" customFormat="1" ht="30" customHeight="1">
      <c r="A434" s="472"/>
      <c r="B434" s="473"/>
      <c r="C434" s="473"/>
      <c r="D434" s="473"/>
      <c r="E434" s="474"/>
      <c r="F434" s="473"/>
      <c r="G434" s="473"/>
      <c r="H434" s="421"/>
      <c r="I434" s="421"/>
      <c r="J434" s="422"/>
      <c r="K434" s="475"/>
      <c r="L434" s="475"/>
      <c r="R434" s="387"/>
      <c r="S434" s="387"/>
      <c r="T434" s="387"/>
      <c r="U434" s="387"/>
      <c r="V434" s="387"/>
      <c r="W434" s="387"/>
      <c r="X434" s="387"/>
      <c r="AQ434" s="476"/>
      <c r="BZ434" t="s">
        <v>626</v>
      </c>
      <c r="CA434" s="112"/>
      <c r="CB434"/>
      <c r="CC434"/>
      <c r="CD434"/>
      <c r="CE434" t="s">
        <v>204</v>
      </c>
      <c r="CF434"/>
      <c r="CG434" s="122"/>
    </row>
    <row r="435" spans="1:100" customFormat="1" ht="30" customHeight="1">
      <c r="A435" s="112" t="str">
        <f>IF($C$13=1,IF(K435="报价行",IF(F435&gt;0,1," ")," ")," ")</f>
        <v xml:space="preserve"> </v>
      </c>
      <c r="B435" s="414" t="str">
        <f>IF(A435=1,SUM($A$11:A435),"悬臂-臂")</f>
        <v>悬臂-臂</v>
      </c>
      <c r="C435" s="415" t="str">
        <f>A436&amp;IF(C442=1,CHAR(10)&amp;A437," ")</f>
        <v xml:space="preserve">Arm </v>
      </c>
      <c r="D435" s="645">
        <v>1400</v>
      </c>
      <c r="E435" s="665" t="str">
        <f>C436</f>
        <v>MC180(50)*100*3.5t</v>
      </c>
      <c r="F435" s="460">
        <v>726</v>
      </c>
      <c r="G435" s="419">
        <f>SUM(Q436*P436,Q441*P441,P437*Q437,P438*Q438,P439*Q439,P440*Q440)</f>
        <v>18.726553850000002</v>
      </c>
      <c r="H435" s="420">
        <f>SUM(H436:H442)</f>
        <v>126.89252116952034</v>
      </c>
      <c r="I435" s="421" t="s">
        <v>341</v>
      </c>
      <c r="J435" s="422"/>
      <c r="K435" s="423" t="s">
        <v>217</v>
      </c>
      <c r="L435" s="54"/>
      <c r="M435" t="s">
        <v>608</v>
      </c>
      <c r="O435" t="s">
        <v>646</v>
      </c>
      <c r="P435" t="s">
        <v>610</v>
      </c>
      <c r="Q435" t="s">
        <v>611</v>
      </c>
      <c r="R435" s="387" t="s">
        <v>612</v>
      </c>
      <c r="S435" s="387" t="s">
        <v>613</v>
      </c>
      <c r="T435" s="387" t="s">
        <v>614</v>
      </c>
      <c r="U435" s="387" t="s">
        <v>615</v>
      </c>
      <c r="V435" s="387" t="str">
        <f>U435&amp;"数量"</f>
        <v>配件1数量</v>
      </c>
      <c r="W435" s="387" t="str">
        <f>U435&amp;"单价"</f>
        <v>配件1单价</v>
      </c>
      <c r="X435" s="387" t="str">
        <f>U435&amp;"总价"</f>
        <v>配件1总价</v>
      </c>
      <c r="Y435" t="str">
        <f>U435&amp;"单重"</f>
        <v>配件1单重</v>
      </c>
      <c r="Z435" t="str">
        <f>U435&amp;"总重量"</f>
        <v>配件1总重量</v>
      </c>
      <c r="AA435" t="s">
        <v>616</v>
      </c>
      <c r="AB435" t="str">
        <f>AA435&amp;"数量"</f>
        <v>配件2数量</v>
      </c>
      <c r="AC435" t="str">
        <f>AA435&amp;"单价"</f>
        <v>配件2单价</v>
      </c>
      <c r="AD435" t="str">
        <f>AA435&amp;"总价"</f>
        <v>配件2总价</v>
      </c>
      <c r="AE435" t="str">
        <f>AA435&amp;"单重"</f>
        <v>配件2单重</v>
      </c>
      <c r="AF435" t="str">
        <f>AA435&amp;"总重量"</f>
        <v>配件2总重量</v>
      </c>
      <c r="AG435" t="s">
        <v>617</v>
      </c>
      <c r="AH435" t="str">
        <f>AG435&amp;"数量"</f>
        <v>配件3数量</v>
      </c>
      <c r="AI435" t="str">
        <f>AG435&amp;"单价"</f>
        <v>配件3单价</v>
      </c>
      <c r="AJ435" t="str">
        <f>AG435&amp;"总价"</f>
        <v>配件3总价</v>
      </c>
      <c r="AK435" t="str">
        <f>AG435&amp;"单重"</f>
        <v>配件3单重</v>
      </c>
      <c r="AL435" t="str">
        <f>AG435&amp;"总重量"</f>
        <v>配件3总重量</v>
      </c>
      <c r="AQ435" s="110"/>
      <c r="AX435" t="str">
        <f>E435</f>
        <v>MC180(50)*100*3.5t</v>
      </c>
      <c r="AY435" s="494">
        <f>D435</f>
        <v>1400</v>
      </c>
      <c r="AZ435">
        <f>F435</f>
        <v>726</v>
      </c>
      <c r="BA435" s="256">
        <f>G435</f>
        <v>18.726553850000002</v>
      </c>
      <c r="BB435">
        <f>AZ435*BA435</f>
        <v>13595.478095100001</v>
      </c>
      <c r="BC435" s="495"/>
      <c r="BR435" t="str">
        <f>I435</f>
        <v>Orange Ral2004</v>
      </c>
      <c r="BZ435" t="s">
        <v>646</v>
      </c>
      <c r="CA435" s="112"/>
      <c r="CE435" t="s">
        <v>204</v>
      </c>
      <c r="CG435" s="122"/>
      <c r="CV435" s="388"/>
    </row>
    <row r="436" spans="1:100" customFormat="1" ht="30" customHeight="1" outlineLevel="1">
      <c r="A436" s="623" t="s">
        <v>647</v>
      </c>
      <c r="B436" s="418" t="s">
        <v>648</v>
      </c>
      <c r="C436" s="460" t="s">
        <v>649</v>
      </c>
      <c r="D436" s="418">
        <f>IFERROR(IF(G436="预镀锌",VLOOKUP(C436,常规材料表!$1:$1048576,5,0),VLOOKUP(C436,常规材料表!$1:$1048576,10,0)),0)</f>
        <v>5.33</v>
      </c>
      <c r="E436" s="418">
        <f>IFERROR(IF(G436="喷塑",1,0)*VLOOKUP(C436,常规材料表!$1:$1048576,12,0)+IF(G436="热镀锌",1,0)*VLOOKUP(C436,常规材料表!$1:$1048576,13,0)+IF(G436="冷镀锌",1,0)*VLOOKUP(C436,常规材料表!$1:$1048576,15,0),0)</f>
        <v>0.95</v>
      </c>
      <c r="F436" s="418">
        <f>IFERROR(VLOOKUP(C436,常规材料表!$1:$1048576,11,0)/Q436+E442,0)</f>
        <v>0.5980750445722961</v>
      </c>
      <c r="G436" s="514" t="s">
        <v>236</v>
      </c>
      <c r="H436" s="421">
        <f t="shared" ref="H436:H441" si="19">Q436*(D436+F436*1.13+E436+T436)/1.13*P436</f>
        <v>90.865129551902669</v>
      </c>
      <c r="I436" s="421">
        <f>F435*P436</f>
        <v>726</v>
      </c>
      <c r="J436" s="386">
        <v>84</v>
      </c>
      <c r="K436" s="54" t="s">
        <v>237</v>
      </c>
      <c r="L436" s="54"/>
      <c r="M436" s="418">
        <f>H435/G435</f>
        <v>6.7760743480050563</v>
      </c>
      <c r="O436" t="s">
        <v>646</v>
      </c>
      <c r="P436">
        <f>J436/J436</f>
        <v>1</v>
      </c>
      <c r="Q436" s="112">
        <f>IFERROR(VLOOKUP(C436,常规材料表!$1:$1048576,3,0)*(D435+12)/1000,0)</f>
        <v>14.761383350000001</v>
      </c>
      <c r="R436" s="386">
        <f>IFERROR(VLOOKUP(C436,常规材料表!$1:$1048576,4,0)*D435/1000,0)</f>
        <v>0</v>
      </c>
      <c r="S436" s="387">
        <f t="shared" ref="S436:S441" si="20">X436+AD436+AJ436</f>
        <v>0</v>
      </c>
      <c r="T436" s="387">
        <f t="shared" ref="T436:T441" si="21">S436/Q436</f>
        <v>0</v>
      </c>
      <c r="U436" s="387">
        <f>IFERROR(VLOOKUP(C436,常规材料表!$1:$1048576,17,0),0)</f>
        <v>0</v>
      </c>
      <c r="V436" s="387">
        <f>IFERROR(VLOOKUP(C436,常规材料表!$1:$1048576,18,0),0)</f>
        <v>0</v>
      </c>
      <c r="W436" s="387">
        <f>IFERROR(VLOOKUP(U436,常规材料表!$1:$1048576,5,0),0)*Y436</f>
        <v>0</v>
      </c>
      <c r="X436" s="387">
        <f t="shared" ref="X436:X441" si="22">W436*V436</f>
        <v>0</v>
      </c>
      <c r="Y436">
        <f>IFERROR(VLOOKUP(U436,常规材料表!$1:$1048576,3,0),0)</f>
        <v>0</v>
      </c>
      <c r="Z436">
        <f t="shared" ref="Z436:Z441" si="23">Y436*V436</f>
        <v>0</v>
      </c>
      <c r="AA436">
        <f>IFERROR(VLOOKUP(C436,常规材料表!$1:$1048576,19,0),0)</f>
        <v>0</v>
      </c>
      <c r="AB436">
        <f>IFERROR(VLOOKUP(C436,常规材料表!$1:$1048576,20,0),0)</f>
        <v>0</v>
      </c>
      <c r="AC436">
        <f>IFERROR(VLOOKUP(AA436,常规材料表!$1:$1048576,5,0),0)*AE436</f>
        <v>0</v>
      </c>
      <c r="AD436">
        <f t="shared" ref="AD436:AD441" si="24">AC436*AB436</f>
        <v>0</v>
      </c>
      <c r="AE436">
        <f>IFERROR(VLOOKUP(AA436,常规材料表!$1:$1048576,3,0),0)</f>
        <v>0</v>
      </c>
      <c r="AF436">
        <f t="shared" ref="AF436:AF441" si="25">AE436*AB436</f>
        <v>0</v>
      </c>
      <c r="AG436">
        <f>IFERROR(VLOOKUP(C436,常规材料表!$1:$1048576,21,0),0)</f>
        <v>0</v>
      </c>
      <c r="AH436">
        <f>IFERROR(VLOOKUP(C436,常规材料表!$1:$1048576,22,0),0)</f>
        <v>0</v>
      </c>
      <c r="AI436">
        <f>IFERROR(VLOOKUP(AG436,常规材料表!$1:$1048576,5,0),0)*AK436</f>
        <v>0</v>
      </c>
      <c r="AJ436">
        <f t="shared" ref="AJ436:AJ441" si="26">AI436*AH436</f>
        <v>0</v>
      </c>
      <c r="AK436">
        <f>IFERROR(VLOOKUP(AG436,常规材料表!$1:$1048576,3,0),0)</f>
        <v>0</v>
      </c>
      <c r="AL436">
        <f t="shared" ref="AL436:AL441" si="27">AK436*AH436</f>
        <v>0</v>
      </c>
      <c r="AQ436" s="110"/>
      <c r="AX436" t="s">
        <v>156</v>
      </c>
      <c r="AY436" t="s">
        <v>246</v>
      </c>
      <c r="AZ436" t="s">
        <v>102</v>
      </c>
      <c r="BA436" t="s">
        <v>158</v>
      </c>
      <c r="BB436" t="s">
        <v>247</v>
      </c>
      <c r="BC436" t="s">
        <v>248</v>
      </c>
      <c r="BD436" t="s">
        <v>249</v>
      </c>
      <c r="BE436" t="s">
        <v>250</v>
      </c>
      <c r="BF436" t="s">
        <v>251</v>
      </c>
      <c r="BZ436" t="s">
        <v>646</v>
      </c>
      <c r="CA436" s="112"/>
      <c r="CE436" t="s">
        <v>204</v>
      </c>
      <c r="CG436" s="122"/>
      <c r="CV436" s="388"/>
    </row>
    <row r="437" spans="1:100" customFormat="1" ht="30" customHeight="1" outlineLevel="1">
      <c r="A437" s="112" t="s">
        <v>650</v>
      </c>
      <c r="B437" s="418" t="s">
        <v>362</v>
      </c>
      <c r="C437" s="460" t="s">
        <v>651</v>
      </c>
      <c r="D437" s="418">
        <f>IFERROR(IF(G437="预镀锌",VLOOKUP(C437,常规材料表!$1:$1048576,5,0),VLOOKUP(C437,常规材料表!$1:$1048576,10,0)),0)</f>
        <v>6.6889632107023402</v>
      </c>
      <c r="E437" s="418">
        <f>IFERROR(IF(G437="喷塑",1,0)*VLOOKUP(C437,常规材料表!$1:$1048576,12,0)+IF(G437="热镀锌",1,0)*VLOOKUP(C437,常规材料表!$1:$1048576,13,0)+IF(G437="冷镀锌",1,0)*VLOOKUP(C437,常规材料表!$1:$1048576,15,0),0)</f>
        <v>0.95</v>
      </c>
      <c r="F437" s="418">
        <f>IFERROR(VLOOKUP(C437,常规材料表!$1:$1048576,11,0)/Q437+E442,0)</f>
        <v>0.3</v>
      </c>
      <c r="G437" s="514" t="str">
        <f>G436</f>
        <v>喷塑</v>
      </c>
      <c r="H437" s="421">
        <f t="shared" si="19"/>
        <v>25.398227229407759</v>
      </c>
      <c r="I437" s="421">
        <f>F435*P437</f>
        <v>726</v>
      </c>
      <c r="J437" s="386">
        <v>84</v>
      </c>
      <c r="K437" s="54" t="s">
        <v>237</v>
      </c>
      <c r="L437" s="54"/>
      <c r="O437" t="s">
        <v>646</v>
      </c>
      <c r="P437">
        <f>J437/J436</f>
        <v>1</v>
      </c>
      <c r="Q437" s="112">
        <f>IFERROR(VLOOKUP(C437,[1]常规材料表!$1:$1048576,3,0)+Z437+AF437,0)</f>
        <v>3.4039999999999999</v>
      </c>
      <c r="R437" s="386">
        <f>IFERROR(VLOOKUP(C437,常规材料表!$1:$1048576,4,0),0)</f>
        <v>0.152</v>
      </c>
      <c r="S437" s="387">
        <f t="shared" si="20"/>
        <v>1.54301</v>
      </c>
      <c r="T437" s="387">
        <f t="shared" si="21"/>
        <v>0.45329318448883665</v>
      </c>
      <c r="U437" s="387" t="str">
        <f>IFERROR(VLOOKUP(C437,常规材料表!$1:$1048576,17,0),0)</f>
        <v>ø20*120  8.8G</v>
      </c>
      <c r="V437" s="387">
        <f>IFERROR(VLOOKUP(C437,常规材料表!$1:$1048576,18,0),0)</f>
        <v>1</v>
      </c>
      <c r="W437" s="387">
        <f>IFERROR(VLOOKUP(U437,常规材料表!$1:$1048576,5,0),0)*Y437</f>
        <v>3.85</v>
      </c>
      <c r="X437" s="387">
        <f>W437*Z437</f>
        <v>1.54</v>
      </c>
      <c r="Y437">
        <f>IFERROR(VLOOKUP(U437,常规材料表!$1:$1048576,3,0),0)</f>
        <v>0.4</v>
      </c>
      <c r="Z437">
        <f t="shared" si="23"/>
        <v>0.4</v>
      </c>
      <c r="AA437" t="str">
        <f>IFERROR(VLOOKUP(C437,常规材料表!$1:$1048576,19,0),0)</f>
        <v>ø3.5*76</v>
      </c>
      <c r="AB437">
        <f>IFERROR(VLOOKUP(C437,常规材料表!$1:$1048576,20,0),0)</f>
        <v>1</v>
      </c>
      <c r="AC437">
        <f>IFERROR(VLOOKUP(AA437,常规材料表!$1:$1048576,5,0),0)*AE437</f>
        <v>0.21500000000000061</v>
      </c>
      <c r="AD437">
        <f>AC437*AF437</f>
        <v>3.0100000000000088E-3</v>
      </c>
      <c r="AE437">
        <f>IFERROR(VLOOKUP(AA437,常规材料表!$1:$1048576,3,0),0)</f>
        <v>1.4E-2</v>
      </c>
      <c r="AF437">
        <f t="shared" si="25"/>
        <v>1.4E-2</v>
      </c>
      <c r="AG437">
        <f>IFERROR(VLOOKUP(C437,常规材料表!$1:$1048576,21,0),0)</f>
        <v>0</v>
      </c>
      <c r="AH437">
        <f>IFERROR(VLOOKUP(C437,常规材料表!$1:$1048576,22,0),0)</f>
        <v>0</v>
      </c>
      <c r="AI437">
        <f>IFERROR(VLOOKUP(AG437,常规材料表!$1:$1048576,5,0),0)*AK437</f>
        <v>0</v>
      </c>
      <c r="AJ437">
        <f t="shared" si="26"/>
        <v>0</v>
      </c>
      <c r="AK437">
        <f>IFERROR(VLOOKUP(AG437,常规材料表!$1:$1048576,3,0),0)</f>
        <v>0</v>
      </c>
      <c r="AL437">
        <f t="shared" si="27"/>
        <v>0</v>
      </c>
      <c r="AQ437" s="110"/>
      <c r="BZ437" t="s">
        <v>646</v>
      </c>
      <c r="CA437" s="112"/>
      <c r="CE437" t="s">
        <v>204</v>
      </c>
      <c r="CG437" s="122"/>
      <c r="CV437" s="388"/>
    </row>
    <row r="438" spans="1:100" customFormat="1" ht="30" customHeight="1" outlineLevel="1">
      <c r="A438" s="112"/>
      <c r="B438" s="418" t="s">
        <v>652</v>
      </c>
      <c r="C438" s="460" t="s">
        <v>653</v>
      </c>
      <c r="D438" s="418">
        <f>IFERROR(IF(G438="预镀锌",VLOOKUP(C438,常规材料表!$1:$1048576,5,0),VLOOKUP(C438,常规材料表!$1:$1048576,10,0)),0)</f>
        <v>6.5</v>
      </c>
      <c r="E438" s="418">
        <f>IFERROR(IF(G438="喷塑",1,0)*VLOOKUP(C438,常规材料表!$1:$1048576,12,0)+IF(G438="热镀锌",1,0)*VLOOKUP(C438,常规材料表!$1:$1048576,13,0)+IF(G438="冷镀锌",1,0)*VLOOKUP(C438,常规材料表!$1:$1048576,15,0),0)</f>
        <v>0.95</v>
      </c>
      <c r="F438" s="418">
        <f>IFERROR(VLOOKUP(C438,常规材料表!$1:$1048576,11,0)/Q438+E442,0)</f>
        <v>0.3</v>
      </c>
      <c r="G438" s="514" t="str">
        <f>G436</f>
        <v>喷塑</v>
      </c>
      <c r="H438" s="421">
        <f t="shared" si="19"/>
        <v>2.1173017915929209</v>
      </c>
      <c r="I438" s="421">
        <f>F435*P438</f>
        <v>726</v>
      </c>
      <c r="J438" s="386">
        <v>84</v>
      </c>
      <c r="K438" s="54" t="s">
        <v>237</v>
      </c>
      <c r="L438" s="54"/>
      <c r="O438" t="s">
        <v>646</v>
      </c>
      <c r="P438">
        <f>J438/J436</f>
        <v>1</v>
      </c>
      <c r="Q438" s="112">
        <f>IFERROR(VLOOKUP(C438,常规材料表!$1:$1048576,3,0),0)</f>
        <v>0.30717050000000001</v>
      </c>
      <c r="R438" s="386">
        <f>IFERROR(VLOOKUP(C438,常规材料表!$1:$1048576,4,0),0)</f>
        <v>0</v>
      </c>
      <c r="S438" s="387">
        <f t="shared" si="20"/>
        <v>0</v>
      </c>
      <c r="T438" s="387">
        <f t="shared" si="21"/>
        <v>0</v>
      </c>
      <c r="U438" s="387">
        <f>IFERROR(VLOOKUP(C438,常规材料表!$1:$1048576,17,0),0)</f>
        <v>0</v>
      </c>
      <c r="V438" s="387">
        <f>IFERROR(VLOOKUP(C438,常规材料表!$1:$1048576,18,0),0)</f>
        <v>0</v>
      </c>
      <c r="W438" s="387">
        <f>IFERROR(VLOOKUP(U438,常规材料表!$1:$1048576,5,0),0)*Y438</f>
        <v>0</v>
      </c>
      <c r="X438" s="387">
        <f t="shared" si="22"/>
        <v>0</v>
      </c>
      <c r="Y438">
        <f>IFERROR(VLOOKUP(U438,常规材料表!$1:$1048576,3,0),0)</f>
        <v>0</v>
      </c>
      <c r="Z438">
        <f t="shared" si="23"/>
        <v>0</v>
      </c>
      <c r="AA438">
        <f>IFERROR(VLOOKUP(C438,常规材料表!$1:$1048576,19,0),0)</f>
        <v>0</v>
      </c>
      <c r="AB438">
        <f>IFERROR(VLOOKUP(C438,常规材料表!$1:$1048576,20,0),0)</f>
        <v>0</v>
      </c>
      <c r="AC438">
        <f>IFERROR(VLOOKUP(AA438,常规材料表!$1:$1048576,5,0),0)*AE438</f>
        <v>0</v>
      </c>
      <c r="AD438">
        <f t="shared" si="24"/>
        <v>0</v>
      </c>
      <c r="AE438">
        <f>IFERROR(VLOOKUP(AA438,常规材料表!$1:$1048576,3,0),0)</f>
        <v>0</v>
      </c>
      <c r="AF438">
        <f t="shared" si="25"/>
        <v>0</v>
      </c>
      <c r="AG438">
        <f>IFERROR(VLOOKUP(C438,常规材料表!$1:$1048576,21,0),0)</f>
        <v>0</v>
      </c>
      <c r="AH438">
        <f>IFERROR(VLOOKUP(C438,常规材料表!$1:$1048576,22,0),0)</f>
        <v>0</v>
      </c>
      <c r="AI438">
        <f>IFERROR(VLOOKUP(AG438,常规材料表!$1:$1048576,5,0),0)*AK438</f>
        <v>0</v>
      </c>
      <c r="AJ438">
        <f t="shared" si="26"/>
        <v>0</v>
      </c>
      <c r="AK438">
        <f>IFERROR(VLOOKUP(AG438,常规材料表!$1:$1048576,3,0),0)</f>
        <v>0</v>
      </c>
      <c r="AL438">
        <f t="shared" si="27"/>
        <v>0</v>
      </c>
      <c r="AQ438" s="110"/>
      <c r="BZ438" t="s">
        <v>646</v>
      </c>
      <c r="CA438" s="112"/>
      <c r="CE438" t="s">
        <v>204</v>
      </c>
      <c r="CG438" s="122"/>
      <c r="CV438" s="388"/>
    </row>
    <row r="439" spans="1:100" customFormat="1" ht="30" customHeight="1" outlineLevel="1">
      <c r="A439" s="112"/>
      <c r="B439" s="418" t="s">
        <v>654</v>
      </c>
      <c r="C439" s="460" t="s">
        <v>655</v>
      </c>
      <c r="D439" s="418">
        <f>IFERROR(IF(G439="预镀锌",VLOOKUP(C439,常规材料表!$1:$1048576,5,0),VLOOKUP(C439,常规材料表!$1:$1048576,10,0)),0)</f>
        <v>6.5</v>
      </c>
      <c r="E439" s="418">
        <f>IFERROR(IF(G439="喷塑",1,0)*VLOOKUP(C439,常规材料表!$1:$1048576,12,0)+IF(G439="热镀锌",1,0)*VLOOKUP(C439,常规材料表!$1:$1048576,13,0)+IF(G439="冷镀锌",1,0)*VLOOKUP(C439,常规材料表!$1:$1048576,15,0),0)</f>
        <v>0.95</v>
      </c>
      <c r="F439" s="418">
        <f>IFERROR(VLOOKUP(C439,常规材料表!$1:$1048576,11,0)/Q439+E442,0)</f>
        <v>0.3</v>
      </c>
      <c r="G439" s="514" t="str">
        <f>G436</f>
        <v>喷塑</v>
      </c>
      <c r="H439" s="421">
        <f t="shared" si="19"/>
        <v>0</v>
      </c>
      <c r="I439" s="421">
        <f>F435*P439</f>
        <v>0</v>
      </c>
      <c r="J439" s="386"/>
      <c r="K439" s="54" t="s">
        <v>237</v>
      </c>
      <c r="L439" s="54"/>
      <c r="O439" t="s">
        <v>646</v>
      </c>
      <c r="P439">
        <f>J439/J436</f>
        <v>0</v>
      </c>
      <c r="Q439" s="112">
        <f>IFERROR(VLOOKUP(C439,常规材料表!$1:$1048576,3,0),0)</f>
        <v>0.2288589</v>
      </c>
      <c r="R439" s="386">
        <f>IFERROR(VLOOKUP(C439,常规材料表!$1:$1048576,4,0),0)</f>
        <v>9.4599999999999997E-3</v>
      </c>
      <c r="S439" s="387">
        <f t="shared" si="20"/>
        <v>0</v>
      </c>
      <c r="T439" s="387">
        <f t="shared" si="21"/>
        <v>0</v>
      </c>
      <c r="U439" s="387">
        <f>IFERROR(VLOOKUP(C439,常规材料表!$1:$1048576,17,0),0)</f>
        <v>0</v>
      </c>
      <c r="V439" s="387">
        <f>IFERROR(VLOOKUP(C439,常规材料表!$1:$1048576,18,0),0)</f>
        <v>0</v>
      </c>
      <c r="W439" s="387">
        <f>IFERROR(VLOOKUP(U439,常规材料表!$1:$1048576,5,0),0)*Y439</f>
        <v>0</v>
      </c>
      <c r="X439" s="387">
        <f t="shared" si="22"/>
        <v>0</v>
      </c>
      <c r="Y439">
        <f>IFERROR(VLOOKUP(U439,常规材料表!$1:$1048576,3,0),0)</f>
        <v>0</v>
      </c>
      <c r="Z439">
        <f t="shared" si="23"/>
        <v>0</v>
      </c>
      <c r="AA439">
        <f>IFERROR(VLOOKUP(C439,常规材料表!$1:$1048576,19,0),0)</f>
        <v>0</v>
      </c>
      <c r="AB439">
        <f>IFERROR(VLOOKUP(C439,常规材料表!$1:$1048576,20,0),0)</f>
        <v>0</v>
      </c>
      <c r="AC439">
        <f>IFERROR(VLOOKUP(AA439,常规材料表!$1:$1048576,5,0),0)*AE439</f>
        <v>0</v>
      </c>
      <c r="AD439">
        <f t="shared" si="24"/>
        <v>0</v>
      </c>
      <c r="AE439">
        <f>IFERROR(VLOOKUP(AA439,常规材料表!$1:$1048576,3,0),0)</f>
        <v>0</v>
      </c>
      <c r="AF439">
        <f t="shared" si="25"/>
        <v>0</v>
      </c>
      <c r="AG439">
        <f>IFERROR(VLOOKUP(C439,常规材料表!$1:$1048576,21,0),0)</f>
        <v>0</v>
      </c>
      <c r="AH439">
        <f>IFERROR(VLOOKUP(C439,常规材料表!$1:$1048576,22,0),0)</f>
        <v>0</v>
      </c>
      <c r="AI439">
        <f>IFERROR(VLOOKUP(AG439,常规材料表!$1:$1048576,5,0),0)*AK439</f>
        <v>0</v>
      </c>
      <c r="AJ439">
        <f t="shared" si="26"/>
        <v>0</v>
      </c>
      <c r="AK439">
        <f>IFERROR(VLOOKUP(AG439,常规材料表!$1:$1048576,3,0),0)</f>
        <v>0</v>
      </c>
      <c r="AL439">
        <f t="shared" si="27"/>
        <v>0</v>
      </c>
      <c r="AQ439" s="110"/>
      <c r="BZ439" t="s">
        <v>646</v>
      </c>
      <c r="CA439" s="112"/>
      <c r="CE439" t="s">
        <v>204</v>
      </c>
      <c r="CG439" s="122"/>
      <c r="CV439" s="388"/>
    </row>
    <row r="440" spans="1:100" customFormat="1" ht="30" customHeight="1" outlineLevel="1">
      <c r="A440" s="112"/>
      <c r="B440" s="418" t="s">
        <v>656</v>
      </c>
      <c r="C440" s="460" t="s">
        <v>657</v>
      </c>
      <c r="D440" s="418">
        <f>IFERROR(IF(G440="预镀锌",VLOOKUP(C440,常规材料表!$1:$1048576,5,0),VLOOKUP(C440,常规材料表!$1:$1048576,10,0)),0)</f>
        <v>8.25</v>
      </c>
      <c r="E440" s="418">
        <f>IFERROR(IF(G440="喷塑",1,0)*VLOOKUP(C440,常规材料表!$1:$1048576,12,0)+IF(G440="热镀锌",1,0)*VLOOKUP(C440,常规材料表!$1:$1048576,13,0)+IF(G440="冷镀锌",1,0)*VLOOKUP(C440,常规材料表!$1:$1048576,15,0),0)</f>
        <v>0.95</v>
      </c>
      <c r="F440" s="418">
        <f>IFERROR(VLOOKUP(C440,常规材料表!$1:$1048576,11,0)/Q440+E442,0)</f>
        <v>27.005122042407724</v>
      </c>
      <c r="G440" s="514" t="str">
        <f>G436</f>
        <v>喷塑</v>
      </c>
      <c r="H440" s="421">
        <f t="shared" si="19"/>
        <v>8.329771446174524</v>
      </c>
      <c r="I440" s="421">
        <f>F435*P440</f>
        <v>726</v>
      </c>
      <c r="J440" s="421">
        <f>J438</f>
        <v>84</v>
      </c>
      <c r="K440" s="54" t="s">
        <v>237</v>
      </c>
      <c r="L440" s="54"/>
      <c r="O440" t="s">
        <v>646</v>
      </c>
      <c r="P440">
        <f>J440/J436</f>
        <v>1</v>
      </c>
      <c r="Q440" s="112">
        <f>IFERROR(VLOOKUP(C440,常规材料表!$1:$1048576,3,0),0)</f>
        <v>0.23699999999999999</v>
      </c>
      <c r="R440" s="386">
        <f>IFERROR(VLOOKUP(C440,常规材料表!$1:$1048576,4,0),0)</f>
        <v>0</v>
      </c>
      <c r="S440" s="387">
        <f t="shared" si="20"/>
        <v>0</v>
      </c>
      <c r="T440" s="387">
        <f t="shared" si="21"/>
        <v>0</v>
      </c>
      <c r="U440" s="387">
        <f>IFERROR(VLOOKUP(C440,常规材料表!$1:$1048576,17,0),0)</f>
        <v>0</v>
      </c>
      <c r="V440" s="387">
        <f>IFERROR(VLOOKUP(C440,常规材料表!$1:$1048576,18,0),0)</f>
        <v>0</v>
      </c>
      <c r="W440" s="387">
        <f>IFERROR(VLOOKUP(U440,常规材料表!$1:$1048576,5,0),0)*Y440</f>
        <v>0</v>
      </c>
      <c r="X440" s="387">
        <f t="shared" si="22"/>
        <v>0</v>
      </c>
      <c r="Y440">
        <f>IFERROR(VLOOKUP(U440,常规材料表!$1:$1048576,3,0),0)</f>
        <v>0</v>
      </c>
      <c r="Z440">
        <f t="shared" si="23"/>
        <v>0</v>
      </c>
      <c r="AA440">
        <f>IFERROR(VLOOKUP(C440,常规材料表!$1:$1048576,19,0),0)</f>
        <v>0</v>
      </c>
      <c r="AB440">
        <f>IFERROR(VLOOKUP(C440,常规材料表!$1:$1048576,20,0),0)</f>
        <v>0</v>
      </c>
      <c r="AC440">
        <f>IFERROR(VLOOKUP(AA440,常规材料表!$1:$1048576,5,0),0)*AE440</f>
        <v>0</v>
      </c>
      <c r="AD440">
        <f t="shared" si="24"/>
        <v>0</v>
      </c>
      <c r="AE440">
        <f>IFERROR(VLOOKUP(AA440,常规材料表!$1:$1048576,3,0),0)</f>
        <v>0</v>
      </c>
      <c r="AF440">
        <f t="shared" si="25"/>
        <v>0</v>
      </c>
      <c r="AG440">
        <f>IFERROR(VLOOKUP(C440,常规材料表!$1:$1048576,21,0),0)</f>
        <v>0</v>
      </c>
      <c r="AH440">
        <f>IFERROR(VLOOKUP(C440,常规材料表!$1:$1048576,22,0),0)</f>
        <v>0</v>
      </c>
      <c r="AI440">
        <f>IFERROR(VLOOKUP(AG440,常规材料表!$1:$1048576,5,0),0)*AK440</f>
        <v>0</v>
      </c>
      <c r="AJ440">
        <f t="shared" si="26"/>
        <v>0</v>
      </c>
      <c r="AK440">
        <f>IFERROR(VLOOKUP(AG440,常规材料表!$1:$1048576,3,0),0)</f>
        <v>0</v>
      </c>
      <c r="AL440">
        <f t="shared" si="27"/>
        <v>0</v>
      </c>
      <c r="AQ440" s="110"/>
      <c r="BZ440" t="s">
        <v>646</v>
      </c>
      <c r="CA440" s="112"/>
      <c r="CE440" t="s">
        <v>204</v>
      </c>
      <c r="CG440" s="122"/>
      <c r="CV440" s="388"/>
    </row>
    <row r="441" spans="1:100" customFormat="1" ht="30" customHeight="1" outlineLevel="1">
      <c r="A441" s="112"/>
      <c r="B441" s="418" t="s">
        <v>658</v>
      </c>
      <c r="C441" s="460" t="s">
        <v>659</v>
      </c>
      <c r="D441" s="418">
        <f>IFERROR(VLOOKUP(C441,常规材料表!$1:$1048576,5,0),0)</f>
        <v>11.764705882352899</v>
      </c>
      <c r="E441" s="418">
        <f>IFERROR(IF(G441="喷塑",1,0)*VLOOKUP(C441,常规材料表!$1:$1048576,12,0)+IF(G441="热镀锌",1,0)*VLOOKUP(C441,常规材料表!$1:$1048576,13,0)+IF(G441="冷镀锌",1,0)*VLOOKUP(C441,常规材料表!$1:$1048576,15,0),0)</f>
        <v>0</v>
      </c>
      <c r="F441" s="418">
        <f>IFERROR(VLOOKUP(C441,常规材料表!$1:$1048576,11,0)/Q441+E442,0)</f>
        <v>0.3</v>
      </c>
      <c r="G441" s="514" t="str">
        <f>G436</f>
        <v>喷塑</v>
      </c>
      <c r="H441" s="421">
        <f t="shared" si="19"/>
        <v>0.18209115044247728</v>
      </c>
      <c r="I441" s="421">
        <f>F435*P441</f>
        <v>726</v>
      </c>
      <c r="J441" s="421">
        <f>J438</f>
        <v>84</v>
      </c>
      <c r="K441" s="54" t="s">
        <v>237</v>
      </c>
      <c r="L441" s="54"/>
      <c r="O441" t="s">
        <v>646</v>
      </c>
      <c r="P441">
        <f>J441/J436</f>
        <v>1</v>
      </c>
      <c r="Q441" s="112">
        <f>IFERROR(VLOOKUP(C441,常规材料表!$1:$1048576,3,0),0)</f>
        <v>1.7000000000000001E-2</v>
      </c>
      <c r="R441" s="386">
        <f>IFERROR(VLOOKUP(C441,常规材料表!$1:$1048576,4,0),0)</f>
        <v>0</v>
      </c>
      <c r="S441" s="387">
        <f t="shared" si="20"/>
        <v>0</v>
      </c>
      <c r="T441" s="387">
        <f t="shared" si="21"/>
        <v>0</v>
      </c>
      <c r="U441" s="387">
        <f>IFERROR(VLOOKUP(C441,常规材料表!$1:$1048576,17,0),0)</f>
        <v>0</v>
      </c>
      <c r="V441" s="387">
        <f>IFERROR(VLOOKUP(C441,常规材料表!$1:$1048576,18,0),0)</f>
        <v>0</v>
      </c>
      <c r="W441" s="387">
        <f>IFERROR(VLOOKUP(U441,常规材料表!$1:$1048576,5,0),0)*Y441</f>
        <v>0</v>
      </c>
      <c r="X441" s="387">
        <f t="shared" si="22"/>
        <v>0</v>
      </c>
      <c r="Y441">
        <f>IFERROR(VLOOKUP(U441,常规材料表!$1:$1048576,3,0),0)</f>
        <v>0</v>
      </c>
      <c r="Z441">
        <f t="shared" si="23"/>
        <v>0</v>
      </c>
      <c r="AA441">
        <f>IFERROR(VLOOKUP(C441,常规材料表!$1:$1048576,19,0),0)</f>
        <v>0</v>
      </c>
      <c r="AB441">
        <f>IFERROR(VLOOKUP(C441,常规材料表!$1:$1048576,20,0),0)</f>
        <v>0</v>
      </c>
      <c r="AC441">
        <f>IFERROR(VLOOKUP(AA441,常规材料表!$1:$1048576,5,0),0)*AE441</f>
        <v>0</v>
      </c>
      <c r="AD441">
        <f t="shared" si="24"/>
        <v>0</v>
      </c>
      <c r="AE441">
        <f>IFERROR(VLOOKUP(AA441,常规材料表!$1:$1048576,3,0),0)</f>
        <v>0</v>
      </c>
      <c r="AF441">
        <f t="shared" si="25"/>
        <v>0</v>
      </c>
      <c r="AG441">
        <f>IFERROR(VLOOKUP(C441,常规材料表!$1:$1048576,21,0),0)</f>
        <v>0</v>
      </c>
      <c r="AH441">
        <f>IFERROR(VLOOKUP(C441,常规材料表!$1:$1048576,22,0),0)</f>
        <v>0</v>
      </c>
      <c r="AI441">
        <f>IFERROR(VLOOKUP(AG441,常规材料表!$1:$1048576,5,0),0)*AK441</f>
        <v>0</v>
      </c>
      <c r="AJ441">
        <f t="shared" si="26"/>
        <v>0</v>
      </c>
      <c r="AK441">
        <f>IFERROR(VLOOKUP(AG441,常规材料表!$1:$1048576,3,0),0)</f>
        <v>0</v>
      </c>
      <c r="AL441">
        <f t="shared" si="27"/>
        <v>0</v>
      </c>
      <c r="AQ441" s="110"/>
      <c r="BZ441" t="s">
        <v>646</v>
      </c>
      <c r="CA441" s="112"/>
      <c r="CE441" t="s">
        <v>204</v>
      </c>
      <c r="CG441" s="122"/>
      <c r="CV441" s="388"/>
    </row>
    <row r="442" spans="1:100" customFormat="1" ht="30" customHeight="1" outlineLevel="1">
      <c r="A442" s="112"/>
      <c r="B442" s="414">
        <v>0</v>
      </c>
      <c r="C442" s="465">
        <f>报价辅助计算!$E$13</f>
        <v>0</v>
      </c>
      <c r="D442" s="418" t="s">
        <v>622</v>
      </c>
      <c r="E442" s="655">
        <v>0.3</v>
      </c>
      <c r="F442" s="561"/>
      <c r="G442" s="418"/>
      <c r="H442" s="421"/>
      <c r="I442" s="421" t="s">
        <v>102</v>
      </c>
      <c r="J442" s="421" t="s">
        <v>623</v>
      </c>
      <c r="K442" s="54" t="s">
        <v>237</v>
      </c>
      <c r="L442" s="54"/>
      <c r="O442" t="s">
        <v>646</v>
      </c>
      <c r="R442" s="387"/>
      <c r="S442" s="387"/>
      <c r="T442" s="387"/>
      <c r="U442" s="387"/>
      <c r="V442" s="387"/>
      <c r="W442" s="387"/>
      <c r="X442" s="387"/>
      <c r="AQ442" s="110"/>
      <c r="BZ442" t="s">
        <v>646</v>
      </c>
      <c r="CA442" s="112"/>
      <c r="CE442" t="s">
        <v>204</v>
      </c>
      <c r="CG442" s="122"/>
      <c r="CV442" s="388"/>
    </row>
    <row r="443" spans="1:100" s="376" customFormat="1" ht="30" customHeight="1">
      <c r="A443" s="472"/>
      <c r="B443" s="473"/>
      <c r="C443" s="473"/>
      <c r="D443" s="473"/>
      <c r="E443" s="474"/>
      <c r="F443" s="473"/>
      <c r="G443" s="473"/>
      <c r="H443" s="421"/>
      <c r="I443" s="421"/>
      <c r="J443" s="422"/>
      <c r="K443" s="475"/>
      <c r="L443" s="475"/>
      <c r="R443" s="387"/>
      <c r="S443" s="387"/>
      <c r="T443" s="387"/>
      <c r="U443" s="387"/>
      <c r="V443" s="387"/>
      <c r="W443" s="387"/>
      <c r="X443" s="387"/>
      <c r="AQ443" s="476"/>
      <c r="BZ443" t="s">
        <v>646</v>
      </c>
      <c r="CA443" s="112"/>
      <c r="CB443"/>
      <c r="CC443"/>
      <c r="CD443"/>
      <c r="CE443" t="s">
        <v>204</v>
      </c>
      <c r="CF443"/>
      <c r="CG443" s="122"/>
    </row>
    <row r="444" spans="1:100" customFormat="1" ht="30" customHeight="1">
      <c r="A444" s="112" t="str">
        <f>IF($C$13=1,IF(K444="报价行",IF(F444&gt;0,1," ")," ")," ")</f>
        <v xml:space="preserve"> </v>
      </c>
      <c r="B444" s="414" t="str">
        <f>IF(A444=1,SUM($A$11:A444),"悬臂背拉")</f>
        <v>悬臂背拉</v>
      </c>
      <c r="C444" s="415" t="str">
        <f>A445&amp;IF(C451=1,CHAR(10)&amp;A446," ")</f>
        <v xml:space="preserve">H Bracing kits+Bracket </v>
      </c>
      <c r="D444" s="624"/>
      <c r="E444" s="547" t="str">
        <f>C445</f>
        <v xml:space="preserve">L50×4.0t </v>
      </c>
      <c r="F444" s="460">
        <v>432</v>
      </c>
      <c r="G444" s="419">
        <f>SUM(Q445*P445,Q450*P450,P446*Q446,P447*Q447,P448*Q448,P449*Q449)</f>
        <v>3.9137400000000002</v>
      </c>
      <c r="H444" s="420">
        <f>SUM(H445:H451)</f>
        <v>21.402215982300888</v>
      </c>
      <c r="I444" s="421" t="s">
        <v>425</v>
      </c>
      <c r="J444" s="421">
        <v>1</v>
      </c>
      <c r="K444" s="423" t="s">
        <v>217</v>
      </c>
      <c r="L444" s="418" t="s">
        <v>660</v>
      </c>
      <c r="M444" t="s">
        <v>608</v>
      </c>
      <c r="O444" t="s">
        <v>661</v>
      </c>
      <c r="P444" t="s">
        <v>610</v>
      </c>
      <c r="Q444" t="s">
        <v>611</v>
      </c>
      <c r="R444" s="387" t="s">
        <v>612</v>
      </c>
      <c r="S444" s="387" t="s">
        <v>613</v>
      </c>
      <c r="T444" s="387" t="s">
        <v>614</v>
      </c>
      <c r="U444" s="387" t="s">
        <v>615</v>
      </c>
      <c r="V444" s="387" t="str">
        <f>U444&amp;"数量"</f>
        <v>配件1数量</v>
      </c>
      <c r="W444" s="387" t="str">
        <f>U444&amp;"单价"</f>
        <v>配件1单价</v>
      </c>
      <c r="X444" s="387" t="str">
        <f>U444&amp;"总价"</f>
        <v>配件1总价</v>
      </c>
      <c r="Y444" t="str">
        <f>U444&amp;"单重"</f>
        <v>配件1单重</v>
      </c>
      <c r="Z444" t="str">
        <f>U444&amp;"总重量"</f>
        <v>配件1总重量</v>
      </c>
      <c r="AA444" t="s">
        <v>616</v>
      </c>
      <c r="AB444" t="str">
        <f>AA444&amp;"数量"</f>
        <v>配件2数量</v>
      </c>
      <c r="AC444" t="str">
        <f>AA444&amp;"单价"</f>
        <v>配件2单价</v>
      </c>
      <c r="AD444" t="str">
        <f>AA444&amp;"总价"</f>
        <v>配件2总价</v>
      </c>
      <c r="AE444" t="str">
        <f>AA444&amp;"单重"</f>
        <v>配件2单重</v>
      </c>
      <c r="AF444" t="str">
        <f>AA444&amp;"总重量"</f>
        <v>配件2总重量</v>
      </c>
      <c r="AG444" t="s">
        <v>617</v>
      </c>
      <c r="AH444" t="str">
        <f>AG444&amp;"数量"</f>
        <v>配件3数量</v>
      </c>
      <c r="AI444" t="str">
        <f>AG444&amp;"单价"</f>
        <v>配件3单价</v>
      </c>
      <c r="AJ444" t="str">
        <f>AG444&amp;"总价"</f>
        <v>配件3总价</v>
      </c>
      <c r="AK444" t="str">
        <f>AG444&amp;"单重"</f>
        <v>配件3单重</v>
      </c>
      <c r="AL444" t="str">
        <f>AG444&amp;"总重量"</f>
        <v>配件3总重量</v>
      </c>
      <c r="AQ444" s="110"/>
      <c r="AX444" t="str">
        <f>E444</f>
        <v xml:space="preserve">L50×4.0t </v>
      </c>
      <c r="AY444" s="494">
        <f>D444</f>
        <v>0</v>
      </c>
      <c r="AZ444">
        <f>F444</f>
        <v>432</v>
      </c>
      <c r="BA444" s="256">
        <f>G444</f>
        <v>3.9137400000000002</v>
      </c>
      <c r="BB444">
        <f>AZ444*BA444</f>
        <v>1690.73568</v>
      </c>
      <c r="BC444" s="495"/>
      <c r="BR444" t="str">
        <f>I444</f>
        <v>Pre gal</v>
      </c>
      <c r="BZ444" t="s">
        <v>646</v>
      </c>
      <c r="CA444" s="112"/>
      <c r="CE444" t="s">
        <v>204</v>
      </c>
      <c r="CG444" s="122"/>
      <c r="CV444" s="388"/>
    </row>
    <row r="445" spans="1:100" customFormat="1" ht="30" customHeight="1" outlineLevel="1">
      <c r="A445" s="623" t="s">
        <v>662</v>
      </c>
      <c r="B445" s="418" t="s">
        <v>663</v>
      </c>
      <c r="C445" s="460" t="s">
        <v>664</v>
      </c>
      <c r="D445" s="418">
        <f>IFERROR(IF(G445="预镀锌",VLOOKUP(C445,常规材料表!$1:$1048576,5,0),VLOOKUP(C445,常规材料表!$1:$1048576,10,0)),0)</f>
        <v>4.13</v>
      </c>
      <c r="E445" s="418">
        <f>IFERROR(IF(G445="喷塑",1,0)*VLOOKUP(C445,常规材料表!$1:$1048576,12,0)+IF(G445="热镀锌",1,0)*VLOOKUP(C445,常规材料表!$1:$1048576,13,0)+IF(G445="冷镀锌",1,0)*VLOOKUP(C445,常规材料表!$1:$1048576,15,0),0)</f>
        <v>0</v>
      </c>
      <c r="F445" s="418">
        <f>IFERROR(VLOOKUP(C445,常规材料表!$1:$1048576,11,0)/Q445+E451,0)</f>
        <v>0.63380733975578651</v>
      </c>
      <c r="G445" s="514" t="s">
        <v>428</v>
      </c>
      <c r="H445" s="421">
        <f>Q445*(D445+F445*1.13+E445+T445)/1.13*P445</f>
        <v>12.847754035398232</v>
      </c>
      <c r="I445" s="421">
        <f>P445*F444</f>
        <v>432</v>
      </c>
      <c r="J445" s="421">
        <v>1</v>
      </c>
      <c r="K445" s="54" t="s">
        <v>237</v>
      </c>
      <c r="L445" s="667">
        <v>979</v>
      </c>
      <c r="M445" s="418">
        <f>H444/G444</f>
        <v>5.4684818057154763</v>
      </c>
      <c r="O445" t="s">
        <v>661</v>
      </c>
      <c r="P445">
        <f>J445/J444</f>
        <v>1</v>
      </c>
      <c r="Q445" s="112">
        <f>IFERROR(VLOOKUP(C445,常规材料表!$1:$1048576,3,0)*L445/1000,0)</f>
        <v>2.9957400000000001</v>
      </c>
      <c r="R445" s="386">
        <f>IFERROR(VLOOKUP(C445,常规材料表!$1:$1048576,4,0)*D444/1000,0)</f>
        <v>0</v>
      </c>
      <c r="S445" s="387">
        <f t="shared" ref="S445:S450" si="28">X445+AD445+AJ445</f>
        <v>0</v>
      </c>
      <c r="T445" s="387">
        <f t="shared" ref="T445:T450" si="29">S445/Q445</f>
        <v>0</v>
      </c>
      <c r="U445" s="387">
        <f>IFERROR(VLOOKUP(C445,常规材料表!$1:$1048576,17,0),0)</f>
        <v>0</v>
      </c>
      <c r="V445" s="387">
        <f>IFERROR(VLOOKUP(C445,常规材料表!$1:$1048576,18,0),0)</f>
        <v>0</v>
      </c>
      <c r="W445" s="387">
        <f>IFERROR(VLOOKUP(U445,常规材料表!$1:$1048576,5,0),0)*Y445</f>
        <v>0</v>
      </c>
      <c r="X445" s="387">
        <f t="shared" ref="X445:X450" si="30">W445*V445</f>
        <v>0</v>
      </c>
      <c r="Y445">
        <f>IFERROR(VLOOKUP(U445,常规材料表!$1:$1048576,3,0),0)</f>
        <v>0</v>
      </c>
      <c r="Z445">
        <f t="shared" ref="Z445:Z450" si="31">Y445*V445</f>
        <v>0</v>
      </c>
      <c r="AA445">
        <f>IFERROR(VLOOKUP(C445,常规材料表!$1:$1048576,19,0),0)</f>
        <v>0</v>
      </c>
      <c r="AB445">
        <f>IFERROR(VLOOKUP(C445,常规材料表!$1:$1048576,20,0),0)</f>
        <v>0</v>
      </c>
      <c r="AC445">
        <f>IFERROR(VLOOKUP(AA445,常规材料表!$1:$1048576,5,0),0)*AE445</f>
        <v>0</v>
      </c>
      <c r="AD445">
        <f t="shared" ref="AD445:AD450" si="32">AC445*AB445</f>
        <v>0</v>
      </c>
      <c r="AE445">
        <f>IFERROR(VLOOKUP(AA445,常规材料表!$1:$1048576,3,0),0)</f>
        <v>0</v>
      </c>
      <c r="AF445">
        <f t="shared" ref="AF445:AF450" si="33">AE445*AB445</f>
        <v>0</v>
      </c>
      <c r="AG445">
        <f>IFERROR(VLOOKUP(C445,常规材料表!$1:$1048576,21,0),0)</f>
        <v>0</v>
      </c>
      <c r="AH445">
        <f>IFERROR(VLOOKUP(C445,常规材料表!$1:$1048576,22,0),0)</f>
        <v>0</v>
      </c>
      <c r="AI445">
        <f>IFERROR(VLOOKUP(AG445,常规材料表!$1:$1048576,5,0),0)</f>
        <v>0</v>
      </c>
      <c r="AJ445">
        <f t="shared" ref="AJ445:AJ450" si="34">AI445*AH445</f>
        <v>0</v>
      </c>
      <c r="AK445">
        <f>IFERROR(VLOOKUP(AG445,常规材料表!$1:$1048576,3,0),0)</f>
        <v>0</v>
      </c>
      <c r="AL445">
        <f t="shared" ref="AL445:AL450" si="35">AK445*AH445</f>
        <v>0</v>
      </c>
      <c r="AQ445" s="110"/>
      <c r="AX445" t="s">
        <v>156</v>
      </c>
      <c r="AY445" t="s">
        <v>246</v>
      </c>
      <c r="AZ445" t="s">
        <v>102</v>
      </c>
      <c r="BA445" t="s">
        <v>158</v>
      </c>
      <c r="BB445" t="s">
        <v>247</v>
      </c>
      <c r="BC445" t="s">
        <v>248</v>
      </c>
      <c r="BD445" t="s">
        <v>249</v>
      </c>
      <c r="BE445" t="s">
        <v>250</v>
      </c>
      <c r="BF445" t="s">
        <v>251</v>
      </c>
      <c r="BZ445" t="s">
        <v>646</v>
      </c>
      <c r="CA445" s="112"/>
      <c r="CE445" t="s">
        <v>204</v>
      </c>
      <c r="CG445" s="122"/>
      <c r="CV445" s="388"/>
    </row>
    <row r="446" spans="1:100" customFormat="1" ht="30" customHeight="1" outlineLevel="1">
      <c r="A446" s="112" t="s">
        <v>665</v>
      </c>
      <c r="B446" s="418" t="s">
        <v>666</v>
      </c>
      <c r="C446" s="460" t="s">
        <v>667</v>
      </c>
      <c r="D446" s="418">
        <f>IFERROR(IF(G446="预镀锌",VLOOKUP(C446,常规材料表!$1:$1048576,5,0),VLOOKUP(C446,常规材料表!$1:$1048576,10,0)),0)</f>
        <v>4.2300000000000004</v>
      </c>
      <c r="E446" s="418">
        <f>IFERROR(IF(G446="喷塑",1,0)*VLOOKUP(C446,常规材料表!$1:$1048576,12,0)+IF(G446="热镀锌",1,0)*VLOOKUP(C446,常规材料表!$1:$1048576,13,0)+IF(G446="冷镀锌",1,0)*VLOOKUP(C446,常规材料表!$1:$1048576,15,0),0)</f>
        <v>0</v>
      </c>
      <c r="F446" s="418">
        <f>IFERROR(VLOOKUP(C446,常规材料表!$1:$1048576,11,0)/Q446+E451,0)</f>
        <v>0.59746535718450222</v>
      </c>
      <c r="G446" s="514" t="str">
        <f>G445</f>
        <v>预镀锌</v>
      </c>
      <c r="H446" s="421">
        <f>Q446*(D446+F446*1.13+E446+T446)/1.13*P446</f>
        <v>0</v>
      </c>
      <c r="I446" s="421">
        <f>P446*F444</f>
        <v>0</v>
      </c>
      <c r="J446" s="421"/>
      <c r="K446" s="54" t="s">
        <v>237</v>
      </c>
      <c r="L446" s="667">
        <v>1388</v>
      </c>
      <c r="O446" t="s">
        <v>661</v>
      </c>
      <c r="P446">
        <f>J446/J444</f>
        <v>0</v>
      </c>
      <c r="Q446" s="112">
        <f>IFERROR(VLOOKUP(C446,常规材料表!$1:$1048576,3,0)*L446/1000,0)</f>
        <v>3.3617360000000005</v>
      </c>
      <c r="R446" s="386">
        <f>IFERROR(VLOOKUP(C446,常规材料表!$1:$1048576,4,0),0)</f>
        <v>0.16</v>
      </c>
      <c r="S446" s="387">
        <f t="shared" si="28"/>
        <v>0</v>
      </c>
      <c r="T446" s="387">
        <f t="shared" si="29"/>
        <v>0</v>
      </c>
      <c r="U446" s="387">
        <f>IFERROR(VLOOKUP(C446,常规材料表!$1:$1048576,17,0),0)</f>
        <v>0</v>
      </c>
      <c r="V446" s="387">
        <f>IFERROR(VLOOKUP(C446,常规材料表!$1:$1048576,18,0),0)</f>
        <v>0</v>
      </c>
      <c r="W446" s="387">
        <f>IFERROR(VLOOKUP(U446,常规材料表!$1:$1048576,5,0),0)</f>
        <v>0</v>
      </c>
      <c r="X446" s="387">
        <f t="shared" si="30"/>
        <v>0</v>
      </c>
      <c r="Y446">
        <f>IFERROR(VLOOKUP(U446,常规材料表!$1:$1048576,3,0),0)</f>
        <v>0</v>
      </c>
      <c r="Z446">
        <f t="shared" si="31"/>
        <v>0</v>
      </c>
      <c r="AA446">
        <f>IFERROR(VLOOKUP(C446,常规材料表!$1:$1048576,19,0),0)</f>
        <v>0</v>
      </c>
      <c r="AB446">
        <f>IFERROR(VLOOKUP(C446,常规材料表!$1:$1048576,20,0),0)</f>
        <v>0</v>
      </c>
      <c r="AC446">
        <f>IFERROR(VLOOKUP(AA446,常规材料表!$1:$1048576,5,0),0)</f>
        <v>0</v>
      </c>
      <c r="AD446">
        <f t="shared" si="32"/>
        <v>0</v>
      </c>
      <c r="AE446">
        <f>IFERROR(VLOOKUP(AA446,常规材料表!$1:$1048576,3,0),0)</f>
        <v>0</v>
      </c>
      <c r="AF446">
        <f t="shared" si="33"/>
        <v>0</v>
      </c>
      <c r="AG446">
        <f>IFERROR(VLOOKUP(C446,常规材料表!$1:$1048576,21,0),0)</f>
        <v>0</v>
      </c>
      <c r="AH446">
        <f>IFERROR(VLOOKUP(C446,常规材料表!$1:$1048576,22,0),0)</f>
        <v>0</v>
      </c>
      <c r="AI446">
        <f>IFERROR(VLOOKUP(AG446,常规材料表!$1:$1048576,5,0),0)</f>
        <v>0</v>
      </c>
      <c r="AJ446">
        <f t="shared" si="34"/>
        <v>0</v>
      </c>
      <c r="AK446">
        <f>IFERROR(VLOOKUP(AG446,常规材料表!$1:$1048576,3,0),0)</f>
        <v>0</v>
      </c>
      <c r="AL446">
        <f t="shared" si="35"/>
        <v>0</v>
      </c>
      <c r="AQ446" s="110"/>
      <c r="BZ446" t="s">
        <v>646</v>
      </c>
      <c r="CA446" s="112"/>
      <c r="CE446" t="s">
        <v>204</v>
      </c>
      <c r="CG446" s="122"/>
      <c r="CV446" s="388"/>
    </row>
    <row r="447" spans="1:100" customFormat="1" ht="30" customHeight="1" outlineLevel="1">
      <c r="A447" s="112"/>
      <c r="B447" s="418" t="s">
        <v>668</v>
      </c>
      <c r="C447" s="460" t="s">
        <v>669</v>
      </c>
      <c r="D447" s="418">
        <f>IFERROR(IF(G447="预镀锌",VLOOKUP(C447,常规材料表!$1:$1048576,5,0),VLOOKUP(C447,常规材料表!$1:$1048576,10,0)),0)</f>
        <v>4.13</v>
      </c>
      <c r="E447" s="418">
        <f>IFERROR(IF(G447="喷塑",1,0)*VLOOKUP(C447,常规材料表!$1:$1048576,12,0)+IF(G447="热镀锌",1,0)*VLOOKUP(C447,常规材料表!$1:$1048576,13,0)+IF(G447="冷镀锌",1,0)*VLOOKUP(C447,常规材料表!$1:$1048576,15,0),0)</f>
        <v>0</v>
      </c>
      <c r="F447" s="418">
        <f>IFERROR(VLOOKUP(C447,常规材料表!$1:$1048576,11,0)/Q447+E451,0)</f>
        <v>2.4786492374727667</v>
      </c>
      <c r="G447" s="514" t="str">
        <f>G445</f>
        <v>预镀锌</v>
      </c>
      <c r="H447" s="421">
        <f>Q447*(D447+F447*1.13+E447+T447)/1.13*P447</f>
        <v>8.5544619469026539</v>
      </c>
      <c r="I447" s="421">
        <f>I445*2</f>
        <v>864</v>
      </c>
      <c r="J447" s="421">
        <f>J445*2</f>
        <v>2</v>
      </c>
      <c r="K447" s="54" t="s">
        <v>237</v>
      </c>
      <c r="L447" s="54"/>
      <c r="O447" t="s">
        <v>661</v>
      </c>
      <c r="P447">
        <f>J447/J444</f>
        <v>2</v>
      </c>
      <c r="Q447" s="112">
        <f>IFERROR(VLOOKUP(C447,常规材料表!$1:$1048576,3,0),0)</f>
        <v>0.45900000000000002</v>
      </c>
      <c r="R447" s="386">
        <f>IFERROR(VLOOKUP(C447,常规材料表!$1:$1048576,4,0),0)</f>
        <v>4.4999999999999998E-2</v>
      </c>
      <c r="S447" s="387">
        <f t="shared" si="28"/>
        <v>1.6519999999999997</v>
      </c>
      <c r="T447" s="387">
        <f t="shared" si="29"/>
        <v>3.5991285403050099</v>
      </c>
      <c r="U447" s="387" t="str">
        <f>IFERROR(VLOOKUP(C447,常规材料表!$1:$1048576,17,0),0)</f>
        <v>M10*110  8.8G</v>
      </c>
      <c r="V447" s="387">
        <f>IFERROR(VLOOKUP(C447,常规材料表!$1:$1048576,18,0),0)</f>
        <v>2</v>
      </c>
      <c r="W447" s="387">
        <f>IFERROR(VLOOKUP(U447,常规材料表!$1:$1048576,5,0),0)</f>
        <v>7.875</v>
      </c>
      <c r="X447" s="387">
        <f>W447*Z447</f>
        <v>1.26</v>
      </c>
      <c r="Y447">
        <f>IFERROR(VLOOKUP(U447,常规材料表!$1:$1048576,3,0),0)</f>
        <v>0.08</v>
      </c>
      <c r="Z447">
        <f t="shared" si="31"/>
        <v>0.16</v>
      </c>
      <c r="AA447" t="str">
        <f>IFERROR(VLOOKUP(C447,常规材料表!$1:$1048576,19,0),0)</f>
        <v>M10.L20</v>
      </c>
      <c r="AB447">
        <f>IFERROR(VLOOKUP(C447,常规材料表!$1:$1048576,20,0),0)</f>
        <v>2</v>
      </c>
      <c r="AC447">
        <f>IFERROR(VLOOKUP(AA447,常规材料表!$1:$1048576,5,0),0)</f>
        <v>6.5333333333333297</v>
      </c>
      <c r="AD447">
        <f>AC447*AF447</f>
        <v>0.39199999999999974</v>
      </c>
      <c r="AE447">
        <f>IFERROR(VLOOKUP(AA447,常规材料表!$1:$1048576,3,0),0)</f>
        <v>0.03</v>
      </c>
      <c r="AF447">
        <f t="shared" si="33"/>
        <v>0.06</v>
      </c>
      <c r="AG447">
        <f>IFERROR(VLOOKUP(C447,常规材料表!$1:$1048576,21,0),0)</f>
        <v>0</v>
      </c>
      <c r="AH447">
        <f>IFERROR(VLOOKUP(C447,常规材料表!$1:$1048576,22,0),0)</f>
        <v>0</v>
      </c>
      <c r="AI447">
        <f>IFERROR(VLOOKUP(AG447,常规材料表!$1:$1048576,5,0),0)</f>
        <v>0</v>
      </c>
      <c r="AJ447">
        <f t="shared" si="34"/>
        <v>0</v>
      </c>
      <c r="AK447">
        <f>IFERROR(VLOOKUP(AG447,常规材料表!$1:$1048576,3,0),0)</f>
        <v>0</v>
      </c>
      <c r="AL447">
        <f t="shared" si="35"/>
        <v>0</v>
      </c>
      <c r="AQ447" s="110"/>
      <c r="BZ447" t="s">
        <v>646</v>
      </c>
      <c r="CA447" s="112"/>
      <c r="CE447" t="s">
        <v>204</v>
      </c>
      <c r="CG447" s="122"/>
      <c r="CV447" s="388"/>
    </row>
    <row r="448" spans="1:100" customFormat="1" ht="30" customHeight="1" outlineLevel="1">
      <c r="A448" s="112"/>
      <c r="B448" s="418"/>
      <c r="C448" s="418"/>
      <c r="D448" s="418">
        <f>IFERROR(IF(G448="预镀锌",VLOOKUP(C448,常规材料表!$1:$1048576,5,0),VLOOKUP(C448,常规材料表!$1:$1048576,10,0)),0)</f>
        <v>0</v>
      </c>
      <c r="E448" s="418">
        <f>IFERROR(IF(G448="喷塑",1,0)*VLOOKUP(C448,常规材料表!$1:$1048576,12,0)+IF(G448="热镀锌",1,0)*VLOOKUP(C448,常规材料表!$1:$1048576,13,0)+IF(G448="冷镀锌",1,0)*VLOOKUP(C448,常规材料表!$1:$1048576,15,0),0)</f>
        <v>0</v>
      </c>
      <c r="F448" s="418">
        <f>IFERROR(VLOOKUP(C448,常规材料表!$1:$1048576,11,0)/Q448+0.4,0)</f>
        <v>0</v>
      </c>
      <c r="G448" s="418"/>
      <c r="H448" s="421">
        <f>IFERROR(Q448*(D448+F448*1.13+E448+T448)/1.13*P448,0)</f>
        <v>0</v>
      </c>
      <c r="I448" s="421" t="s">
        <v>102</v>
      </c>
      <c r="J448" s="421" t="s">
        <v>623</v>
      </c>
      <c r="K448" s="54" t="s">
        <v>237</v>
      </c>
      <c r="L448" s="54"/>
      <c r="O448" t="s">
        <v>661</v>
      </c>
      <c r="Q448" s="112">
        <f>IFERROR(VLOOKUP(C448,常规材料表!$1:$1048576,3,0),0)</f>
        <v>0</v>
      </c>
      <c r="R448" s="386">
        <f>IFERROR(VLOOKUP(C448,常规材料表!$1:$1048576,4,0),0)</f>
        <v>0</v>
      </c>
      <c r="S448" s="387">
        <f t="shared" si="28"/>
        <v>0</v>
      </c>
      <c r="T448" s="387" t="e">
        <f t="shared" si="29"/>
        <v>#DIV/0!</v>
      </c>
      <c r="U448" s="387">
        <f>IFERROR(VLOOKUP(C448,常规材料表!$1:$1048576,17,0),0)</f>
        <v>0</v>
      </c>
      <c r="V448" s="387">
        <f>IFERROR(VLOOKUP(C448,常规材料表!$1:$1048576,18,0),0)</f>
        <v>0</v>
      </c>
      <c r="W448" s="387">
        <f>IFERROR(VLOOKUP(U448,常规材料表!$1:$1048576,5,0),0)</f>
        <v>0</v>
      </c>
      <c r="X448" s="387">
        <f t="shared" si="30"/>
        <v>0</v>
      </c>
      <c r="Y448">
        <f>IFERROR(VLOOKUP(U448,常规材料表!$1:$1048576,3,0),0)</f>
        <v>0</v>
      </c>
      <c r="Z448">
        <f t="shared" si="31"/>
        <v>0</v>
      </c>
      <c r="AA448">
        <f>IFERROR(VLOOKUP(C448,常规材料表!$1:$1048576,19,0),0)</f>
        <v>0</v>
      </c>
      <c r="AB448">
        <f>IFERROR(VLOOKUP(C448,常规材料表!$1:$1048576,20,0),0)</f>
        <v>0</v>
      </c>
      <c r="AC448">
        <f>IFERROR(VLOOKUP(AA448,常规材料表!$1:$1048576,5,0),0)</f>
        <v>0</v>
      </c>
      <c r="AD448">
        <f t="shared" si="32"/>
        <v>0</v>
      </c>
      <c r="AE448">
        <f>IFERROR(VLOOKUP(AA448,常规材料表!$1:$1048576,3,0),0)</f>
        <v>0</v>
      </c>
      <c r="AF448">
        <f t="shared" si="33"/>
        <v>0</v>
      </c>
      <c r="AG448">
        <f>IFERROR(VLOOKUP(C448,常规材料表!$1:$1048576,21,0),0)</f>
        <v>0</v>
      </c>
      <c r="AH448">
        <f>IFERROR(VLOOKUP(C448,常规材料表!$1:$1048576,22,0),0)</f>
        <v>0</v>
      </c>
      <c r="AI448">
        <f>IFERROR(VLOOKUP(AG448,常规材料表!$1:$1048576,5,0),0)</f>
        <v>0</v>
      </c>
      <c r="AJ448">
        <f t="shared" si="34"/>
        <v>0</v>
      </c>
      <c r="AK448">
        <f>IFERROR(VLOOKUP(AG448,常规材料表!$1:$1048576,3,0),0)</f>
        <v>0</v>
      </c>
      <c r="AL448">
        <f t="shared" si="35"/>
        <v>0</v>
      </c>
      <c r="AQ448" s="110"/>
      <c r="BZ448" t="s">
        <v>646</v>
      </c>
      <c r="CA448" s="112"/>
      <c r="CE448" t="s">
        <v>204</v>
      </c>
      <c r="CG448" s="122"/>
      <c r="CV448" s="388"/>
    </row>
    <row r="449" spans="1:100" customFormat="1" ht="30" customHeight="1" outlineLevel="1">
      <c r="A449" s="112"/>
      <c r="B449" s="418"/>
      <c r="C449" s="418"/>
      <c r="D449" s="418">
        <f>IFERROR(IF(G449="预镀锌",VLOOKUP(C449,常规材料表!$1:$1048576,5,0),VLOOKUP(C449,常规材料表!$1:$1048576,10,0)),0)</f>
        <v>0</v>
      </c>
      <c r="E449" s="418">
        <f>IFERROR(IF(G449="喷塑",1,0)*VLOOKUP(C449,常规材料表!$1:$1048576,12,0)+IF(G449="热镀锌",1,0)*VLOOKUP(C449,常规材料表!$1:$1048576,13,0)+IF(G449="冷镀锌",1,0)*VLOOKUP(C449,常规材料表!$1:$1048576,15,0),0)</f>
        <v>0</v>
      </c>
      <c r="F449" s="418">
        <f>IFERROR(VLOOKUP(C449,常规材料表!$1:$1048576,11,0)/Q449+0.4,0)</f>
        <v>0</v>
      </c>
      <c r="G449" s="418"/>
      <c r="H449" s="421">
        <f>IFERROR(Q449*(D449+F449*1.13+E449+T449)/1.13*P449,0)</f>
        <v>0</v>
      </c>
      <c r="I449" s="421"/>
      <c r="J449" s="422"/>
      <c r="K449" s="54" t="s">
        <v>237</v>
      </c>
      <c r="L449" s="54"/>
      <c r="O449" t="s">
        <v>661</v>
      </c>
      <c r="Q449" s="112">
        <f>IFERROR(VLOOKUP(C449,常规材料表!$1:$1048576,3,0),0)</f>
        <v>0</v>
      </c>
      <c r="R449" s="386">
        <f>IFERROR(VLOOKUP(C449,常规材料表!$1:$1048576,4,0),0)</f>
        <v>0</v>
      </c>
      <c r="S449" s="387">
        <f t="shared" si="28"/>
        <v>0</v>
      </c>
      <c r="T449" s="387" t="e">
        <f t="shared" si="29"/>
        <v>#DIV/0!</v>
      </c>
      <c r="U449" s="387">
        <f>IFERROR(VLOOKUP(C449,常规材料表!$1:$1048576,17,0),0)</f>
        <v>0</v>
      </c>
      <c r="V449" s="387">
        <f>IFERROR(VLOOKUP(C449,常规材料表!$1:$1048576,18,0),0)</f>
        <v>0</v>
      </c>
      <c r="W449" s="387">
        <f>IFERROR(VLOOKUP(U449,常规材料表!$1:$1048576,5,0),0)</f>
        <v>0</v>
      </c>
      <c r="X449" s="387">
        <f t="shared" si="30"/>
        <v>0</v>
      </c>
      <c r="Y449">
        <f>IFERROR(VLOOKUP(U449,常规材料表!$1:$1048576,3,0),0)</f>
        <v>0</v>
      </c>
      <c r="Z449">
        <f t="shared" si="31"/>
        <v>0</v>
      </c>
      <c r="AA449">
        <f>IFERROR(VLOOKUP(C449,常规材料表!$1:$1048576,19,0),0)</f>
        <v>0</v>
      </c>
      <c r="AB449">
        <f>IFERROR(VLOOKUP(C449,常规材料表!$1:$1048576,20,0),0)</f>
        <v>0</v>
      </c>
      <c r="AC449">
        <f>IFERROR(VLOOKUP(AA449,常规材料表!$1:$1048576,5,0),0)</f>
        <v>0</v>
      </c>
      <c r="AD449">
        <f t="shared" si="32"/>
        <v>0</v>
      </c>
      <c r="AE449">
        <f>IFERROR(VLOOKUP(AA449,常规材料表!$1:$1048576,3,0),0)</f>
        <v>0</v>
      </c>
      <c r="AF449">
        <f t="shared" si="33"/>
        <v>0</v>
      </c>
      <c r="AG449">
        <f>IFERROR(VLOOKUP(C449,常规材料表!$1:$1048576,21,0),0)</f>
        <v>0</v>
      </c>
      <c r="AH449">
        <f>IFERROR(VLOOKUP(C449,常规材料表!$1:$1048576,22,0),0)</f>
        <v>0</v>
      </c>
      <c r="AI449">
        <f>IFERROR(VLOOKUP(AG449,常规材料表!$1:$1048576,5,0),0)</f>
        <v>0</v>
      </c>
      <c r="AJ449">
        <f t="shared" si="34"/>
        <v>0</v>
      </c>
      <c r="AK449">
        <f>IFERROR(VLOOKUP(AG449,常规材料表!$1:$1048576,3,0),0)</f>
        <v>0</v>
      </c>
      <c r="AL449">
        <f t="shared" si="35"/>
        <v>0</v>
      </c>
      <c r="AQ449" s="110"/>
      <c r="BZ449" t="s">
        <v>646</v>
      </c>
      <c r="CA449" s="112"/>
      <c r="CE449" t="s">
        <v>204</v>
      </c>
      <c r="CG449" s="122"/>
      <c r="CV449" s="388"/>
    </row>
    <row r="450" spans="1:100" customFormat="1" ht="30" customHeight="1" outlineLevel="1">
      <c r="A450" s="112"/>
      <c r="B450" s="418"/>
      <c r="C450" s="418"/>
      <c r="D450" s="418">
        <f>IFERROR(VLOOKUP(C450,常规材料表!$1:$1048576,5,0),0)</f>
        <v>0</v>
      </c>
      <c r="E450" s="418">
        <f>IFERROR(IF(G450="喷塑",1,0)*VLOOKUP(C450,常规材料表!$1:$1048576,12,0)+IF(G450="热镀锌",1,0)*VLOOKUP(C450,常规材料表!$1:$1048576,13,0)+IF(G450="冷镀锌",1,0)*VLOOKUP(C450,常规材料表!$1:$1048576,15,0),0)</f>
        <v>0</v>
      </c>
      <c r="F450" s="418">
        <f>IFERROR(VLOOKUP(C450,常规材料表!$1:$1048576,11,0)/Q450+0.4,0)</f>
        <v>0</v>
      </c>
      <c r="G450" s="418"/>
      <c r="H450" s="421">
        <f>IFERROR(Q450*(D450+F450*1.13+E450+T450)/1.13*P450,0)</f>
        <v>0</v>
      </c>
      <c r="I450" s="421"/>
      <c r="J450" s="422"/>
      <c r="K450" s="54" t="s">
        <v>237</v>
      </c>
      <c r="L450" s="54"/>
      <c r="O450" t="s">
        <v>661</v>
      </c>
      <c r="Q450" s="112">
        <f>IFERROR(VLOOKUP(C450,常规材料表!$1:$1048576,3,0),0)</f>
        <v>0</v>
      </c>
      <c r="R450" s="386">
        <f>IFERROR(VLOOKUP(C450,常规材料表!$1:$1048576,4,0),0)</f>
        <v>0</v>
      </c>
      <c r="S450" s="387">
        <f t="shared" si="28"/>
        <v>0</v>
      </c>
      <c r="T450" s="387" t="e">
        <f t="shared" si="29"/>
        <v>#DIV/0!</v>
      </c>
      <c r="U450" s="387">
        <f>IFERROR(VLOOKUP(C450,常规材料表!$1:$1048576,17,0),0)</f>
        <v>0</v>
      </c>
      <c r="V450" s="387">
        <f>IFERROR(VLOOKUP(C450,常规材料表!$1:$1048576,18,0),0)</f>
        <v>0</v>
      </c>
      <c r="W450" s="387">
        <f>IFERROR(VLOOKUP(U450,常规材料表!$1:$1048576,5,0),0)</f>
        <v>0</v>
      </c>
      <c r="X450" s="387">
        <f t="shared" si="30"/>
        <v>0</v>
      </c>
      <c r="Y450">
        <f>IFERROR(VLOOKUP(U450,常规材料表!$1:$1048576,3,0),0)</f>
        <v>0</v>
      </c>
      <c r="Z450">
        <f t="shared" si="31"/>
        <v>0</v>
      </c>
      <c r="AA450">
        <f>IFERROR(VLOOKUP(C450,常规材料表!$1:$1048576,19,0),0)</f>
        <v>0</v>
      </c>
      <c r="AB450">
        <f>IFERROR(VLOOKUP(C450,常规材料表!$1:$1048576,20,0),0)</f>
        <v>0</v>
      </c>
      <c r="AC450">
        <f>IFERROR(VLOOKUP(AA450,常规材料表!$1:$1048576,5,0),0)</f>
        <v>0</v>
      </c>
      <c r="AD450">
        <f t="shared" si="32"/>
        <v>0</v>
      </c>
      <c r="AE450">
        <f>IFERROR(VLOOKUP(AA450,常规材料表!$1:$1048576,3,0),0)</f>
        <v>0</v>
      </c>
      <c r="AF450">
        <f t="shared" si="33"/>
        <v>0</v>
      </c>
      <c r="AG450">
        <f>IFERROR(VLOOKUP(C450,常规材料表!$1:$1048576,21,0),0)</f>
        <v>0</v>
      </c>
      <c r="AH450">
        <f>IFERROR(VLOOKUP(C450,常规材料表!$1:$1048576,22,0),0)</f>
        <v>0</v>
      </c>
      <c r="AI450">
        <f>IFERROR(VLOOKUP(AG450,常规材料表!$1:$1048576,5,0),0)</f>
        <v>0</v>
      </c>
      <c r="AJ450">
        <f t="shared" si="34"/>
        <v>0</v>
      </c>
      <c r="AK450">
        <f>IFERROR(VLOOKUP(AG450,常规材料表!$1:$1048576,3,0),0)</f>
        <v>0</v>
      </c>
      <c r="AL450">
        <f t="shared" si="35"/>
        <v>0</v>
      </c>
      <c r="AQ450" s="110"/>
      <c r="BZ450" t="s">
        <v>646</v>
      </c>
      <c r="CA450" s="112"/>
      <c r="CE450" t="s">
        <v>204</v>
      </c>
      <c r="CG450" s="122"/>
      <c r="CV450" s="388"/>
    </row>
    <row r="451" spans="1:100" customFormat="1" ht="30" customHeight="1" outlineLevel="1">
      <c r="A451" s="112"/>
      <c r="B451" s="414">
        <v>0</v>
      </c>
      <c r="C451" s="465">
        <f>报价辅助计算!$E$13</f>
        <v>0</v>
      </c>
      <c r="D451" s="418" t="s">
        <v>622</v>
      </c>
      <c r="E451" s="655">
        <v>0.3</v>
      </c>
      <c r="F451" s="418"/>
      <c r="G451" s="418"/>
      <c r="H451" s="421"/>
      <c r="I451" s="421"/>
      <c r="J451" s="422"/>
      <c r="K451" s="54" t="s">
        <v>237</v>
      </c>
      <c r="L451" s="54"/>
      <c r="O451" t="s">
        <v>661</v>
      </c>
      <c r="R451" s="387"/>
      <c r="S451" s="387"/>
      <c r="T451" s="387"/>
      <c r="U451" s="387"/>
      <c r="V451" s="387"/>
      <c r="W451" s="387"/>
      <c r="X451" s="387"/>
      <c r="AQ451" s="110"/>
      <c r="BZ451" t="s">
        <v>646</v>
      </c>
      <c r="CA451" s="112"/>
      <c r="CE451" t="s">
        <v>204</v>
      </c>
      <c r="CG451" s="122"/>
      <c r="CV451" s="388"/>
    </row>
    <row r="452" spans="1:100" customFormat="1" ht="30" customHeight="1">
      <c r="A452" s="112"/>
      <c r="B452" s="418"/>
      <c r="C452" s="418"/>
      <c r="D452" s="418"/>
      <c r="E452" s="415"/>
      <c r="F452" s="418"/>
      <c r="G452" s="418"/>
      <c r="H452" s="421"/>
      <c r="I452" s="421"/>
      <c r="J452" s="422"/>
      <c r="K452" s="54"/>
      <c r="L452" s="54"/>
      <c r="O452" t="s">
        <v>661</v>
      </c>
      <c r="R452" s="387"/>
      <c r="S452" s="387"/>
      <c r="T452" s="387"/>
      <c r="U452" s="387"/>
      <c r="V452" s="387"/>
      <c r="W452" s="387"/>
      <c r="X452" s="387"/>
      <c r="AQ452" s="110"/>
      <c r="BZ452" t="s">
        <v>646</v>
      </c>
      <c r="CA452" s="112"/>
      <c r="CE452" t="s">
        <v>204</v>
      </c>
      <c r="CG452" s="122"/>
    </row>
    <row r="453" spans="1:100" customFormat="1" ht="30" customHeight="1">
      <c r="A453" s="112" t="str">
        <f>IF($C$13=1,IF(K453="报价行",IF(F453&gt;0,1," ")," ")," ")</f>
        <v xml:space="preserve"> </v>
      </c>
      <c r="B453" s="414" t="str">
        <f>IF(A453=1,SUM($A$11:A453),"悬臂背拉")</f>
        <v>悬臂背拉</v>
      </c>
      <c r="C453" s="415" t="str">
        <f>A454&amp;IF(C460=1,CHAR(10)&amp;A455," ")</f>
        <v xml:space="preserve">D Bracing kits </v>
      </c>
      <c r="D453" s="624"/>
      <c r="E453" s="547" t="str">
        <f>C455</f>
        <v>L40×4.0t</v>
      </c>
      <c r="F453" s="460">
        <v>432</v>
      </c>
      <c r="G453" s="419">
        <f>SUM(Q454*P454,Q459*P459,P455*Q455,P456*Q456,P457*Q457,P458*Q458)</f>
        <v>3.3617360000000005</v>
      </c>
      <c r="H453" s="420">
        <f>SUM(H454:H460)</f>
        <v>14.592718392920357</v>
      </c>
      <c r="I453" s="421" t="s">
        <v>425</v>
      </c>
      <c r="J453" s="421">
        <v>1</v>
      </c>
      <c r="K453" s="423" t="s">
        <v>217</v>
      </c>
      <c r="L453" s="418" t="s">
        <v>660</v>
      </c>
      <c r="M453" t="s">
        <v>608</v>
      </c>
      <c r="O453" t="s">
        <v>661</v>
      </c>
      <c r="P453" t="s">
        <v>610</v>
      </c>
      <c r="Q453" t="s">
        <v>611</v>
      </c>
      <c r="R453" s="387" t="s">
        <v>612</v>
      </c>
      <c r="S453" s="387" t="s">
        <v>613</v>
      </c>
      <c r="T453" s="387" t="s">
        <v>614</v>
      </c>
      <c r="U453" s="387" t="s">
        <v>615</v>
      </c>
      <c r="V453" s="387" t="str">
        <f>U453&amp;"数量"</f>
        <v>配件1数量</v>
      </c>
      <c r="W453" s="387" t="str">
        <f>U453&amp;"单价"</f>
        <v>配件1单价</v>
      </c>
      <c r="X453" s="387" t="str">
        <f>U453&amp;"总价"</f>
        <v>配件1总价</v>
      </c>
      <c r="Y453" t="str">
        <f>U453&amp;"单重"</f>
        <v>配件1单重</v>
      </c>
      <c r="Z453" t="str">
        <f>U453&amp;"总重量"</f>
        <v>配件1总重量</v>
      </c>
      <c r="AA453" t="s">
        <v>616</v>
      </c>
      <c r="AB453" t="str">
        <f>AA453&amp;"数量"</f>
        <v>配件2数量</v>
      </c>
      <c r="AC453" t="str">
        <f>AA453&amp;"单价"</f>
        <v>配件2单价</v>
      </c>
      <c r="AD453" t="str">
        <f>AA453&amp;"总价"</f>
        <v>配件2总价</v>
      </c>
      <c r="AE453" t="str">
        <f>AA453&amp;"单重"</f>
        <v>配件2单重</v>
      </c>
      <c r="AF453" t="str">
        <f>AA453&amp;"总重量"</f>
        <v>配件2总重量</v>
      </c>
      <c r="AG453" t="s">
        <v>617</v>
      </c>
      <c r="AH453" t="str">
        <f>AG453&amp;"数量"</f>
        <v>配件3数量</v>
      </c>
      <c r="AI453" t="str">
        <f>AG453&amp;"单价"</f>
        <v>配件3单价</v>
      </c>
      <c r="AJ453" t="str">
        <f>AG453&amp;"总价"</f>
        <v>配件3总价</v>
      </c>
      <c r="AK453" t="str">
        <f>AG453&amp;"单重"</f>
        <v>配件3单重</v>
      </c>
      <c r="AL453" t="str">
        <f>AG453&amp;"总重量"</f>
        <v>配件3总重量</v>
      </c>
      <c r="AQ453" s="110"/>
      <c r="AX453" t="str">
        <f>E453</f>
        <v>L40×4.0t</v>
      </c>
      <c r="AY453" s="494">
        <f>D453</f>
        <v>0</v>
      </c>
      <c r="AZ453">
        <f>F453</f>
        <v>432</v>
      </c>
      <c r="BA453" s="256">
        <f>G453</f>
        <v>3.3617360000000005</v>
      </c>
      <c r="BB453">
        <f>AZ453*BA453</f>
        <v>1452.2699520000001</v>
      </c>
      <c r="BC453" s="495"/>
      <c r="BR453" t="str">
        <f>I453</f>
        <v>Pre gal</v>
      </c>
      <c r="BZ453" t="s">
        <v>646</v>
      </c>
      <c r="CA453" s="112"/>
      <c r="CE453" t="s">
        <v>204</v>
      </c>
      <c r="CG453" s="122"/>
      <c r="CV453" s="388"/>
    </row>
    <row r="454" spans="1:100" customFormat="1" ht="30" customHeight="1" outlineLevel="1">
      <c r="A454" s="623" t="s">
        <v>670</v>
      </c>
      <c r="B454" s="418" t="s">
        <v>663</v>
      </c>
      <c r="C454" s="460" t="s">
        <v>664</v>
      </c>
      <c r="D454" s="418">
        <f>IFERROR(IF(G454="预镀锌",VLOOKUP(C454,常规材料表!$1:$1048576,5,0),VLOOKUP(C454,常规材料表!$1:$1048576,10,0)),0)</f>
        <v>4.13</v>
      </c>
      <c r="E454" s="418">
        <f>IFERROR(IF(G454="喷塑",1,0)*VLOOKUP(C454,常规材料表!$1:$1048576,12,0)+IF(G454="热镀锌",1,0)*VLOOKUP(C454,常规材料表!$1:$1048576,13,0)+IF(G454="冷镀锌",1,0)*VLOOKUP(C454,常规材料表!$1:$1048576,15,0),0)</f>
        <v>0</v>
      </c>
      <c r="F454" s="418">
        <f>IFERROR(VLOOKUP(C454,常规材料表!$1:$1048576,11,0)/Q454+E460,0)</f>
        <v>0.63380733975578651</v>
      </c>
      <c r="G454" s="514" t="s">
        <v>428</v>
      </c>
      <c r="H454" s="421">
        <f>Q454*(D454+F454*1.13+E454+T454)/1.13*P454</f>
        <v>0</v>
      </c>
      <c r="I454" s="421">
        <f>P454*F453</f>
        <v>0</v>
      </c>
      <c r="J454" s="421"/>
      <c r="K454" s="54" t="s">
        <v>237</v>
      </c>
      <c r="L454" s="667">
        <f>L445</f>
        <v>979</v>
      </c>
      <c r="M454" s="418">
        <f>H453/G453</f>
        <v>4.3408281890429095</v>
      </c>
      <c r="O454" t="s">
        <v>661</v>
      </c>
      <c r="P454">
        <f>J454/J453</f>
        <v>0</v>
      </c>
      <c r="Q454" s="112">
        <f>IFERROR(VLOOKUP(C454,常规材料表!$1:$1048576,3,0)*L454/1000,0)</f>
        <v>2.9957400000000001</v>
      </c>
      <c r="R454" s="386">
        <f>IFERROR(VLOOKUP(C454,常规材料表!$1:$1048576,4,0)*D453/1000,0)</f>
        <v>0</v>
      </c>
      <c r="S454" s="387">
        <f t="shared" ref="S454:S459" si="36">X454+AD454+AJ454</f>
        <v>0</v>
      </c>
      <c r="T454" s="387">
        <f t="shared" ref="T454:T459" si="37">S454/Q454</f>
        <v>0</v>
      </c>
      <c r="U454" s="387">
        <f>IFERROR(VLOOKUP(C454,常规材料表!$1:$1048576,17,0),0)</f>
        <v>0</v>
      </c>
      <c r="V454" s="387">
        <f>IFERROR(VLOOKUP(C454,常规材料表!$1:$1048576,18,0),0)</f>
        <v>0</v>
      </c>
      <c r="W454" s="387">
        <f>IFERROR(VLOOKUP(U454,常规材料表!$1:$1048576,5,0),0)*Y454</f>
        <v>0</v>
      </c>
      <c r="X454" s="387">
        <f t="shared" ref="X454:X459" si="38">W454*V454</f>
        <v>0</v>
      </c>
      <c r="Y454">
        <f>IFERROR(VLOOKUP(U454,常规材料表!$1:$1048576,3,0),0)</f>
        <v>0</v>
      </c>
      <c r="Z454">
        <f t="shared" ref="Z454:Z459" si="39">Y454*V454</f>
        <v>0</v>
      </c>
      <c r="AA454">
        <f>IFERROR(VLOOKUP(C454,常规材料表!$1:$1048576,19,0),0)</f>
        <v>0</v>
      </c>
      <c r="AB454">
        <f>IFERROR(VLOOKUP(C454,常规材料表!$1:$1048576,20,0),0)</f>
        <v>0</v>
      </c>
      <c r="AC454">
        <f>IFERROR(VLOOKUP(AA454,常规材料表!$1:$1048576,5,0),0)*AE454</f>
        <v>0</v>
      </c>
      <c r="AD454">
        <f t="shared" ref="AD454:AD459" si="40">AC454*AB454</f>
        <v>0</v>
      </c>
      <c r="AE454">
        <f>IFERROR(VLOOKUP(AA454,常规材料表!$1:$1048576,3,0),0)</f>
        <v>0</v>
      </c>
      <c r="AF454">
        <f t="shared" ref="AF454:AF459" si="41">AE454*AB454</f>
        <v>0</v>
      </c>
      <c r="AG454">
        <f>IFERROR(VLOOKUP(C454,常规材料表!$1:$1048576,21,0),0)</f>
        <v>0</v>
      </c>
      <c r="AH454">
        <f>IFERROR(VLOOKUP(C454,常规材料表!$1:$1048576,22,0),0)</f>
        <v>0</v>
      </c>
      <c r="AI454">
        <f>IFERROR(VLOOKUP(AG454,常规材料表!$1:$1048576,5,0),0)</f>
        <v>0</v>
      </c>
      <c r="AJ454">
        <f t="shared" ref="AJ454:AJ459" si="42">AI454*AH454</f>
        <v>0</v>
      </c>
      <c r="AK454">
        <f>IFERROR(VLOOKUP(AG454,常规材料表!$1:$1048576,3,0),0)</f>
        <v>0</v>
      </c>
      <c r="AL454">
        <f t="shared" ref="AL454:AL459" si="43">AK454*AH454</f>
        <v>0</v>
      </c>
      <c r="AQ454" s="110"/>
      <c r="AX454" t="s">
        <v>156</v>
      </c>
      <c r="AY454" t="s">
        <v>246</v>
      </c>
      <c r="AZ454" t="s">
        <v>102</v>
      </c>
      <c r="BA454" t="s">
        <v>158</v>
      </c>
      <c r="BB454" t="s">
        <v>247</v>
      </c>
      <c r="BC454" t="s">
        <v>248</v>
      </c>
      <c r="BD454" t="s">
        <v>249</v>
      </c>
      <c r="BE454" t="s">
        <v>250</v>
      </c>
      <c r="BF454" t="s">
        <v>251</v>
      </c>
      <c r="BZ454" t="s">
        <v>646</v>
      </c>
      <c r="CA454" s="112"/>
      <c r="CE454" t="s">
        <v>204</v>
      </c>
      <c r="CG454" s="122"/>
      <c r="CV454" s="388"/>
    </row>
    <row r="455" spans="1:100" customFormat="1" ht="30" customHeight="1" outlineLevel="1">
      <c r="A455" s="112" t="s">
        <v>671</v>
      </c>
      <c r="B455" s="418" t="s">
        <v>666</v>
      </c>
      <c r="C455" s="460" t="s">
        <v>667</v>
      </c>
      <c r="D455" s="418">
        <f>IFERROR(IF(G455="预镀锌",VLOOKUP(C455,常规材料表!$1:$1048576,5,0),VLOOKUP(C455,常规材料表!$1:$1048576,10,0)),0)</f>
        <v>4.2300000000000004</v>
      </c>
      <c r="E455" s="418">
        <f>IFERROR(IF(G455="喷塑",1,0)*VLOOKUP(C455,常规材料表!$1:$1048576,12,0)+IF(G455="热镀锌",1,0)*VLOOKUP(C455,常规材料表!$1:$1048576,13,0)+IF(G455="冷镀锌",1,0)*VLOOKUP(C455,常规材料表!$1:$1048576,15,0),0)</f>
        <v>0</v>
      </c>
      <c r="F455" s="418">
        <f>IFERROR(VLOOKUP(C455,常规材料表!$1:$1048576,11,0)/Q455+E460,0)</f>
        <v>0.59746535718450222</v>
      </c>
      <c r="G455" s="514" t="str">
        <f>G454</f>
        <v>预镀锌</v>
      </c>
      <c r="H455" s="421">
        <f>Q455*(D455+F455*1.13+E455+T455)/1.13*P455</f>
        <v>14.592718392920357</v>
      </c>
      <c r="I455" s="421">
        <f>P455*F453</f>
        <v>432</v>
      </c>
      <c r="J455" s="421">
        <v>1</v>
      </c>
      <c r="K455" s="54" t="s">
        <v>237</v>
      </c>
      <c r="L455" s="667">
        <f>L446</f>
        <v>1388</v>
      </c>
      <c r="O455" t="s">
        <v>661</v>
      </c>
      <c r="P455">
        <f>J455/J453</f>
        <v>1</v>
      </c>
      <c r="Q455" s="112">
        <f>IFERROR(VLOOKUP(C455,常规材料表!$1:$1048576,3,0)*L455/1000,0)</f>
        <v>3.3617360000000005</v>
      </c>
      <c r="R455" s="386">
        <f>IFERROR(VLOOKUP(C455,常规材料表!$1:$1048576,4,0),0)</f>
        <v>0.16</v>
      </c>
      <c r="S455" s="387">
        <f t="shared" si="36"/>
        <v>0</v>
      </c>
      <c r="T455" s="387">
        <f t="shared" si="37"/>
        <v>0</v>
      </c>
      <c r="U455" s="387">
        <f>IFERROR(VLOOKUP(C455,常规材料表!$1:$1048576,17,0),0)</f>
        <v>0</v>
      </c>
      <c r="V455" s="387">
        <f>IFERROR(VLOOKUP(C455,常规材料表!$1:$1048576,18,0),0)</f>
        <v>0</v>
      </c>
      <c r="W455" s="387">
        <f>IFERROR(VLOOKUP(U455,常规材料表!$1:$1048576,5,0),0)</f>
        <v>0</v>
      </c>
      <c r="X455" s="387">
        <f t="shared" si="38"/>
        <v>0</v>
      </c>
      <c r="Y455">
        <f>IFERROR(VLOOKUP(U455,常规材料表!$1:$1048576,3,0),0)</f>
        <v>0</v>
      </c>
      <c r="Z455">
        <f t="shared" si="39"/>
        <v>0</v>
      </c>
      <c r="AA455">
        <f>IFERROR(VLOOKUP(C455,常规材料表!$1:$1048576,19,0),0)</f>
        <v>0</v>
      </c>
      <c r="AB455">
        <f>IFERROR(VLOOKUP(C455,常规材料表!$1:$1048576,20,0),0)</f>
        <v>0</v>
      </c>
      <c r="AC455">
        <f>IFERROR(VLOOKUP(AA455,常规材料表!$1:$1048576,5,0),0)</f>
        <v>0</v>
      </c>
      <c r="AD455">
        <f t="shared" si="40"/>
        <v>0</v>
      </c>
      <c r="AE455">
        <f>IFERROR(VLOOKUP(AA455,常规材料表!$1:$1048576,3,0),0)</f>
        <v>0</v>
      </c>
      <c r="AF455">
        <f t="shared" si="41"/>
        <v>0</v>
      </c>
      <c r="AG455">
        <f>IFERROR(VLOOKUP(C455,常规材料表!$1:$1048576,21,0),0)</f>
        <v>0</v>
      </c>
      <c r="AH455">
        <f>IFERROR(VLOOKUP(C455,常规材料表!$1:$1048576,22,0),0)</f>
        <v>0</v>
      </c>
      <c r="AI455">
        <f>IFERROR(VLOOKUP(AG455,常规材料表!$1:$1048576,5,0),0)</f>
        <v>0</v>
      </c>
      <c r="AJ455">
        <f t="shared" si="42"/>
        <v>0</v>
      </c>
      <c r="AK455">
        <f>IFERROR(VLOOKUP(AG455,常规材料表!$1:$1048576,3,0),0)</f>
        <v>0</v>
      </c>
      <c r="AL455">
        <f t="shared" si="43"/>
        <v>0</v>
      </c>
      <c r="AQ455" s="110"/>
      <c r="BZ455" t="s">
        <v>646</v>
      </c>
      <c r="CA455" s="112"/>
      <c r="CE455" t="s">
        <v>204</v>
      </c>
      <c r="CG455" s="122"/>
      <c r="CV455" s="388"/>
    </row>
    <row r="456" spans="1:100" customFormat="1" ht="30" customHeight="1" outlineLevel="1">
      <c r="A456" s="112"/>
      <c r="B456" s="418" t="s">
        <v>668</v>
      </c>
      <c r="C456" s="460" t="s">
        <v>669</v>
      </c>
      <c r="D456" s="418">
        <f>IFERROR(IF(G456="预镀锌",VLOOKUP(C456,常规材料表!$1:$1048576,5,0),VLOOKUP(C456,常规材料表!$1:$1048576,10,0)),0)</f>
        <v>4.13</v>
      </c>
      <c r="E456" s="418">
        <f>IFERROR(IF(G456="喷塑",1,0)*VLOOKUP(C456,常规材料表!$1:$1048576,12,0)+IF(G456="热镀锌",1,0)*VLOOKUP(C456,常规材料表!$1:$1048576,13,0)+IF(G456="冷镀锌",1,0)*VLOOKUP(C456,常规材料表!$1:$1048576,15,0),0)</f>
        <v>0</v>
      </c>
      <c r="F456" s="418">
        <f>IFERROR(VLOOKUP(C456,常规材料表!$1:$1048576,11,0)/Q456+E460,0)</f>
        <v>2.4786492374727667</v>
      </c>
      <c r="G456" s="514" t="str">
        <f>G454</f>
        <v>预镀锌</v>
      </c>
      <c r="H456" s="421">
        <f>Q456*(D456+F456*1.13+E456+T456)/1.13*P456</f>
        <v>0</v>
      </c>
      <c r="I456" s="421">
        <f>I454*2</f>
        <v>0</v>
      </c>
      <c r="J456" s="421">
        <f>J454*2</f>
        <v>0</v>
      </c>
      <c r="K456" s="54" t="s">
        <v>237</v>
      </c>
      <c r="L456" s="54"/>
      <c r="O456" t="s">
        <v>661</v>
      </c>
      <c r="P456">
        <f>J456/J453</f>
        <v>0</v>
      </c>
      <c r="Q456" s="112">
        <f>IFERROR(VLOOKUP(C456,常规材料表!$1:$1048576,3,0),0)</f>
        <v>0.45900000000000002</v>
      </c>
      <c r="R456" s="386">
        <f>IFERROR(VLOOKUP(C456,常规材料表!$1:$1048576,4,0),0)</f>
        <v>4.4999999999999998E-2</v>
      </c>
      <c r="S456" s="387">
        <f t="shared" si="36"/>
        <v>1.6519999999999997</v>
      </c>
      <c r="T456" s="387">
        <f t="shared" si="37"/>
        <v>3.5991285403050099</v>
      </c>
      <c r="U456" s="387" t="str">
        <f>IFERROR(VLOOKUP(C456,常规材料表!$1:$1048576,17,0),0)</f>
        <v>M10*110  8.8G</v>
      </c>
      <c r="V456" s="387">
        <f>IFERROR(VLOOKUP(C456,常规材料表!$1:$1048576,18,0),0)</f>
        <v>2</v>
      </c>
      <c r="W456" s="387">
        <f>IFERROR(VLOOKUP(U456,常规材料表!$1:$1048576,5,0),0)</f>
        <v>7.875</v>
      </c>
      <c r="X456" s="387">
        <f>W456*Z456</f>
        <v>1.26</v>
      </c>
      <c r="Y456">
        <f>IFERROR(VLOOKUP(U456,常规材料表!$1:$1048576,3,0),0)</f>
        <v>0.08</v>
      </c>
      <c r="Z456">
        <f t="shared" si="39"/>
        <v>0.16</v>
      </c>
      <c r="AA456" t="str">
        <f>IFERROR(VLOOKUP(C456,常规材料表!$1:$1048576,19,0),0)</f>
        <v>M10.L20</v>
      </c>
      <c r="AB456">
        <f>IFERROR(VLOOKUP(C456,常规材料表!$1:$1048576,20,0),0)</f>
        <v>2</v>
      </c>
      <c r="AC456">
        <f>IFERROR(VLOOKUP(AA456,常规材料表!$1:$1048576,5,0),0)</f>
        <v>6.5333333333333297</v>
      </c>
      <c r="AD456">
        <f>AC456*AF456</f>
        <v>0.39199999999999974</v>
      </c>
      <c r="AE456">
        <f>IFERROR(VLOOKUP(AA456,常规材料表!$1:$1048576,3,0),0)</f>
        <v>0.03</v>
      </c>
      <c r="AF456">
        <f t="shared" si="41"/>
        <v>0.06</v>
      </c>
      <c r="AG456">
        <f>IFERROR(VLOOKUP(C456,常规材料表!$1:$1048576,21,0),0)</f>
        <v>0</v>
      </c>
      <c r="AH456">
        <f>IFERROR(VLOOKUP(C456,常规材料表!$1:$1048576,22,0),0)</f>
        <v>0</v>
      </c>
      <c r="AI456">
        <f>IFERROR(VLOOKUP(AG456,常规材料表!$1:$1048576,5,0),0)</f>
        <v>0</v>
      </c>
      <c r="AJ456">
        <f t="shared" si="42"/>
        <v>0</v>
      </c>
      <c r="AK456">
        <f>IFERROR(VLOOKUP(AG456,常规材料表!$1:$1048576,3,0),0)</f>
        <v>0</v>
      </c>
      <c r="AL456">
        <f t="shared" si="43"/>
        <v>0</v>
      </c>
      <c r="AQ456" s="110"/>
      <c r="BZ456" t="s">
        <v>646</v>
      </c>
      <c r="CA456" s="112"/>
      <c r="CE456" t="s">
        <v>204</v>
      </c>
      <c r="CG456" s="122"/>
      <c r="CV456" s="388"/>
    </row>
    <row r="457" spans="1:100" customFormat="1" ht="30" customHeight="1" outlineLevel="1">
      <c r="A457" s="112"/>
      <c r="B457" s="418"/>
      <c r="C457" s="418"/>
      <c r="D457" s="418">
        <f>IFERROR(IF(G457="预镀锌",VLOOKUP(C457,常规材料表!$1:$1048576,5,0),VLOOKUP(C457,常规材料表!$1:$1048576,10,0)),0)</f>
        <v>0</v>
      </c>
      <c r="E457" s="418">
        <f>IFERROR(IF(G457="喷塑",1,0)*VLOOKUP(C457,常规材料表!$1:$1048576,12,0)+IF(G457="热镀锌",1,0)*VLOOKUP(C457,常规材料表!$1:$1048576,13,0)+IF(G457="冷镀锌",1,0)*VLOOKUP(C457,常规材料表!$1:$1048576,15,0),0)</f>
        <v>0</v>
      </c>
      <c r="F457" s="418">
        <f>IFERROR(VLOOKUP(C457,常规材料表!$1:$1048576,11,0)/Q457+0.4,0)</f>
        <v>0</v>
      </c>
      <c r="G457" s="418"/>
      <c r="H457" s="421">
        <f>IFERROR(Q457*(D457+F457*1.13+E457+T457)/1.13*P457,0)</f>
        <v>0</v>
      </c>
      <c r="I457" s="421" t="s">
        <v>102</v>
      </c>
      <c r="J457" s="421" t="s">
        <v>623</v>
      </c>
      <c r="K457" s="54" t="s">
        <v>237</v>
      </c>
      <c r="L457" s="54"/>
      <c r="O457" t="s">
        <v>661</v>
      </c>
      <c r="Q457" s="112">
        <f>IFERROR(VLOOKUP(C457,常规材料表!$1:$1048576,3,0),0)</f>
        <v>0</v>
      </c>
      <c r="R457" s="386">
        <f>IFERROR(VLOOKUP(C457,常规材料表!$1:$1048576,4,0),0)</f>
        <v>0</v>
      </c>
      <c r="S457" s="387">
        <f t="shared" si="36"/>
        <v>0</v>
      </c>
      <c r="T457" s="387" t="e">
        <f t="shared" si="37"/>
        <v>#DIV/0!</v>
      </c>
      <c r="U457" s="387">
        <f>IFERROR(VLOOKUP(C457,常规材料表!$1:$1048576,17,0),0)</f>
        <v>0</v>
      </c>
      <c r="V457" s="387">
        <f>IFERROR(VLOOKUP(C457,常规材料表!$1:$1048576,18,0),0)</f>
        <v>0</v>
      </c>
      <c r="W457" s="387">
        <f>IFERROR(VLOOKUP(U457,常规材料表!$1:$1048576,5,0),0)</f>
        <v>0</v>
      </c>
      <c r="X457" s="387">
        <f t="shared" si="38"/>
        <v>0</v>
      </c>
      <c r="Y457">
        <f>IFERROR(VLOOKUP(U457,常规材料表!$1:$1048576,3,0),0)</f>
        <v>0</v>
      </c>
      <c r="Z457">
        <f t="shared" si="39"/>
        <v>0</v>
      </c>
      <c r="AA457">
        <f>IFERROR(VLOOKUP(C457,常规材料表!$1:$1048576,19,0),0)</f>
        <v>0</v>
      </c>
      <c r="AB457">
        <f>IFERROR(VLOOKUP(C457,常规材料表!$1:$1048576,20,0),0)</f>
        <v>0</v>
      </c>
      <c r="AC457">
        <f>IFERROR(VLOOKUP(AA457,常规材料表!$1:$1048576,5,0),0)</f>
        <v>0</v>
      </c>
      <c r="AD457">
        <f t="shared" si="40"/>
        <v>0</v>
      </c>
      <c r="AE457">
        <f>IFERROR(VLOOKUP(AA457,常规材料表!$1:$1048576,3,0),0)</f>
        <v>0</v>
      </c>
      <c r="AF457">
        <f t="shared" si="41"/>
        <v>0</v>
      </c>
      <c r="AG457">
        <f>IFERROR(VLOOKUP(C457,常规材料表!$1:$1048576,21,0),0)</f>
        <v>0</v>
      </c>
      <c r="AH457">
        <f>IFERROR(VLOOKUP(C457,常规材料表!$1:$1048576,22,0),0)</f>
        <v>0</v>
      </c>
      <c r="AI457">
        <f>IFERROR(VLOOKUP(AG457,常规材料表!$1:$1048576,5,0),0)</f>
        <v>0</v>
      </c>
      <c r="AJ457">
        <f t="shared" si="42"/>
        <v>0</v>
      </c>
      <c r="AK457">
        <f>IFERROR(VLOOKUP(AG457,常规材料表!$1:$1048576,3,0),0)</f>
        <v>0</v>
      </c>
      <c r="AL457">
        <f t="shared" si="43"/>
        <v>0</v>
      </c>
      <c r="AQ457" s="110"/>
      <c r="BZ457" t="s">
        <v>646</v>
      </c>
      <c r="CA457" s="112"/>
      <c r="CE457" t="s">
        <v>204</v>
      </c>
      <c r="CG457" s="122"/>
      <c r="CV457" s="388"/>
    </row>
    <row r="458" spans="1:100" customFormat="1" ht="30" customHeight="1" outlineLevel="1">
      <c r="A458" s="112"/>
      <c r="B458" s="418"/>
      <c r="C458" s="418"/>
      <c r="D458" s="418">
        <f>IFERROR(IF(G458="预镀锌",VLOOKUP(C458,常规材料表!$1:$1048576,5,0),VLOOKUP(C458,常规材料表!$1:$1048576,10,0)),0)</f>
        <v>0</v>
      </c>
      <c r="E458" s="418">
        <f>IFERROR(IF(G458="喷塑",1,0)*VLOOKUP(C458,常规材料表!$1:$1048576,12,0)+IF(G458="热镀锌",1,0)*VLOOKUP(C458,常规材料表!$1:$1048576,13,0)+IF(G458="冷镀锌",1,0)*VLOOKUP(C458,常规材料表!$1:$1048576,15,0),0)</f>
        <v>0</v>
      </c>
      <c r="F458" s="418">
        <f>IFERROR(VLOOKUP(C458,常规材料表!$1:$1048576,11,0)/Q458+0.4,0)</f>
        <v>0</v>
      </c>
      <c r="G458" s="418"/>
      <c r="H458" s="421">
        <f>IFERROR(Q458*(D458+F458*1.13+E458+T458)/1.13*P458,0)</f>
        <v>0</v>
      </c>
      <c r="I458" s="421"/>
      <c r="J458" s="422"/>
      <c r="K458" s="54" t="s">
        <v>237</v>
      </c>
      <c r="L458" s="54"/>
      <c r="O458" t="s">
        <v>661</v>
      </c>
      <c r="Q458" s="112">
        <f>IFERROR(VLOOKUP(C458,常规材料表!$1:$1048576,3,0),0)</f>
        <v>0</v>
      </c>
      <c r="R458" s="386">
        <f>IFERROR(VLOOKUP(C458,常规材料表!$1:$1048576,4,0),0)</f>
        <v>0</v>
      </c>
      <c r="S458" s="387">
        <f t="shared" si="36"/>
        <v>0</v>
      </c>
      <c r="T458" s="387" t="e">
        <f t="shared" si="37"/>
        <v>#DIV/0!</v>
      </c>
      <c r="U458" s="387">
        <f>IFERROR(VLOOKUP(C458,常规材料表!$1:$1048576,17,0),0)</f>
        <v>0</v>
      </c>
      <c r="V458" s="387">
        <f>IFERROR(VLOOKUP(C458,常规材料表!$1:$1048576,18,0),0)</f>
        <v>0</v>
      </c>
      <c r="W458" s="387">
        <f>IFERROR(VLOOKUP(U458,常规材料表!$1:$1048576,5,0),0)</f>
        <v>0</v>
      </c>
      <c r="X458" s="387">
        <f t="shared" si="38"/>
        <v>0</v>
      </c>
      <c r="Y458">
        <f>IFERROR(VLOOKUP(U458,常规材料表!$1:$1048576,3,0),0)</f>
        <v>0</v>
      </c>
      <c r="Z458">
        <f t="shared" si="39"/>
        <v>0</v>
      </c>
      <c r="AA458">
        <f>IFERROR(VLOOKUP(C458,常规材料表!$1:$1048576,19,0),0)</f>
        <v>0</v>
      </c>
      <c r="AB458">
        <f>IFERROR(VLOOKUP(C458,常规材料表!$1:$1048576,20,0),0)</f>
        <v>0</v>
      </c>
      <c r="AC458">
        <f>IFERROR(VLOOKUP(AA458,常规材料表!$1:$1048576,5,0),0)</f>
        <v>0</v>
      </c>
      <c r="AD458">
        <f t="shared" si="40"/>
        <v>0</v>
      </c>
      <c r="AE458">
        <f>IFERROR(VLOOKUP(AA458,常规材料表!$1:$1048576,3,0),0)</f>
        <v>0</v>
      </c>
      <c r="AF458">
        <f t="shared" si="41"/>
        <v>0</v>
      </c>
      <c r="AG458">
        <f>IFERROR(VLOOKUP(C458,常规材料表!$1:$1048576,21,0),0)</f>
        <v>0</v>
      </c>
      <c r="AH458">
        <f>IFERROR(VLOOKUP(C458,常规材料表!$1:$1048576,22,0),0)</f>
        <v>0</v>
      </c>
      <c r="AI458">
        <f>IFERROR(VLOOKUP(AG458,常规材料表!$1:$1048576,5,0),0)</f>
        <v>0</v>
      </c>
      <c r="AJ458">
        <f t="shared" si="42"/>
        <v>0</v>
      </c>
      <c r="AK458">
        <f>IFERROR(VLOOKUP(AG458,常规材料表!$1:$1048576,3,0),0)</f>
        <v>0</v>
      </c>
      <c r="AL458">
        <f t="shared" si="43"/>
        <v>0</v>
      </c>
      <c r="AQ458" s="110"/>
      <c r="BZ458" t="s">
        <v>646</v>
      </c>
      <c r="CA458" s="112"/>
      <c r="CE458" t="s">
        <v>204</v>
      </c>
      <c r="CG458" s="122"/>
      <c r="CV458" s="388"/>
    </row>
    <row r="459" spans="1:100" customFormat="1" ht="30" customHeight="1" outlineLevel="1">
      <c r="A459" s="112"/>
      <c r="B459" s="418"/>
      <c r="C459" s="418"/>
      <c r="D459" s="418">
        <f>IFERROR(VLOOKUP(C459,常规材料表!$1:$1048576,5,0),0)</f>
        <v>0</v>
      </c>
      <c r="E459" s="418">
        <f>IFERROR(IF(G459="喷塑",1,0)*VLOOKUP(C459,常规材料表!$1:$1048576,12,0)+IF(G459="热镀锌",1,0)*VLOOKUP(C459,常规材料表!$1:$1048576,13,0)+IF(G459="冷镀锌",1,0)*VLOOKUP(C459,常规材料表!$1:$1048576,15,0),0)</f>
        <v>0</v>
      </c>
      <c r="F459" s="418">
        <f>IFERROR(VLOOKUP(C459,常规材料表!$1:$1048576,11,0)/Q459+0.4,0)</f>
        <v>0</v>
      </c>
      <c r="G459" s="418"/>
      <c r="H459" s="421">
        <f>IFERROR(Q459*(D459+F459*1.13+E459+T459)/1.13*P459,0)</f>
        <v>0</v>
      </c>
      <c r="I459" s="421"/>
      <c r="J459" s="422"/>
      <c r="K459" s="54" t="s">
        <v>237</v>
      </c>
      <c r="L459" s="54"/>
      <c r="O459" t="s">
        <v>661</v>
      </c>
      <c r="Q459" s="112">
        <f>IFERROR(VLOOKUP(C459,常规材料表!$1:$1048576,3,0),0)</f>
        <v>0</v>
      </c>
      <c r="R459" s="386">
        <f>IFERROR(VLOOKUP(C459,常规材料表!$1:$1048576,4,0),0)</f>
        <v>0</v>
      </c>
      <c r="S459" s="387">
        <f t="shared" si="36"/>
        <v>0</v>
      </c>
      <c r="T459" s="387" t="e">
        <f t="shared" si="37"/>
        <v>#DIV/0!</v>
      </c>
      <c r="U459" s="387">
        <f>IFERROR(VLOOKUP(C459,常规材料表!$1:$1048576,17,0),0)</f>
        <v>0</v>
      </c>
      <c r="V459" s="387">
        <f>IFERROR(VLOOKUP(C459,常规材料表!$1:$1048576,18,0),0)</f>
        <v>0</v>
      </c>
      <c r="W459" s="387">
        <f>IFERROR(VLOOKUP(U459,常规材料表!$1:$1048576,5,0),0)</f>
        <v>0</v>
      </c>
      <c r="X459" s="387">
        <f t="shared" si="38"/>
        <v>0</v>
      </c>
      <c r="Y459">
        <f>IFERROR(VLOOKUP(U459,常规材料表!$1:$1048576,3,0),0)</f>
        <v>0</v>
      </c>
      <c r="Z459">
        <f t="shared" si="39"/>
        <v>0</v>
      </c>
      <c r="AA459">
        <f>IFERROR(VLOOKUP(C459,常规材料表!$1:$1048576,19,0),0)</f>
        <v>0</v>
      </c>
      <c r="AB459">
        <f>IFERROR(VLOOKUP(C459,常规材料表!$1:$1048576,20,0),0)</f>
        <v>0</v>
      </c>
      <c r="AC459">
        <f>IFERROR(VLOOKUP(AA459,常规材料表!$1:$1048576,5,0),0)</f>
        <v>0</v>
      </c>
      <c r="AD459">
        <f t="shared" si="40"/>
        <v>0</v>
      </c>
      <c r="AE459">
        <f>IFERROR(VLOOKUP(AA459,常规材料表!$1:$1048576,3,0),0)</f>
        <v>0</v>
      </c>
      <c r="AF459">
        <f t="shared" si="41"/>
        <v>0</v>
      </c>
      <c r="AG459">
        <f>IFERROR(VLOOKUP(C459,常规材料表!$1:$1048576,21,0),0)</f>
        <v>0</v>
      </c>
      <c r="AH459">
        <f>IFERROR(VLOOKUP(C459,常规材料表!$1:$1048576,22,0),0)</f>
        <v>0</v>
      </c>
      <c r="AI459">
        <f>IFERROR(VLOOKUP(AG459,常规材料表!$1:$1048576,5,0),0)</f>
        <v>0</v>
      </c>
      <c r="AJ459">
        <f t="shared" si="42"/>
        <v>0</v>
      </c>
      <c r="AK459">
        <f>IFERROR(VLOOKUP(AG459,常规材料表!$1:$1048576,3,0),0)</f>
        <v>0</v>
      </c>
      <c r="AL459">
        <f t="shared" si="43"/>
        <v>0</v>
      </c>
      <c r="AQ459" s="110"/>
      <c r="BZ459" t="s">
        <v>646</v>
      </c>
      <c r="CA459" s="112"/>
      <c r="CE459" t="s">
        <v>204</v>
      </c>
      <c r="CG459" s="122"/>
      <c r="CV459" s="388"/>
    </row>
    <row r="460" spans="1:100" customFormat="1" ht="30" customHeight="1" outlineLevel="1">
      <c r="A460" s="112"/>
      <c r="B460" s="414">
        <v>0</v>
      </c>
      <c r="C460" s="465">
        <f>报价辅助计算!$E$13</f>
        <v>0</v>
      </c>
      <c r="D460" s="418" t="s">
        <v>622</v>
      </c>
      <c r="E460" s="655">
        <v>0.3</v>
      </c>
      <c r="F460" s="418"/>
      <c r="G460" s="418"/>
      <c r="H460" s="421"/>
      <c r="I460" s="421"/>
      <c r="J460" s="422"/>
      <c r="K460" s="54" t="s">
        <v>237</v>
      </c>
      <c r="L460" s="54"/>
      <c r="O460" t="s">
        <v>661</v>
      </c>
      <c r="R460" s="387"/>
      <c r="S460" s="387"/>
      <c r="T460" s="387"/>
      <c r="U460" s="387"/>
      <c r="V460" s="387"/>
      <c r="W460" s="387"/>
      <c r="X460" s="387"/>
      <c r="AQ460" s="110"/>
      <c r="BZ460" t="s">
        <v>646</v>
      </c>
      <c r="CA460" s="112"/>
      <c r="CE460" t="s">
        <v>204</v>
      </c>
      <c r="CG460" s="122"/>
      <c r="CV460" s="388"/>
    </row>
    <row r="461" spans="1:100" s="376" customFormat="1" ht="30" customHeight="1">
      <c r="A461" s="472"/>
      <c r="B461" s="473"/>
      <c r="C461" s="473"/>
      <c r="D461" s="473"/>
      <c r="E461" s="474"/>
      <c r="F461" s="473"/>
      <c r="G461" s="473"/>
      <c r="H461" s="421"/>
      <c r="I461" s="421"/>
      <c r="J461" s="422"/>
      <c r="K461" s="475"/>
      <c r="L461" s="475"/>
      <c r="R461" s="387"/>
      <c r="S461" s="387"/>
      <c r="T461" s="387"/>
      <c r="U461" s="387"/>
      <c r="V461" s="387"/>
      <c r="W461" s="387"/>
      <c r="X461" s="387"/>
      <c r="AQ461" s="476"/>
      <c r="BZ461" t="s">
        <v>646</v>
      </c>
      <c r="CA461" s="112"/>
      <c r="CB461"/>
      <c r="CC461"/>
      <c r="CD461"/>
      <c r="CE461" t="s">
        <v>204</v>
      </c>
      <c r="CF461"/>
      <c r="CG461" s="122"/>
    </row>
    <row r="462" spans="1:100" s="378" customFormat="1" ht="30" customHeight="1">
      <c r="A462" s="628"/>
      <c r="B462" s="629" t="s">
        <v>206</v>
      </c>
      <c r="C462" s="629"/>
      <c r="D462" s="629"/>
      <c r="E462" s="630"/>
      <c r="F462" s="629"/>
      <c r="G462" s="629"/>
      <c r="H462" s="421"/>
      <c r="I462" s="421"/>
      <c r="J462" s="422"/>
      <c r="K462" s="631"/>
      <c r="L462" s="631"/>
      <c r="R462" s="387"/>
      <c r="S462" s="387"/>
      <c r="T462" s="387"/>
      <c r="U462" s="387"/>
      <c r="V462" s="387"/>
      <c r="W462" s="387"/>
      <c r="X462" s="387"/>
      <c r="AQ462" s="632"/>
      <c r="CA462" s="628"/>
      <c r="CG462" s="633"/>
    </row>
    <row r="463" spans="1:100" customFormat="1" ht="30" customHeight="1">
      <c r="A463" s="112" t="str">
        <f>IF($C$13=1,IF(K463="报价行",IF(F463&gt;0,1," ")," ")," ")</f>
        <v xml:space="preserve"> </v>
      </c>
      <c r="B463" s="414" t="str">
        <f>IF(A463=1,SUM($A$11:A463),"新西兰divider")</f>
        <v>新西兰divider</v>
      </c>
      <c r="C463" s="415" t="str">
        <f>A464&amp;IF(C470=1,CHAR(10)&amp;A465," ")</f>
        <v xml:space="preserve">Divider </v>
      </c>
      <c r="D463" s="645">
        <v>800</v>
      </c>
      <c r="E463" s="547" t="s">
        <v>672</v>
      </c>
      <c r="F463" s="460"/>
      <c r="G463" s="419">
        <f>D464+D465</f>
        <v>1.5543999999999998</v>
      </c>
      <c r="H463" s="420">
        <f>H464</f>
        <v>11.809019469026548</v>
      </c>
      <c r="I463" s="421" t="s">
        <v>292</v>
      </c>
      <c r="J463" s="422"/>
      <c r="K463" s="423" t="s">
        <v>217</v>
      </c>
      <c r="L463" s="54"/>
      <c r="O463" t="s">
        <v>673</v>
      </c>
      <c r="R463" s="387"/>
      <c r="S463" s="387"/>
      <c r="T463" s="387"/>
      <c r="U463" s="387"/>
      <c r="V463" s="387"/>
      <c r="W463" s="387"/>
      <c r="X463" s="387"/>
      <c r="AQ463" s="110"/>
      <c r="AX463" t="str">
        <f>E463</f>
        <v>t=2.5,H140, Dia 32*1.5mm pipe</v>
      </c>
      <c r="AY463" s="494">
        <f>D463</f>
        <v>800</v>
      </c>
      <c r="AZ463">
        <f>F463</f>
        <v>0</v>
      </c>
      <c r="BA463" s="256">
        <f>G463</f>
        <v>1.5543999999999998</v>
      </c>
      <c r="BB463">
        <f>AZ463*BA463</f>
        <v>0</v>
      </c>
      <c r="BC463" s="495"/>
      <c r="BR463" t="str">
        <f>I463</f>
        <v>Blue Ral5015</v>
      </c>
      <c r="BZ463" t="s">
        <v>673</v>
      </c>
      <c r="CA463" s="112"/>
      <c r="CF463" t="s">
        <v>206</v>
      </c>
      <c r="CG463" s="122"/>
      <c r="CV463" s="388"/>
    </row>
    <row r="464" spans="1:100" customFormat="1" ht="30" customHeight="1" outlineLevel="1">
      <c r="A464" s="623" t="s">
        <v>674</v>
      </c>
      <c r="B464" s="112" t="s">
        <v>675</v>
      </c>
      <c r="C464" s="112">
        <f>(0.14+0.052+0.14)*0.1*2</f>
        <v>6.6400000000000001E-2</v>
      </c>
      <c r="D464" s="460">
        <v>0.65200000000000002</v>
      </c>
      <c r="E464" s="460">
        <f>3.7/D464</f>
        <v>5.6748466257668708</v>
      </c>
      <c r="F464" s="418">
        <v>1</v>
      </c>
      <c r="G464" s="514" t="s">
        <v>236</v>
      </c>
      <c r="H464" s="421">
        <f>G463*((D464*E464+D465*E465)/G463*1.01+D466*1.13+(C464+C465)*D467/G463+E467)/1.13*F464</f>
        <v>11.809019469026548</v>
      </c>
      <c r="I464" s="421"/>
      <c r="J464" s="422"/>
      <c r="K464" s="54" t="s">
        <v>237</v>
      </c>
      <c r="L464" s="54"/>
      <c r="O464" t="s">
        <v>673</v>
      </c>
      <c r="R464" s="387"/>
      <c r="S464" s="387"/>
      <c r="T464" s="387"/>
      <c r="U464" s="387"/>
      <c r="V464" s="387"/>
      <c r="W464" s="387"/>
      <c r="X464" s="387"/>
      <c r="AQ464" s="110"/>
      <c r="AX464" t="s">
        <v>156</v>
      </c>
      <c r="AY464" t="s">
        <v>246</v>
      </c>
      <c r="AZ464" t="s">
        <v>102</v>
      </c>
      <c r="BA464" t="s">
        <v>158</v>
      </c>
      <c r="BB464" t="s">
        <v>247</v>
      </c>
      <c r="BC464" t="s">
        <v>248</v>
      </c>
      <c r="BD464" t="s">
        <v>249</v>
      </c>
      <c r="BE464" t="s">
        <v>250</v>
      </c>
      <c r="BF464" t="s">
        <v>251</v>
      </c>
      <c r="BZ464" t="s">
        <v>673</v>
      </c>
      <c r="CA464" s="112"/>
      <c r="CF464" t="s">
        <v>206</v>
      </c>
      <c r="CG464" s="122"/>
      <c r="CV464" s="388"/>
    </row>
    <row r="465" spans="1:100" customFormat="1" ht="30" customHeight="1" outlineLevel="1">
      <c r="A465" s="112" t="s">
        <v>676</v>
      </c>
      <c r="B465" s="112" t="s">
        <v>677</v>
      </c>
      <c r="C465" s="112">
        <f>0.101*D463/1000</f>
        <v>8.0800000000000011E-2</v>
      </c>
      <c r="D465" s="112">
        <f>1.128*D463/1000</f>
        <v>0.90239999999999987</v>
      </c>
      <c r="E465" s="245">
        <v>4.25</v>
      </c>
      <c r="F465" s="561"/>
      <c r="G465" s="418"/>
      <c r="H465" s="421"/>
      <c r="I465" s="421"/>
      <c r="J465" s="422"/>
      <c r="K465" s="54" t="s">
        <v>237</v>
      </c>
      <c r="L465" s="54"/>
      <c r="O465" t="s">
        <v>673</v>
      </c>
      <c r="R465" s="387"/>
      <c r="S465" s="387"/>
      <c r="T465" s="387"/>
      <c r="U465" s="387"/>
      <c r="V465" s="387"/>
      <c r="W465" s="387"/>
      <c r="X465" s="387"/>
      <c r="AQ465" s="110"/>
      <c r="BZ465" t="s">
        <v>673</v>
      </c>
      <c r="CA465" s="112"/>
      <c r="CF465" t="s">
        <v>206</v>
      </c>
      <c r="CG465" s="122"/>
      <c r="CV465" s="388"/>
    </row>
    <row r="466" spans="1:100" customFormat="1" ht="30" customHeight="1" outlineLevel="1">
      <c r="A466" s="112"/>
      <c r="B466" s="418"/>
      <c r="C466" s="460"/>
      <c r="D466" s="460">
        <f>(0.5+2)/(D465+D464)</f>
        <v>1.6083376222336596</v>
      </c>
      <c r="E466" s="655"/>
      <c r="F466" s="561"/>
      <c r="G466" s="418"/>
      <c r="H466" s="421"/>
      <c r="I466" s="421"/>
      <c r="J466" s="422"/>
      <c r="K466" s="54"/>
      <c r="L466" s="54"/>
      <c r="O466" t="s">
        <v>673</v>
      </c>
      <c r="R466" s="387"/>
      <c r="S466" s="387"/>
      <c r="T466" s="387"/>
      <c r="U466" s="387"/>
      <c r="V466" s="387"/>
      <c r="W466" s="387"/>
      <c r="X466" s="387"/>
      <c r="AQ466" s="110"/>
      <c r="BZ466" t="s">
        <v>673</v>
      </c>
      <c r="CA466" s="112"/>
      <c r="CF466" t="s">
        <v>206</v>
      </c>
      <c r="CG466" s="122"/>
      <c r="CV466" s="388"/>
    </row>
    <row r="467" spans="1:100" customFormat="1" ht="30" customHeight="1" outlineLevel="1">
      <c r="A467" s="112"/>
      <c r="B467" s="418"/>
      <c r="C467" s="112"/>
      <c r="D467" s="655">
        <v>9.1999999999999993</v>
      </c>
      <c r="E467" s="655">
        <v>1</v>
      </c>
      <c r="F467" s="561"/>
      <c r="G467" s="418"/>
      <c r="H467" s="421"/>
      <c r="I467" s="421"/>
      <c r="J467" s="422"/>
      <c r="K467" s="54"/>
      <c r="L467" s="54"/>
      <c r="O467" t="s">
        <v>673</v>
      </c>
      <c r="R467" s="387"/>
      <c r="S467" s="387"/>
      <c r="T467" s="387"/>
      <c r="U467" s="387"/>
      <c r="V467" s="387"/>
      <c r="W467" s="387"/>
      <c r="X467" s="387"/>
      <c r="AQ467" s="110"/>
      <c r="BZ467" t="s">
        <v>673</v>
      </c>
      <c r="CA467" s="112"/>
      <c r="CF467" t="s">
        <v>206</v>
      </c>
      <c r="CG467" s="122"/>
      <c r="CV467" s="388"/>
    </row>
    <row r="468" spans="1:100" customFormat="1" ht="30" customHeight="1" outlineLevel="1">
      <c r="A468" s="112"/>
      <c r="B468" s="414">
        <v>0</v>
      </c>
      <c r="C468" s="465">
        <f>报价辅助计算!$E$13</f>
        <v>0</v>
      </c>
      <c r="D468" s="564"/>
      <c r="E468" s="564"/>
      <c r="F468" s="561"/>
      <c r="G468" s="418"/>
      <c r="H468" s="421"/>
      <c r="I468" s="421"/>
      <c r="J468" s="422"/>
      <c r="K468" s="54" t="s">
        <v>237</v>
      </c>
      <c r="L468" s="54"/>
      <c r="O468" t="s">
        <v>673</v>
      </c>
      <c r="R468" s="387"/>
      <c r="S468" s="387"/>
      <c r="T468" s="387"/>
      <c r="U468" s="387"/>
      <c r="V468" s="387"/>
      <c r="W468" s="387"/>
      <c r="X468" s="387"/>
      <c r="AQ468" s="110"/>
      <c r="BZ468" t="s">
        <v>673</v>
      </c>
      <c r="CA468" s="112"/>
      <c r="CF468" t="s">
        <v>206</v>
      </c>
      <c r="CG468" s="122"/>
      <c r="CV468" s="388"/>
    </row>
    <row r="469" spans="1:100" s="376" customFormat="1" ht="30" customHeight="1">
      <c r="A469" s="472"/>
      <c r="B469" s="473"/>
      <c r="C469" s="473"/>
      <c r="D469" s="473"/>
      <c r="E469" s="474"/>
      <c r="F469" s="473"/>
      <c r="G469" s="473"/>
      <c r="H469" s="421"/>
      <c r="I469" s="421"/>
      <c r="J469" s="422"/>
      <c r="K469" s="475"/>
      <c r="L469" s="475"/>
      <c r="R469" s="387"/>
      <c r="S469" s="387"/>
      <c r="T469" s="387"/>
      <c r="U469" s="387"/>
      <c r="V469" s="387"/>
      <c r="W469" s="387"/>
      <c r="X469" s="387"/>
      <c r="AQ469" s="476"/>
      <c r="BZ469" t="s">
        <v>673</v>
      </c>
      <c r="CA469" s="112"/>
      <c r="CB469"/>
      <c r="CC469"/>
      <c r="CD469"/>
      <c r="CE469"/>
      <c r="CF469" t="s">
        <v>206</v>
      </c>
      <c r="CG469" s="122"/>
    </row>
    <row r="470" spans="1:100" customFormat="1" ht="30" customHeight="1">
      <c r="A470" s="112" t="str">
        <f>IF($C$13=1,IF(K470="报价行",IF(F470&gt;0,1," ")," ")," ")</f>
        <v xml:space="preserve"> </v>
      </c>
      <c r="B470" s="414" t="str">
        <f>IF(A470=1,SUM($A$11:A470),"SHJ立柱对接件")</f>
        <v>SHJ立柱对接件</v>
      </c>
      <c r="C470" s="415" t="str">
        <f>B471&amp;IF(C473=1,CHAR(10)&amp;B472," ")</f>
        <v xml:space="preserve">Splice kit </v>
      </c>
      <c r="D470" s="645" t="s">
        <v>435</v>
      </c>
      <c r="E470" s="547" t="s">
        <v>436</v>
      </c>
      <c r="F470" s="460"/>
      <c r="G470" s="419">
        <v>2.8</v>
      </c>
      <c r="H470" s="420">
        <f>H471</f>
        <v>28.313451327433629</v>
      </c>
      <c r="I470" s="421" t="s">
        <v>341</v>
      </c>
      <c r="J470" s="422"/>
      <c r="K470" s="423" t="s">
        <v>217</v>
      </c>
      <c r="L470" s="54"/>
      <c r="O470" t="s">
        <v>678</v>
      </c>
      <c r="R470" s="387"/>
      <c r="S470" s="387"/>
      <c r="T470" s="387"/>
      <c r="U470" s="387"/>
      <c r="V470" s="387"/>
      <c r="W470" s="387"/>
      <c r="X470" s="387"/>
      <c r="AX470" t="str">
        <f>E470</f>
        <v>Welding</v>
      </c>
      <c r="AY470" s="494" t="str">
        <f>D470</f>
        <v>1PC</v>
      </c>
      <c r="AZ470">
        <f>F470</f>
        <v>0</v>
      </c>
      <c r="BA470" s="256">
        <f>G470</f>
        <v>2.8</v>
      </c>
      <c r="BB470">
        <f>AZ470*BA470</f>
        <v>0</v>
      </c>
      <c r="BC470" s="495"/>
      <c r="BR470" t="str">
        <f>I470</f>
        <v>Orange Ral2004</v>
      </c>
      <c r="BZ470" t="s">
        <v>433</v>
      </c>
      <c r="CA470" s="112" t="s">
        <v>200</v>
      </c>
      <c r="CB470" t="s">
        <v>201</v>
      </c>
      <c r="CF470" t="s">
        <v>206</v>
      </c>
      <c r="CG470" s="122" t="s">
        <v>207</v>
      </c>
      <c r="CV470" s="388"/>
    </row>
    <row r="471" spans="1:100" customFormat="1" ht="30" customHeight="1" outlineLevel="1">
      <c r="A471" s="380"/>
      <c r="B471" s="380" t="s">
        <v>434</v>
      </c>
      <c r="C471" s="112" t="s">
        <v>559</v>
      </c>
      <c r="D471" s="418">
        <v>6.5</v>
      </c>
      <c r="E471" s="418">
        <v>1.05</v>
      </c>
      <c r="F471" s="418">
        <v>1</v>
      </c>
      <c r="G471" s="514" t="s">
        <v>236</v>
      </c>
      <c r="H471" s="421">
        <f>C472*(D471+E471*1.13+D472+E472)/1.13*F471</f>
        <v>28.313451327433629</v>
      </c>
      <c r="I471" s="421"/>
      <c r="J471" s="422"/>
      <c r="K471" s="54" t="s">
        <v>237</v>
      </c>
      <c r="L471" s="54"/>
      <c r="O471" t="s">
        <v>678</v>
      </c>
      <c r="R471" s="387"/>
      <c r="S471" s="387"/>
      <c r="T471" s="387"/>
      <c r="U471" s="387"/>
      <c r="V471" s="387"/>
      <c r="W471" s="387"/>
      <c r="X471" s="387"/>
      <c r="AX471" t="s">
        <v>156</v>
      </c>
      <c r="AY471" t="s">
        <v>246</v>
      </c>
      <c r="AZ471" t="s">
        <v>102</v>
      </c>
      <c r="BA471" t="s">
        <v>158</v>
      </c>
      <c r="BB471" t="s">
        <v>247</v>
      </c>
      <c r="BD471" t="s">
        <v>249</v>
      </c>
      <c r="BE471" t="s">
        <v>250</v>
      </c>
      <c r="BF471" t="s">
        <v>251</v>
      </c>
      <c r="BZ471" t="s">
        <v>433</v>
      </c>
      <c r="CA471" s="112" t="s">
        <v>200</v>
      </c>
      <c r="CB471" t="s">
        <v>201</v>
      </c>
      <c r="CF471" t="s">
        <v>206</v>
      </c>
      <c r="CG471" s="122" t="s">
        <v>207</v>
      </c>
      <c r="CV471" s="388"/>
    </row>
    <row r="472" spans="1:100" customFormat="1" ht="30" customHeight="1" outlineLevel="1">
      <c r="A472" s="112"/>
      <c r="B472" s="112" t="s">
        <v>679</v>
      </c>
      <c r="C472" s="460">
        <v>2.8</v>
      </c>
      <c r="D472" s="564">
        <v>2.2000000000000002</v>
      </c>
      <c r="E472" s="564">
        <v>1.54</v>
      </c>
      <c r="F472" s="561"/>
      <c r="G472" s="418"/>
      <c r="H472" s="421"/>
      <c r="I472" s="421"/>
      <c r="J472" s="422"/>
      <c r="K472" s="54" t="s">
        <v>237</v>
      </c>
      <c r="L472" s="54"/>
      <c r="O472" t="s">
        <v>678</v>
      </c>
      <c r="R472" s="387"/>
      <c r="S472" s="387"/>
      <c r="T472" s="387"/>
      <c r="U472" s="387"/>
      <c r="V472" s="387"/>
      <c r="W472" s="387"/>
      <c r="X472" s="387"/>
      <c r="BZ472" t="s">
        <v>433</v>
      </c>
      <c r="CA472" s="112" t="s">
        <v>200</v>
      </c>
      <c r="CB472" t="s">
        <v>201</v>
      </c>
      <c r="CF472" t="s">
        <v>206</v>
      </c>
      <c r="CG472" s="122" t="s">
        <v>207</v>
      </c>
      <c r="CV472" s="388"/>
    </row>
    <row r="473" spans="1:100" customFormat="1" ht="30" customHeight="1" outlineLevel="1">
      <c r="A473" s="112"/>
      <c r="B473" s="414">
        <v>0</v>
      </c>
      <c r="C473" s="465">
        <f>报价辅助计算!$E$13</f>
        <v>0</v>
      </c>
      <c r="D473" s="564"/>
      <c r="E473" s="564"/>
      <c r="F473" s="561"/>
      <c r="G473" s="418"/>
      <c r="H473" s="421"/>
      <c r="I473" s="421"/>
      <c r="J473" s="422"/>
      <c r="K473" s="54" t="s">
        <v>237</v>
      </c>
      <c r="L473" s="54"/>
      <c r="O473" t="s">
        <v>678</v>
      </c>
      <c r="R473" s="387"/>
      <c r="S473" s="387"/>
      <c r="T473" s="387"/>
      <c r="U473" s="387"/>
      <c r="V473" s="387"/>
      <c r="W473" s="387"/>
      <c r="X473" s="387"/>
      <c r="BZ473" t="s">
        <v>433</v>
      </c>
      <c r="CA473" s="112" t="s">
        <v>200</v>
      </c>
      <c r="CB473" t="s">
        <v>201</v>
      </c>
      <c r="CF473" t="s">
        <v>206</v>
      </c>
      <c r="CG473" s="122" t="s">
        <v>207</v>
      </c>
      <c r="CV473" s="388"/>
    </row>
    <row r="474" spans="1:100" s="376" customFormat="1" ht="30" customHeight="1">
      <c r="A474" s="472"/>
      <c r="B474" s="473"/>
      <c r="C474" s="473"/>
      <c r="D474" s="473"/>
      <c r="E474" s="474"/>
      <c r="F474" s="473"/>
      <c r="G474" s="473"/>
      <c r="H474" s="421"/>
      <c r="I474" s="421"/>
      <c r="J474" s="422"/>
      <c r="K474" s="475"/>
      <c r="L474" s="475"/>
      <c r="R474" s="387"/>
      <c r="S474" s="387"/>
      <c r="T474" s="387"/>
      <c r="U474" s="387"/>
      <c r="V474" s="387"/>
      <c r="W474" s="387"/>
      <c r="X474" s="387"/>
      <c r="AQ474" s="476"/>
      <c r="BZ474" t="s">
        <v>433</v>
      </c>
      <c r="CA474" s="112" t="s">
        <v>200</v>
      </c>
      <c r="CB474" t="s">
        <v>201</v>
      </c>
      <c r="CF474" t="s">
        <v>206</v>
      </c>
      <c r="CG474" s="122" t="s">
        <v>207</v>
      </c>
    </row>
    <row r="475" spans="1:100" customFormat="1" ht="30" customHeight="1">
      <c r="A475" s="112" t="str">
        <f>IF($C$13=1,IF(K475="报价行",IF(F475&gt;0,1," ")," ")," ")</f>
        <v xml:space="preserve"> </v>
      </c>
      <c r="B475" s="414" t="str">
        <f>IF(A475=1,SUM($A$11:A475),"SHJ 角钢护脚")</f>
        <v>SHJ 角钢护脚</v>
      </c>
      <c r="C475" s="415" t="str">
        <f>B476&amp;IF(C478=1,CHAR(10)&amp;B477," ")</f>
        <v xml:space="preserve">Upright protector </v>
      </c>
      <c r="D475" s="650">
        <v>400</v>
      </c>
      <c r="E475" s="547"/>
      <c r="F475" s="460"/>
      <c r="G475" s="419">
        <f>C477</f>
        <v>8.66</v>
      </c>
      <c r="H475" s="420">
        <f>H476</f>
        <v>68.16504424778762</v>
      </c>
      <c r="I475" s="421" t="s">
        <v>387</v>
      </c>
      <c r="J475" s="422"/>
      <c r="K475" s="423" t="s">
        <v>217</v>
      </c>
      <c r="L475" s="54"/>
      <c r="O475" t="s">
        <v>680</v>
      </c>
      <c r="R475" s="387"/>
      <c r="S475" s="387"/>
      <c r="T475" s="387"/>
      <c r="U475" s="387"/>
      <c r="V475" s="387"/>
      <c r="W475" s="387"/>
      <c r="X475" s="387"/>
      <c r="AQ475" s="110"/>
      <c r="AX475">
        <f>E475</f>
        <v>0</v>
      </c>
      <c r="AY475" s="494">
        <f>D475</f>
        <v>400</v>
      </c>
      <c r="AZ475">
        <f>F475</f>
        <v>0</v>
      </c>
      <c r="BA475" s="256">
        <f>G475</f>
        <v>8.66</v>
      </c>
      <c r="BB475">
        <f>AZ475*BA475</f>
        <v>0</v>
      </c>
      <c r="BC475" s="495"/>
      <c r="BR475" t="str">
        <f>I475</f>
        <v>Yellow Ral1023</v>
      </c>
      <c r="BZ475" t="s">
        <v>389</v>
      </c>
      <c r="CA475" s="112" t="s">
        <v>200</v>
      </c>
      <c r="CB475" t="s">
        <v>201</v>
      </c>
      <c r="CG475" s="122" t="s">
        <v>207</v>
      </c>
      <c r="CV475" s="388"/>
    </row>
    <row r="476" spans="1:100" customFormat="1" ht="30" customHeight="1" outlineLevel="1">
      <c r="A476" s="460"/>
      <c r="B476" s="460" t="s">
        <v>507</v>
      </c>
      <c r="C476" s="112" t="s">
        <v>559</v>
      </c>
      <c r="D476" s="460">
        <v>7.5</v>
      </c>
      <c r="E476" s="418"/>
      <c r="F476" s="418">
        <v>1</v>
      </c>
      <c r="G476" s="514" t="s">
        <v>236</v>
      </c>
      <c r="H476" s="421">
        <f>C477*(D476*1.01+E476*1.13+D477+E477)/1.13*F476</f>
        <v>68.16504424778762</v>
      </c>
      <c r="I476" s="421"/>
      <c r="J476" s="422"/>
      <c r="K476" s="54" t="s">
        <v>237</v>
      </c>
      <c r="L476" s="54"/>
      <c r="O476" t="s">
        <v>680</v>
      </c>
      <c r="R476" s="387"/>
      <c r="S476" s="387"/>
      <c r="T476" s="387"/>
      <c r="U476" s="387"/>
      <c r="V476" s="387"/>
      <c r="W476" s="387"/>
      <c r="X476" s="387"/>
      <c r="AQ476" s="110"/>
      <c r="AX476" t="s">
        <v>156</v>
      </c>
      <c r="AY476" t="s">
        <v>246</v>
      </c>
      <c r="AZ476" t="s">
        <v>102</v>
      </c>
      <c r="BA476" t="s">
        <v>158</v>
      </c>
      <c r="BB476" t="s">
        <v>247</v>
      </c>
      <c r="BD476" t="s">
        <v>249</v>
      </c>
      <c r="BE476" t="s">
        <v>250</v>
      </c>
      <c r="BF476" t="s">
        <v>251</v>
      </c>
      <c r="BZ476" t="s">
        <v>389</v>
      </c>
      <c r="CA476" s="112" t="s">
        <v>200</v>
      </c>
      <c r="CB476" t="s">
        <v>201</v>
      </c>
      <c r="CG476" s="122" t="s">
        <v>207</v>
      </c>
      <c r="CV476" s="388"/>
    </row>
    <row r="477" spans="1:100" customFormat="1" ht="30" customHeight="1" outlineLevel="1">
      <c r="A477" s="112"/>
      <c r="B477" s="112" t="s">
        <v>509</v>
      </c>
      <c r="C477" s="623">
        <f>8.3+0.09*4</f>
        <v>8.66</v>
      </c>
      <c r="D477" s="564">
        <v>0.95</v>
      </c>
      <c r="E477" s="564">
        <f>0.8*4/C477</f>
        <v>0.36951501154734412</v>
      </c>
      <c r="F477" s="561"/>
      <c r="G477" s="418"/>
      <c r="H477" s="421"/>
      <c r="I477" s="421"/>
      <c r="J477" s="422"/>
      <c r="K477" s="54" t="s">
        <v>237</v>
      </c>
      <c r="L477" s="54"/>
      <c r="O477" t="s">
        <v>680</v>
      </c>
      <c r="R477" s="387"/>
      <c r="S477" s="387"/>
      <c r="T477" s="387"/>
      <c r="U477" s="387"/>
      <c r="V477" s="387"/>
      <c r="W477" s="387"/>
      <c r="X477" s="387"/>
      <c r="AQ477" s="110"/>
      <c r="BZ477" t="s">
        <v>389</v>
      </c>
      <c r="CA477" s="112" t="s">
        <v>200</v>
      </c>
      <c r="CB477" t="s">
        <v>201</v>
      </c>
      <c r="CG477" s="122" t="s">
        <v>207</v>
      </c>
      <c r="CV477" s="388"/>
    </row>
    <row r="478" spans="1:100" customFormat="1" ht="30" customHeight="1" outlineLevel="1">
      <c r="A478" s="112"/>
      <c r="B478" s="414">
        <v>0</v>
      </c>
      <c r="C478" s="465">
        <f>报价辅助计算!$E$13</f>
        <v>0</v>
      </c>
      <c r="D478" s="564"/>
      <c r="E478" s="564"/>
      <c r="F478" s="561"/>
      <c r="G478" s="418"/>
      <c r="H478" s="421"/>
      <c r="I478" s="421"/>
      <c r="J478" s="422"/>
      <c r="K478" s="54" t="s">
        <v>237</v>
      </c>
      <c r="L478" s="54"/>
      <c r="O478" t="s">
        <v>680</v>
      </c>
      <c r="R478" s="387"/>
      <c r="S478" s="387"/>
      <c r="T478" s="387"/>
      <c r="U478" s="387"/>
      <c r="V478" s="387"/>
      <c r="W478" s="387"/>
      <c r="X478" s="387"/>
      <c r="AQ478" s="110"/>
      <c r="BZ478" t="s">
        <v>389</v>
      </c>
      <c r="CA478" s="112" t="s">
        <v>200</v>
      </c>
      <c r="CB478" t="s">
        <v>201</v>
      </c>
      <c r="CG478" s="122" t="s">
        <v>207</v>
      </c>
      <c r="CV478" s="388"/>
    </row>
    <row r="479" spans="1:100" s="376" customFormat="1" ht="30" customHeight="1">
      <c r="A479" s="472"/>
      <c r="B479" s="473"/>
      <c r="C479" s="473"/>
      <c r="D479" s="473"/>
      <c r="E479" s="474"/>
      <c r="F479" s="473"/>
      <c r="G479" s="473"/>
      <c r="H479" s="421"/>
      <c r="I479" s="421"/>
      <c r="J479" s="422"/>
      <c r="K479" s="475"/>
      <c r="L479" s="475"/>
      <c r="R479" s="387"/>
      <c r="S479" s="387"/>
      <c r="T479" s="387"/>
      <c r="U479" s="387"/>
      <c r="V479" s="387"/>
      <c r="W479" s="387"/>
      <c r="X479" s="387"/>
      <c r="AQ479" s="476"/>
      <c r="BZ479" t="s">
        <v>389</v>
      </c>
      <c r="CA479" s="112" t="s">
        <v>200</v>
      </c>
      <c r="CB479" t="s">
        <v>201</v>
      </c>
      <c r="CC479"/>
      <c r="CD479"/>
      <c r="CE479"/>
      <c r="CF479"/>
      <c r="CG479" s="122" t="s">
        <v>207</v>
      </c>
    </row>
    <row r="480" spans="1:100" customFormat="1" ht="30" customHeight="1">
      <c r="A480" s="112" t="str">
        <f>IF($C$13=1,IF(K480="报价行",IF(F480&gt;0,1," ")," ")," ")</f>
        <v xml:space="preserve"> </v>
      </c>
      <c r="B480" s="414" t="str">
        <f>IF(A480=1,SUM($A$11:A480),"SHJ 防撞栏")</f>
        <v>SHJ 防撞栏</v>
      </c>
      <c r="C480" s="415" t="str">
        <f>B481&amp;IF(C483=1,CHAR(10)&amp;B482," ")</f>
        <v xml:space="preserve">Safety barrier </v>
      </c>
      <c r="D480" s="668" t="str">
        <f>"L"&amp;C482&amp;"*H"&amp;E482</f>
        <v>L2500*H400</v>
      </c>
      <c r="E480" s="643" t="s">
        <v>681</v>
      </c>
      <c r="F480" s="460"/>
      <c r="G480" s="419">
        <f>C481</f>
        <v>46.528000000000006</v>
      </c>
      <c r="H480" s="420">
        <f>(D481*1.01+E481+F481)*G480/1.13</f>
        <v>359.69132743362843</v>
      </c>
      <c r="I480" s="421" t="s">
        <v>387</v>
      </c>
      <c r="J480" s="422"/>
      <c r="K480" s="423" t="s">
        <v>217</v>
      </c>
      <c r="L480" s="54"/>
      <c r="O480" t="s">
        <v>682</v>
      </c>
      <c r="R480" s="387"/>
      <c r="S480" s="387"/>
      <c r="T480" s="387"/>
      <c r="U480" s="387"/>
      <c r="V480" s="387"/>
      <c r="W480" s="387"/>
      <c r="X480" s="387"/>
      <c r="AQ480" s="110"/>
      <c r="AX480" t="str">
        <f>E480</f>
        <v>L75x50x5.0t</v>
      </c>
      <c r="AY480" s="494" t="str">
        <f>D480</f>
        <v>L2500*H400</v>
      </c>
      <c r="AZ480">
        <f>F480</f>
        <v>0</v>
      </c>
      <c r="BA480" s="256">
        <f>G480</f>
        <v>46.528000000000006</v>
      </c>
      <c r="BB480">
        <f>AZ480*BA480</f>
        <v>0</v>
      </c>
      <c r="BC480" s="495"/>
      <c r="BR480" t="str">
        <f>I480</f>
        <v>Yellow Ral1023</v>
      </c>
      <c r="BZ480" t="s">
        <v>393</v>
      </c>
      <c r="CA480" s="112" t="s">
        <v>200</v>
      </c>
      <c r="CB480" t="s">
        <v>201</v>
      </c>
      <c r="CG480" s="122" t="s">
        <v>207</v>
      </c>
      <c r="CV480" s="388"/>
    </row>
    <row r="481" spans="1:100" customFormat="1" ht="30" customHeight="1" outlineLevel="1">
      <c r="A481" s="418"/>
      <c r="B481" s="418" t="s">
        <v>394</v>
      </c>
      <c r="C481" s="664">
        <f>D483*2+E483*F482+F483</f>
        <v>46.528000000000006</v>
      </c>
      <c r="D481" s="460">
        <v>7.5</v>
      </c>
      <c r="E481" s="418">
        <f>IF(G481="喷塑",0.95,0)</f>
        <v>0.95</v>
      </c>
      <c r="F481" s="571">
        <f>(0.8*4*2+0.8*2*F482+0.3*(2*2+2*F482))/C481</f>
        <v>0.21062585969738651</v>
      </c>
      <c r="G481" s="514" t="s">
        <v>236</v>
      </c>
      <c r="H481" s="421"/>
      <c r="I481" s="421"/>
      <c r="J481" s="422"/>
      <c r="K481" s="54" t="s">
        <v>237</v>
      </c>
      <c r="L481" s="54"/>
      <c r="O481" t="s">
        <v>682</v>
      </c>
      <c r="R481" s="387"/>
      <c r="S481" s="387"/>
      <c r="T481" s="387"/>
      <c r="U481" s="387"/>
      <c r="V481" s="387"/>
      <c r="W481" s="387"/>
      <c r="X481" s="387"/>
      <c r="AQ481" s="110"/>
      <c r="AX481" t="s">
        <v>156</v>
      </c>
      <c r="AY481" t="s">
        <v>246</v>
      </c>
      <c r="AZ481" t="s">
        <v>102</v>
      </c>
      <c r="BA481" t="s">
        <v>158</v>
      </c>
      <c r="BB481" t="s">
        <v>247</v>
      </c>
      <c r="BD481" t="s">
        <v>249</v>
      </c>
      <c r="BE481" t="s">
        <v>250</v>
      </c>
      <c r="BF481" t="s">
        <v>251</v>
      </c>
      <c r="BZ481" t="s">
        <v>393</v>
      </c>
      <c r="CA481" s="112" t="s">
        <v>200</v>
      </c>
      <c r="CB481" t="s">
        <v>201</v>
      </c>
      <c r="CG481" s="122" t="s">
        <v>207</v>
      </c>
      <c r="CV481" s="388"/>
    </row>
    <row r="482" spans="1:100" customFormat="1" ht="30" customHeight="1" outlineLevel="1">
      <c r="A482" s="112"/>
      <c r="B482" s="418" t="s">
        <v>395</v>
      </c>
      <c r="C482" s="460">
        <v>2500</v>
      </c>
      <c r="D482" s="669">
        <v>2</v>
      </c>
      <c r="E482" s="623">
        <v>400</v>
      </c>
      <c r="F482" s="670">
        <v>1</v>
      </c>
      <c r="G482" s="418"/>
      <c r="H482" s="421"/>
      <c r="I482" s="421"/>
      <c r="J482" s="422"/>
      <c r="K482" s="54" t="s">
        <v>237</v>
      </c>
      <c r="L482" s="54"/>
      <c r="O482" t="s">
        <v>682</v>
      </c>
      <c r="R482" s="387"/>
      <c r="S482" s="387"/>
      <c r="T482" s="387"/>
      <c r="U482" s="387"/>
      <c r="V482" s="387"/>
      <c r="W482" s="387"/>
      <c r="X482" s="387"/>
      <c r="AQ482" s="110"/>
      <c r="BZ482" t="s">
        <v>393</v>
      </c>
      <c r="CA482" s="112" t="s">
        <v>200</v>
      </c>
      <c r="CB482" t="s">
        <v>201</v>
      </c>
      <c r="CG482" s="122" t="s">
        <v>207</v>
      </c>
      <c r="CV482" s="388"/>
    </row>
    <row r="483" spans="1:100" customFormat="1" ht="30" customHeight="1" outlineLevel="1">
      <c r="A483" s="112"/>
      <c r="B483" s="414">
        <v>0</v>
      </c>
      <c r="C483" s="465">
        <f>报价辅助计算!$E$13</f>
        <v>0</v>
      </c>
      <c r="D483" s="671">
        <f>8.3+0.09*8</f>
        <v>9.0200000000000014</v>
      </c>
      <c r="E483" s="672">
        <v>3.6</v>
      </c>
      <c r="F483" s="673">
        <f>4.81*(C482-100)/1000*D482+1.6+0.2</f>
        <v>24.887999999999998</v>
      </c>
      <c r="G483" s="418"/>
      <c r="H483" s="421"/>
      <c r="I483" s="421"/>
      <c r="J483" s="422"/>
      <c r="K483" s="54" t="s">
        <v>237</v>
      </c>
      <c r="L483" s="54"/>
      <c r="O483" t="s">
        <v>682</v>
      </c>
      <c r="R483" s="387"/>
      <c r="S483" s="387"/>
      <c r="T483" s="387"/>
      <c r="U483" s="387"/>
      <c r="V483" s="387"/>
      <c r="W483" s="387"/>
      <c r="X483" s="387"/>
      <c r="AQ483" s="110"/>
      <c r="BZ483" t="s">
        <v>393</v>
      </c>
      <c r="CA483" s="112" t="s">
        <v>200</v>
      </c>
      <c r="CB483" t="s">
        <v>201</v>
      </c>
      <c r="CG483" s="122" t="s">
        <v>207</v>
      </c>
      <c r="CV483" s="388"/>
    </row>
    <row r="484" spans="1:100" s="376" customFormat="1" ht="30" customHeight="1">
      <c r="A484" s="472"/>
      <c r="B484" s="473"/>
      <c r="C484" s="473"/>
      <c r="D484" s="473"/>
      <c r="E484" s="474"/>
      <c r="F484" s="473"/>
      <c r="G484" s="473"/>
      <c r="H484" s="421"/>
      <c r="I484" s="421"/>
      <c r="J484" s="422"/>
      <c r="K484" s="475"/>
      <c r="L484" s="475"/>
      <c r="R484" s="387"/>
      <c r="S484" s="387"/>
      <c r="T484" s="387"/>
      <c r="U484" s="387"/>
      <c r="V484" s="387"/>
      <c r="W484" s="387"/>
      <c r="X484" s="387"/>
      <c r="AQ484" s="476"/>
      <c r="BZ484" t="s">
        <v>393</v>
      </c>
      <c r="CA484" s="112" t="s">
        <v>200</v>
      </c>
      <c r="CB484" t="s">
        <v>201</v>
      </c>
      <c r="CC484"/>
      <c r="CD484"/>
      <c r="CE484"/>
      <c r="CF484"/>
      <c r="CG484" s="477" t="s">
        <v>207</v>
      </c>
    </row>
    <row r="485" spans="1:100" customFormat="1" ht="30" customHeight="1">
      <c r="A485" s="112" t="str">
        <f>IF($C$13=1,IF(K485="报价行",IF(F485&gt;0,1," ")," ")," ")</f>
        <v xml:space="preserve"> </v>
      </c>
      <c r="B485" s="414" t="str">
        <f>IF(A485=1,SUM($A$11:A485),"MHJ L护脚")</f>
        <v>MHJ L护脚</v>
      </c>
      <c r="C485" s="415" t="str">
        <f>B486&amp;IF(C488=1,CHAR(10)&amp;B487," ")</f>
        <v xml:space="preserve">Column guard </v>
      </c>
      <c r="D485" s="650">
        <v>430</v>
      </c>
      <c r="E485" s="899" t="s">
        <v>2309</v>
      </c>
      <c r="F485" s="460"/>
      <c r="G485" s="419">
        <f>C487</f>
        <v>5.0255700000000001</v>
      </c>
      <c r="H485" s="420">
        <f>H486</f>
        <v>33.422264203539832</v>
      </c>
      <c r="I485" s="421" t="s">
        <v>387</v>
      </c>
      <c r="J485" s="422"/>
      <c r="K485" s="423" t="s">
        <v>217</v>
      </c>
      <c r="L485" s="54"/>
      <c r="O485" t="s">
        <v>2307</v>
      </c>
      <c r="R485" s="387"/>
      <c r="S485" s="387"/>
      <c r="T485" s="387"/>
      <c r="U485" s="387"/>
      <c r="V485" s="387"/>
      <c r="W485" s="387"/>
      <c r="X485" s="387"/>
      <c r="AQ485" s="110"/>
      <c r="AX485" t="str">
        <f>E485</f>
        <v>L110*110*6.0,without bolt</v>
      </c>
      <c r="AY485" s="494">
        <f>D485</f>
        <v>430</v>
      </c>
      <c r="AZ485">
        <f>F485</f>
        <v>0</v>
      </c>
      <c r="BA485" s="256">
        <f>G485</f>
        <v>5.0255700000000001</v>
      </c>
      <c r="BB485">
        <f>AZ485*BA485</f>
        <v>0</v>
      </c>
      <c r="BC485" s="495"/>
      <c r="BR485" t="str">
        <f>I485</f>
        <v>Yellow Ral1023</v>
      </c>
      <c r="BZ485" t="s">
        <v>389</v>
      </c>
      <c r="CA485" s="112" t="s">
        <v>200</v>
      </c>
      <c r="CB485" t="s">
        <v>201</v>
      </c>
      <c r="CG485" s="122" t="s">
        <v>207</v>
      </c>
      <c r="CV485" s="388"/>
    </row>
    <row r="486" spans="1:100" customFormat="1" ht="30" customHeight="1" outlineLevel="1">
      <c r="A486" s="112"/>
      <c r="B486" s="460" t="s">
        <v>683</v>
      </c>
      <c r="C486" s="112" t="s">
        <v>559</v>
      </c>
      <c r="D486" s="418">
        <v>6.5</v>
      </c>
      <c r="E486" s="418"/>
      <c r="F486" s="418">
        <v>1</v>
      </c>
      <c r="G486" s="514" t="s">
        <v>236</v>
      </c>
      <c r="H486" s="421">
        <f>C487*(D486*1.01+E486*1.13+D487+E487)/1.13*F486</f>
        <v>33.422264203539832</v>
      </c>
      <c r="I486" s="421"/>
      <c r="J486" s="422"/>
      <c r="K486" s="54" t="s">
        <v>237</v>
      </c>
      <c r="L486" s="54"/>
      <c r="O486" t="s">
        <v>2307</v>
      </c>
      <c r="R486" s="387"/>
      <c r="S486" s="387"/>
      <c r="T486" s="387"/>
      <c r="U486" s="387"/>
      <c r="V486" s="387"/>
      <c r="W486" s="387"/>
      <c r="X486" s="387"/>
      <c r="AQ486" s="110"/>
      <c r="AX486" t="s">
        <v>156</v>
      </c>
      <c r="AY486" t="s">
        <v>246</v>
      </c>
      <c r="AZ486" t="s">
        <v>102</v>
      </c>
      <c r="BA486" t="s">
        <v>158</v>
      </c>
      <c r="BB486" t="s">
        <v>247</v>
      </c>
      <c r="BD486" t="s">
        <v>249</v>
      </c>
      <c r="BE486" t="s">
        <v>250</v>
      </c>
      <c r="BF486" t="s">
        <v>251</v>
      </c>
      <c r="BZ486" t="s">
        <v>389</v>
      </c>
      <c r="CA486" s="112" t="s">
        <v>200</v>
      </c>
      <c r="CB486" t="s">
        <v>201</v>
      </c>
      <c r="CG486" s="122" t="s">
        <v>207</v>
      </c>
      <c r="CV486" s="388"/>
    </row>
    <row r="487" spans="1:100" customFormat="1" ht="30" customHeight="1" outlineLevel="1">
      <c r="A487" s="112"/>
      <c r="B487" s="112" t="s">
        <v>509</v>
      </c>
      <c r="C487" s="460">
        <f>0.22*(D485+55)*6*7.85/1000</f>
        <v>5.0255700000000001</v>
      </c>
      <c r="D487" s="564">
        <v>0.95</v>
      </c>
      <c r="E487" s="564"/>
      <c r="F487" s="561"/>
      <c r="G487" s="418"/>
      <c r="H487" s="421"/>
      <c r="I487" s="421"/>
      <c r="J487" s="422"/>
      <c r="K487" s="54" t="s">
        <v>237</v>
      </c>
      <c r="L487" s="54"/>
      <c r="O487" t="s">
        <v>2307</v>
      </c>
      <c r="R487" s="387"/>
      <c r="S487" s="387"/>
      <c r="T487" s="387"/>
      <c r="U487" s="387"/>
      <c r="V487" s="387"/>
      <c r="W487" s="387"/>
      <c r="X487" s="387"/>
      <c r="AQ487" s="110"/>
      <c r="BZ487" t="s">
        <v>389</v>
      </c>
      <c r="CA487" s="112" t="s">
        <v>200</v>
      </c>
      <c r="CB487" t="s">
        <v>201</v>
      </c>
      <c r="CG487" s="122" t="s">
        <v>207</v>
      </c>
      <c r="CV487" s="388"/>
    </row>
    <row r="488" spans="1:100" customFormat="1" ht="30" customHeight="1" outlineLevel="1">
      <c r="A488" s="112"/>
      <c r="B488" s="414">
        <v>0</v>
      </c>
      <c r="C488" s="465">
        <f>报价辅助计算!$E$13</f>
        <v>0</v>
      </c>
      <c r="D488" s="564"/>
      <c r="E488" s="564"/>
      <c r="F488" s="561"/>
      <c r="G488" s="418"/>
      <c r="H488" s="421"/>
      <c r="I488" s="421"/>
      <c r="J488" s="422"/>
      <c r="K488" s="54" t="s">
        <v>237</v>
      </c>
      <c r="L488" s="54"/>
      <c r="O488" t="s">
        <v>2307</v>
      </c>
      <c r="R488" s="387"/>
      <c r="S488" s="387"/>
      <c r="T488" s="387"/>
      <c r="U488" s="387"/>
      <c r="V488" s="387"/>
      <c r="W488" s="387"/>
      <c r="X488" s="387"/>
      <c r="AQ488" s="110"/>
      <c r="BZ488" t="s">
        <v>389</v>
      </c>
      <c r="CA488" s="112" t="s">
        <v>200</v>
      </c>
      <c r="CB488" t="s">
        <v>201</v>
      </c>
      <c r="CG488" s="122" t="s">
        <v>207</v>
      </c>
      <c r="CV488" s="388"/>
    </row>
    <row r="489" spans="1:100" s="376" customFormat="1" ht="30" customHeight="1">
      <c r="A489" s="472"/>
      <c r="B489" s="473"/>
      <c r="C489" s="473"/>
      <c r="D489" s="473"/>
      <c r="E489" s="474"/>
      <c r="F489" s="473"/>
      <c r="G489" s="473"/>
      <c r="H489" s="421"/>
      <c r="I489" s="421"/>
      <c r="J489" s="422"/>
      <c r="K489" s="475"/>
      <c r="L489" s="475"/>
      <c r="R489" s="387"/>
      <c r="S489" s="387"/>
      <c r="T489" s="387"/>
      <c r="U489" s="387"/>
      <c r="V489" s="387"/>
      <c r="W489" s="387"/>
      <c r="X489" s="387"/>
      <c r="AQ489" s="476"/>
      <c r="BZ489" t="s">
        <v>389</v>
      </c>
      <c r="CA489" s="112" t="s">
        <v>200</v>
      </c>
      <c r="CB489" t="s">
        <v>201</v>
      </c>
      <c r="CC489"/>
      <c r="CD489"/>
      <c r="CE489"/>
      <c r="CF489"/>
      <c r="CG489" s="122" t="s">
        <v>207</v>
      </c>
    </row>
    <row r="490" spans="1:100" s="378" customFormat="1" ht="30" customHeight="1">
      <c r="A490" s="628"/>
      <c r="B490" s="629" t="s">
        <v>207</v>
      </c>
      <c r="C490" s="629"/>
      <c r="D490" s="629"/>
      <c r="E490" s="630"/>
      <c r="F490" s="629"/>
      <c r="G490" s="629"/>
      <c r="H490" s="421"/>
      <c r="I490" s="421"/>
      <c r="J490" s="422"/>
      <c r="K490" s="631"/>
      <c r="L490" s="631"/>
      <c r="R490" s="387"/>
      <c r="S490" s="387"/>
      <c r="T490" s="387"/>
      <c r="U490" s="387"/>
      <c r="V490" s="387"/>
      <c r="W490" s="387"/>
      <c r="X490" s="387"/>
      <c r="AQ490" s="632"/>
      <c r="CA490" s="628"/>
      <c r="CG490" s="633"/>
    </row>
    <row r="491" spans="1:100" customFormat="1" ht="30" customHeight="1">
      <c r="A491" s="112" t="str">
        <f>IF($C$13=1,IF(K491="报价行",IF(F491&gt;0,1," ")," ")," ")</f>
        <v xml:space="preserve"> </v>
      </c>
      <c r="B491" s="414" t="str">
        <f>IF(A491=1,SUM($A$11:A491),"采购件")</f>
        <v>采购件</v>
      </c>
      <c r="C491" s="460"/>
      <c r="D491" s="536"/>
      <c r="E491" s="641"/>
      <c r="F491" s="460"/>
      <c r="G491" s="419"/>
      <c r="H491" s="420">
        <f>D492*1.01/1.13+D493/1.06</f>
        <v>0</v>
      </c>
      <c r="I491" s="421"/>
      <c r="J491" s="422"/>
      <c r="K491" s="423" t="s">
        <v>217</v>
      </c>
      <c r="L491" s="54"/>
      <c r="O491" t="s">
        <v>684</v>
      </c>
      <c r="R491" s="387"/>
      <c r="S491" s="387"/>
      <c r="T491" s="387"/>
      <c r="U491" s="387"/>
      <c r="V491" s="387"/>
      <c r="W491" s="387"/>
      <c r="X491" s="387"/>
      <c r="AQ491" s="110"/>
      <c r="AX491">
        <f>E491</f>
        <v>0</v>
      </c>
      <c r="AY491" s="494">
        <f>D491</f>
        <v>0</v>
      </c>
      <c r="AZ491">
        <f>F491</f>
        <v>0</v>
      </c>
      <c r="BA491" s="256">
        <f>G491</f>
        <v>0</v>
      </c>
      <c r="BB491">
        <f>AZ491*BA491</f>
        <v>0</v>
      </c>
      <c r="BC491" s="495"/>
      <c r="BR491">
        <f>I491</f>
        <v>0</v>
      </c>
      <c r="BZ491" t="s">
        <v>684</v>
      </c>
      <c r="CA491" s="112"/>
      <c r="CG491" s="122" t="s">
        <v>207</v>
      </c>
      <c r="CV491" s="388"/>
    </row>
    <row r="492" spans="1:100" customFormat="1" ht="30" customHeight="1" outlineLevel="1">
      <c r="A492" s="112"/>
      <c r="B492" s="112"/>
      <c r="C492" s="418" t="s">
        <v>684</v>
      </c>
      <c r="D492" s="640"/>
      <c r="E492" s="486" t="s">
        <v>536</v>
      </c>
      <c r="F492" s="418"/>
      <c r="G492" s="418"/>
      <c r="H492" s="421"/>
      <c r="I492" s="421"/>
      <c r="J492" s="422"/>
      <c r="K492" s="54" t="s">
        <v>237</v>
      </c>
      <c r="L492" s="54"/>
      <c r="O492" t="s">
        <v>684</v>
      </c>
      <c r="R492" s="387"/>
      <c r="S492" s="387"/>
      <c r="T492" s="387"/>
      <c r="U492" s="387"/>
      <c r="V492" s="387"/>
      <c r="W492" s="387"/>
      <c r="X492" s="387"/>
      <c r="AQ492" s="110"/>
      <c r="AX492" t="s">
        <v>156</v>
      </c>
      <c r="AY492" t="s">
        <v>246</v>
      </c>
      <c r="AZ492" t="s">
        <v>102</v>
      </c>
      <c r="BA492" t="s">
        <v>158</v>
      </c>
      <c r="BB492" t="s">
        <v>247</v>
      </c>
      <c r="BD492" t="s">
        <v>249</v>
      </c>
      <c r="BE492" t="s">
        <v>250</v>
      </c>
      <c r="BF492" t="s">
        <v>251</v>
      </c>
      <c r="BZ492" t="s">
        <v>684</v>
      </c>
      <c r="CA492" s="112"/>
      <c r="CG492" s="122" t="s">
        <v>207</v>
      </c>
      <c r="CV492" s="388"/>
    </row>
    <row r="493" spans="1:100" customFormat="1" ht="30" customHeight="1" outlineLevel="1">
      <c r="A493" s="112"/>
      <c r="B493" s="418"/>
      <c r="C493" s="112" t="s">
        <v>538</v>
      </c>
      <c r="D493" s="640"/>
      <c r="E493" s="486" t="s">
        <v>539</v>
      </c>
      <c r="F493" s="418"/>
      <c r="G493" s="418"/>
      <c r="H493" s="421"/>
      <c r="I493" s="421"/>
      <c r="J493" s="422"/>
      <c r="K493" s="54" t="s">
        <v>237</v>
      </c>
      <c r="L493" s="54"/>
      <c r="O493" t="s">
        <v>684</v>
      </c>
      <c r="R493" s="387"/>
      <c r="S493" s="387"/>
      <c r="T493" s="387"/>
      <c r="U493" s="387"/>
      <c r="V493" s="387"/>
      <c r="W493" s="387"/>
      <c r="X493" s="387"/>
      <c r="AQ493" s="110"/>
      <c r="BZ493" t="s">
        <v>684</v>
      </c>
      <c r="CA493" s="112"/>
      <c r="CG493" s="122" t="s">
        <v>207</v>
      </c>
      <c r="CV493" s="388"/>
    </row>
    <row r="494" spans="1:100" customFormat="1" ht="30" customHeight="1" outlineLevel="1">
      <c r="A494" s="112"/>
      <c r="B494" s="418"/>
      <c r="C494" s="112"/>
      <c r="D494" s="463"/>
      <c r="E494" s="415"/>
      <c r="F494" s="418"/>
      <c r="G494" s="418"/>
      <c r="H494" s="421"/>
      <c r="I494" s="421"/>
      <c r="J494" s="422"/>
      <c r="K494" s="54" t="s">
        <v>237</v>
      </c>
      <c r="L494" s="54"/>
      <c r="O494" t="s">
        <v>684</v>
      </c>
      <c r="R494" s="387"/>
      <c r="S494" s="387"/>
      <c r="T494" s="387"/>
      <c r="U494" s="387"/>
      <c r="V494" s="387"/>
      <c r="W494" s="387"/>
      <c r="X494" s="387"/>
      <c r="AQ494" s="110"/>
      <c r="BZ494" t="s">
        <v>684</v>
      </c>
      <c r="CA494" s="112"/>
      <c r="CG494" s="122" t="s">
        <v>207</v>
      </c>
      <c r="CV494" s="388"/>
    </row>
    <row r="495" spans="1:100" customFormat="1" ht="30" customHeight="1" outlineLevel="1">
      <c r="A495" s="112"/>
      <c r="B495" s="414">
        <v>0</v>
      </c>
      <c r="C495" s="418"/>
      <c r="D495" s="418"/>
      <c r="E495" s="415"/>
      <c r="F495" s="418"/>
      <c r="G495" s="418"/>
      <c r="H495" s="421"/>
      <c r="I495" s="421"/>
      <c r="J495" s="422"/>
      <c r="K495" s="54" t="s">
        <v>237</v>
      </c>
      <c r="L495" s="54"/>
      <c r="O495" t="s">
        <v>684</v>
      </c>
      <c r="R495" s="387"/>
      <c r="S495" s="387"/>
      <c r="T495" s="387"/>
      <c r="U495" s="387"/>
      <c r="V495" s="387"/>
      <c r="W495" s="387"/>
      <c r="X495" s="387"/>
      <c r="AQ495" s="110"/>
      <c r="BZ495" t="s">
        <v>684</v>
      </c>
      <c r="CA495" s="112"/>
      <c r="CG495" s="122" t="s">
        <v>207</v>
      </c>
      <c r="CV495" s="388"/>
    </row>
    <row r="496" spans="1:100" s="376" customFormat="1" ht="30" customHeight="1">
      <c r="A496" s="472"/>
      <c r="B496" s="473"/>
      <c r="C496" s="473"/>
      <c r="D496" s="473"/>
      <c r="E496" s="474"/>
      <c r="F496" s="473"/>
      <c r="G496" s="473"/>
      <c r="H496" s="421"/>
      <c r="I496" s="421"/>
      <c r="J496" s="422"/>
      <c r="K496" s="475"/>
      <c r="L496" s="475"/>
      <c r="R496" s="387"/>
      <c r="S496" s="387"/>
      <c r="T496" s="387"/>
      <c r="U496" s="387"/>
      <c r="V496" s="387"/>
      <c r="W496" s="387"/>
      <c r="X496" s="387"/>
      <c r="AQ496" s="476"/>
      <c r="BZ496" t="s">
        <v>684</v>
      </c>
      <c r="CA496" s="112"/>
      <c r="CB496"/>
      <c r="CC496"/>
      <c r="CD496"/>
      <c r="CE496"/>
      <c r="CF496"/>
      <c r="CG496" s="122" t="s">
        <v>207</v>
      </c>
    </row>
    <row r="497" spans="1:100" customFormat="1" ht="30" customHeight="1">
      <c r="A497" s="112" t="str">
        <f>IF($C$13=1,IF(K497="报价行",IF(F497&gt;0,1," ")," ")," ")</f>
        <v xml:space="preserve"> </v>
      </c>
      <c r="B497" s="414" t="str">
        <f>IF(A497=1,SUM($A$11:A497),"其他自制件")</f>
        <v>其他自制件</v>
      </c>
      <c r="C497" s="460"/>
      <c r="D497" s="645"/>
      <c r="E497" s="547"/>
      <c r="F497" s="460"/>
      <c r="G497" s="419">
        <f>C499</f>
        <v>3.5727500000000001</v>
      </c>
      <c r="H497" s="420">
        <f>H498</f>
        <v>25.892636150442481</v>
      </c>
      <c r="I497" s="421" t="s">
        <v>292</v>
      </c>
      <c r="J497" s="422"/>
      <c r="K497" s="423" t="s">
        <v>217</v>
      </c>
      <c r="L497" s="54"/>
      <c r="O497" t="s">
        <v>685</v>
      </c>
      <c r="R497" s="387"/>
      <c r="S497" s="387"/>
      <c r="T497" s="387"/>
      <c r="U497" s="387"/>
      <c r="V497" s="387"/>
      <c r="W497" s="387"/>
      <c r="X497" s="387"/>
      <c r="AQ497" s="110"/>
      <c r="AX497">
        <f>E497</f>
        <v>0</v>
      </c>
      <c r="AY497" s="494">
        <f>D497</f>
        <v>0</v>
      </c>
      <c r="AZ497">
        <f>F497</f>
        <v>0</v>
      </c>
      <c r="BA497" s="256">
        <f>G497</f>
        <v>3.5727500000000001</v>
      </c>
      <c r="BB497">
        <f>AZ497*BA497</f>
        <v>0</v>
      </c>
      <c r="BC497" s="495"/>
      <c r="BR497" t="str">
        <f>I497</f>
        <v>Blue Ral5015</v>
      </c>
      <c r="BZ497" t="s">
        <v>685</v>
      </c>
      <c r="CA497" s="112"/>
      <c r="CG497" s="122" t="s">
        <v>207</v>
      </c>
      <c r="CV497" s="388"/>
    </row>
    <row r="498" spans="1:100" customFormat="1" ht="30" customHeight="1" outlineLevel="1">
      <c r="A498" s="112"/>
      <c r="B498" s="418"/>
      <c r="C498" s="112" t="s">
        <v>559</v>
      </c>
      <c r="D498" s="460">
        <v>3.94</v>
      </c>
      <c r="E498" s="460">
        <v>2</v>
      </c>
      <c r="F498" s="418">
        <v>1</v>
      </c>
      <c r="G498" s="514" t="s">
        <v>236</v>
      </c>
      <c r="H498" s="421">
        <f>C499*(D498*1.01+E498*1.13+D499+E499)/1.13*F498</f>
        <v>25.892636150442481</v>
      </c>
      <c r="I498" s="421"/>
      <c r="J498" s="422"/>
      <c r="K498" s="54" t="s">
        <v>237</v>
      </c>
      <c r="L498" s="54"/>
      <c r="O498" t="s">
        <v>685</v>
      </c>
      <c r="R498" s="387"/>
      <c r="S498" s="387"/>
      <c r="T498" s="387"/>
      <c r="U498" s="387"/>
      <c r="V498" s="387"/>
      <c r="W498" s="387"/>
      <c r="X498" s="387"/>
      <c r="AQ498" s="110"/>
      <c r="AX498" t="s">
        <v>156</v>
      </c>
      <c r="AY498" t="s">
        <v>246</v>
      </c>
      <c r="AZ498" t="s">
        <v>102</v>
      </c>
      <c r="BA498" t="s">
        <v>158</v>
      </c>
      <c r="BB498" t="s">
        <v>247</v>
      </c>
      <c r="BD498" t="s">
        <v>249</v>
      </c>
      <c r="BE498" t="s">
        <v>250</v>
      </c>
      <c r="BF498" t="s">
        <v>251</v>
      </c>
      <c r="BZ498" t="s">
        <v>685</v>
      </c>
      <c r="CA498" s="112"/>
      <c r="CG498" s="122" t="s">
        <v>207</v>
      </c>
      <c r="CV498" s="388"/>
    </row>
    <row r="499" spans="1:100" customFormat="1" ht="30" customHeight="1" outlineLevel="1">
      <c r="A499" s="112"/>
      <c r="B499" s="418"/>
      <c r="C499" s="460">
        <f>6.359*2*D497/1000+0.09*0.35*5*7.85*2+1.1</f>
        <v>3.5727500000000001</v>
      </c>
      <c r="D499" s="655">
        <v>0.95</v>
      </c>
      <c r="E499" s="655">
        <v>1</v>
      </c>
      <c r="F499" s="561"/>
      <c r="G499" s="418"/>
      <c r="H499" s="421"/>
      <c r="I499" s="421"/>
      <c r="J499" s="422"/>
      <c r="K499" s="54" t="s">
        <v>237</v>
      </c>
      <c r="L499" s="54"/>
      <c r="O499" t="s">
        <v>685</v>
      </c>
      <c r="R499" s="387"/>
      <c r="S499" s="387"/>
      <c r="T499" s="387"/>
      <c r="U499" s="387"/>
      <c r="V499" s="387"/>
      <c r="W499" s="387"/>
      <c r="X499" s="387"/>
      <c r="AQ499" s="110"/>
      <c r="BZ499" t="s">
        <v>685</v>
      </c>
      <c r="CA499" s="112"/>
      <c r="CG499" s="122" t="s">
        <v>207</v>
      </c>
      <c r="CV499" s="388"/>
    </row>
    <row r="500" spans="1:100" customFormat="1" ht="30" customHeight="1" outlineLevel="1">
      <c r="A500" s="112"/>
      <c r="B500" s="414">
        <v>0</v>
      </c>
      <c r="C500" s="418"/>
      <c r="D500" s="564"/>
      <c r="E500" s="564"/>
      <c r="F500" s="561"/>
      <c r="G500" s="418"/>
      <c r="H500" s="421"/>
      <c r="I500" s="421"/>
      <c r="J500" s="422"/>
      <c r="K500" s="54" t="s">
        <v>237</v>
      </c>
      <c r="L500" s="54"/>
      <c r="O500" t="s">
        <v>685</v>
      </c>
      <c r="R500" s="387"/>
      <c r="S500" s="387"/>
      <c r="T500" s="387"/>
      <c r="U500" s="387"/>
      <c r="V500" s="387"/>
      <c r="W500" s="387"/>
      <c r="X500" s="387"/>
      <c r="AQ500" s="110"/>
      <c r="BZ500" t="s">
        <v>685</v>
      </c>
      <c r="CA500" s="112"/>
      <c r="CG500" s="122" t="s">
        <v>207</v>
      </c>
      <c r="CV500" s="388"/>
    </row>
    <row r="501" spans="1:100" s="376" customFormat="1" ht="30" customHeight="1">
      <c r="A501" s="472"/>
      <c r="B501" s="473"/>
      <c r="C501" s="473"/>
      <c r="D501" s="473"/>
      <c r="E501" s="474"/>
      <c r="F501" s="473"/>
      <c r="G501" s="473"/>
      <c r="H501" s="421"/>
      <c r="I501" s="421"/>
      <c r="J501" s="422"/>
      <c r="K501" s="475"/>
      <c r="L501" s="475"/>
      <c r="R501" s="387"/>
      <c r="S501" s="387"/>
      <c r="T501" s="387"/>
      <c r="U501" s="387"/>
      <c r="V501" s="387"/>
      <c r="W501" s="387"/>
      <c r="X501" s="387"/>
      <c r="AQ501" s="476"/>
      <c r="BZ501" t="s">
        <v>685</v>
      </c>
      <c r="CA501" s="112"/>
      <c r="CB501"/>
      <c r="CC501"/>
      <c r="CD501"/>
      <c r="CE501"/>
      <c r="CF501"/>
      <c r="CG501" s="122" t="s">
        <v>207</v>
      </c>
    </row>
    <row r="502" spans="1:100" customFormat="1" ht="30" customHeight="1">
      <c r="A502" s="112" t="str">
        <f>IF($C$13=1,IF(K502="报价行",IF(F502&gt;0,1," ")," ")," ")</f>
        <v xml:space="preserve"> </v>
      </c>
      <c r="B502" s="414" t="str">
        <f>IF(A502=1,SUM($A$11:A502),"硬边网片")</f>
        <v>硬边网片</v>
      </c>
      <c r="C502" s="415" t="str">
        <f>B503&amp;IF(C511=1,CHAR(10)&amp;B504," ")</f>
        <v xml:space="preserve">Fencing </v>
      </c>
      <c r="D502" s="645" t="str">
        <f>D506</f>
        <v>L1930*L900</v>
      </c>
      <c r="E502" s="547" t="str">
        <f>E506</f>
        <v xml:space="preserve">Mesh 100*50*4, F25*1.5   </v>
      </c>
      <c r="F502" s="460"/>
      <c r="G502" s="419">
        <f>C504</f>
        <v>12.066252</v>
      </c>
      <c r="H502" s="420">
        <f>H503</f>
        <v>105.51699032212392</v>
      </c>
      <c r="I502" s="421" t="s">
        <v>292</v>
      </c>
      <c r="J502" s="422"/>
      <c r="K502" s="423" t="s">
        <v>217</v>
      </c>
      <c r="L502" s="54"/>
      <c r="O502" t="s">
        <v>686</v>
      </c>
      <c r="R502" s="387"/>
      <c r="S502" s="387"/>
      <c r="T502" s="387"/>
      <c r="U502" s="387"/>
      <c r="V502" s="387"/>
      <c r="W502" s="387"/>
      <c r="X502" s="387"/>
      <c r="AQ502" s="110"/>
      <c r="AX502" t="str">
        <f>E502</f>
        <v xml:space="preserve">Mesh 100*50*4, F25*1.5   </v>
      </c>
      <c r="AY502" s="494" t="str">
        <f>D502</f>
        <v>L1930*L900</v>
      </c>
      <c r="AZ502">
        <f>F502</f>
        <v>0</v>
      </c>
      <c r="BA502" s="256">
        <f>G502</f>
        <v>12.066252</v>
      </c>
      <c r="BB502">
        <f>AZ502*BA502</f>
        <v>0</v>
      </c>
      <c r="BC502" s="495"/>
      <c r="BR502" t="str">
        <f>I502</f>
        <v>Blue Ral5015</v>
      </c>
      <c r="BZ502" t="s">
        <v>687</v>
      </c>
      <c r="CA502" s="112"/>
      <c r="CG502" s="122" t="s">
        <v>207</v>
      </c>
      <c r="CV502" s="388"/>
    </row>
    <row r="503" spans="1:100" customFormat="1" ht="30" customHeight="1" outlineLevel="1">
      <c r="A503" s="112"/>
      <c r="B503" s="460" t="s">
        <v>688</v>
      </c>
      <c r="C503" s="112" t="s">
        <v>558</v>
      </c>
      <c r="D503" s="674">
        <f>B508*B507</f>
        <v>1930</v>
      </c>
      <c r="E503" s="675">
        <f>C508*C507</f>
        <v>900</v>
      </c>
      <c r="F503" s="418">
        <v>1</v>
      </c>
      <c r="G503" s="514" t="s">
        <v>236</v>
      </c>
      <c r="H503" s="421">
        <f>C504*(D504*1.01+E504*1.13+IF(G503="喷塑",1,0)*D505*D503*E503/1000000/C504+E505)/1.13*F503</f>
        <v>105.51699032212392</v>
      </c>
      <c r="I503" s="421"/>
      <c r="J503" s="422"/>
      <c r="K503" s="54" t="s">
        <v>237</v>
      </c>
      <c r="L503" s="54"/>
      <c r="O503" t="s">
        <v>686</v>
      </c>
      <c r="R503" s="387"/>
      <c r="S503" s="387"/>
      <c r="T503" s="387"/>
      <c r="U503" s="387"/>
      <c r="V503" s="387"/>
      <c r="W503" s="387"/>
      <c r="X503" s="387"/>
      <c r="AQ503" s="110"/>
      <c r="AX503" t="s">
        <v>156</v>
      </c>
      <c r="AY503" t="s">
        <v>246</v>
      </c>
      <c r="AZ503" t="s">
        <v>102</v>
      </c>
      <c r="BA503" t="s">
        <v>158</v>
      </c>
      <c r="BB503" t="s">
        <v>247</v>
      </c>
      <c r="BD503" t="s">
        <v>249</v>
      </c>
      <c r="BE503" t="s">
        <v>250</v>
      </c>
      <c r="BF503" t="s">
        <v>251</v>
      </c>
      <c r="BZ503" t="s">
        <v>687</v>
      </c>
      <c r="CA503" s="112"/>
      <c r="CG503" s="122" t="s">
        <v>207</v>
      </c>
      <c r="CV503" s="388"/>
    </row>
    <row r="504" spans="1:100" customFormat="1" ht="30" customHeight="1" outlineLevel="1">
      <c r="A504" s="112"/>
      <c r="B504" s="418" t="s">
        <v>686</v>
      </c>
      <c r="C504" s="438">
        <f>G506</f>
        <v>12.066252</v>
      </c>
      <c r="D504" s="460">
        <v>8.1999999999999993</v>
      </c>
      <c r="E504" s="460"/>
      <c r="F504" s="561" t="s">
        <v>689</v>
      </c>
      <c r="G504" s="418"/>
      <c r="H504" s="421"/>
      <c r="I504" s="421"/>
      <c r="J504" s="422"/>
      <c r="K504" s="54" t="s">
        <v>237</v>
      </c>
      <c r="L504" s="54"/>
      <c r="O504" t="s">
        <v>686</v>
      </c>
      <c r="R504" s="387"/>
      <c r="S504" s="387"/>
      <c r="T504" s="387"/>
      <c r="U504" s="387"/>
      <c r="V504" s="387"/>
      <c r="W504" s="387"/>
      <c r="X504" s="387"/>
      <c r="AQ504" s="110"/>
      <c r="BZ504" t="s">
        <v>687</v>
      </c>
      <c r="CA504" s="112"/>
      <c r="CG504" s="122" t="s">
        <v>207</v>
      </c>
      <c r="CV504" s="388"/>
    </row>
    <row r="505" spans="1:100" customFormat="1" ht="30" customHeight="1" outlineLevel="1">
      <c r="A505" s="112"/>
      <c r="B505" s="418"/>
      <c r="C505" s="676">
        <f>G507</f>
        <v>1</v>
      </c>
      <c r="D505" s="655">
        <v>9.5</v>
      </c>
      <c r="E505" s="655">
        <f>4*0.7*C505/C504</f>
        <v>0.23205217328462888</v>
      </c>
      <c r="F505" s="561" t="s">
        <v>690</v>
      </c>
      <c r="G505" s="418"/>
      <c r="H505" s="421"/>
      <c r="I505" s="421"/>
      <c r="J505" s="422"/>
      <c r="K505" s="54" t="s">
        <v>237</v>
      </c>
      <c r="L505" s="54"/>
      <c r="O505" t="s">
        <v>686</v>
      </c>
      <c r="R505" s="387"/>
      <c r="S505" s="387"/>
      <c r="T505" s="387"/>
      <c r="U505" s="387"/>
      <c r="V505" s="387"/>
      <c r="W505" s="387"/>
      <c r="X505" s="387"/>
      <c r="AQ505" s="110"/>
      <c r="BZ505" t="s">
        <v>687</v>
      </c>
      <c r="CA505" s="112"/>
      <c r="CG505" s="122" t="s">
        <v>207</v>
      </c>
      <c r="CV505" s="388"/>
    </row>
    <row r="506" spans="1:100" customFormat="1" ht="30" customHeight="1" outlineLevel="1">
      <c r="A506" s="112"/>
      <c r="B506" s="414" t="s">
        <v>691</v>
      </c>
      <c r="C506" s="460" t="s">
        <v>692</v>
      </c>
      <c r="D506" s="645" t="str">
        <f>"L"&amp;B508*B507&amp;"*L"&amp;C508*C507</f>
        <v>L1930*L900</v>
      </c>
      <c r="E506" s="547" t="str">
        <f>"Mesh "&amp;D507&amp;"*"&amp;E507&amp;"*"&amp;F507&amp;", F"&amp;D508&amp;"*"&amp;F508&amp;IF(G507&gt;1,", divide to "," ")&amp;IF(G507&gt;1,G507," ")&amp;IF(G507&gt;1," pcs"," ")</f>
        <v xml:space="preserve">Mesh 100*50*4, F25*1.5   </v>
      </c>
      <c r="F506" s="460"/>
      <c r="G506" s="419">
        <f>G508*G507</f>
        <v>12.066252</v>
      </c>
      <c r="H506" s="421" t="s">
        <v>292</v>
      </c>
      <c r="I506" s="677">
        <f>B508*C508/1000000*G507</f>
        <v>1.7370000000000001</v>
      </c>
      <c r="J506" s="422"/>
      <c r="K506" s="678" t="s">
        <v>237</v>
      </c>
      <c r="L506" s="503"/>
      <c r="M506" s="943"/>
      <c r="N506" s="265"/>
      <c r="O506" t="s">
        <v>686</v>
      </c>
      <c r="P506" s="946"/>
      <c r="Q506" s="946"/>
      <c r="R506" s="946"/>
      <c r="S506" s="679"/>
      <c r="T506" s="944"/>
      <c r="U506" s="679"/>
      <c r="V506" s="679"/>
      <c r="W506" s="679"/>
      <c r="X506" s="679"/>
      <c r="Y506" s="265"/>
      <c r="AQ506" s="110"/>
      <c r="AX506" t="str">
        <f>E506</f>
        <v xml:space="preserve">Mesh 100*50*4, F25*1.5   </v>
      </c>
      <c r="AY506" s="494" t="str">
        <f>D506</f>
        <v>L1930*L900</v>
      </c>
      <c r="AZ506">
        <f>F506</f>
        <v>0</v>
      </c>
      <c r="BA506" s="256">
        <f>G506</f>
        <v>12.066252</v>
      </c>
      <c r="BB506">
        <f>AZ506*BA506</f>
        <v>0</v>
      </c>
      <c r="BC506" s="495"/>
      <c r="BR506" t="str">
        <f>H506</f>
        <v>Blue Ral5015</v>
      </c>
      <c r="BZ506" t="s">
        <v>687</v>
      </c>
      <c r="CA506" s="112"/>
      <c r="CG506" s="122" t="s">
        <v>207</v>
      </c>
      <c r="CV506" s="388"/>
    </row>
    <row r="507" spans="1:100" customFormat="1" ht="30" customHeight="1" outlineLevel="1">
      <c r="A507" s="112"/>
      <c r="B507" s="680">
        <v>1</v>
      </c>
      <c r="C507" s="681">
        <v>1</v>
      </c>
      <c r="D507" s="682">
        <v>100</v>
      </c>
      <c r="E507" s="682">
        <v>50</v>
      </c>
      <c r="F507" s="683">
        <v>4</v>
      </c>
      <c r="G507" s="676">
        <f>MAX(B507:C507)</f>
        <v>1</v>
      </c>
      <c r="H507" s="595" t="s">
        <v>236</v>
      </c>
      <c r="I507" s="421"/>
      <c r="J507" s="422"/>
      <c r="K507" s="678" t="s">
        <v>237</v>
      </c>
      <c r="L507" s="112"/>
      <c r="M507" s="943"/>
      <c r="O507" t="s">
        <v>686</v>
      </c>
      <c r="Q507" s="265"/>
      <c r="R507" s="387"/>
      <c r="S507" s="387"/>
      <c r="T507" s="944"/>
      <c r="U507" s="387"/>
      <c r="V507" s="387"/>
      <c r="W507" s="387"/>
      <c r="X507" s="387"/>
      <c r="AQ507" s="110"/>
      <c r="AX507" t="s">
        <v>156</v>
      </c>
      <c r="AY507" t="s">
        <v>246</v>
      </c>
      <c r="AZ507" t="s">
        <v>102</v>
      </c>
      <c r="BA507" t="s">
        <v>158</v>
      </c>
      <c r="BB507" t="s">
        <v>247</v>
      </c>
      <c r="BD507" t="s">
        <v>249</v>
      </c>
      <c r="BE507" t="s">
        <v>250</v>
      </c>
      <c r="BF507" t="s">
        <v>251</v>
      </c>
      <c r="BZ507" t="s">
        <v>687</v>
      </c>
      <c r="CA507" s="112"/>
      <c r="CG507" s="122" t="s">
        <v>207</v>
      </c>
      <c r="CV507" s="388"/>
    </row>
    <row r="508" spans="1:100" customFormat="1" ht="30" customHeight="1" outlineLevel="1">
      <c r="A508" s="112"/>
      <c r="B508" s="648">
        <v>1930</v>
      </c>
      <c r="C508" s="684">
        <v>900</v>
      </c>
      <c r="D508" s="685">
        <v>25</v>
      </c>
      <c r="E508" s="686">
        <v>25</v>
      </c>
      <c r="F508" s="687">
        <v>1.5</v>
      </c>
      <c r="G508" s="688">
        <f>(D508*2+E508*2-8*F508)*(B508*2+C508*2+B508*B509+C508*C509)/1000000*F508*7.85+(((C508-D508*(2+B509))/D507-1)*(B508-D508)+((B508-D508*(2+C509))/E507-1)*(C508-D508))/1000*F507*F507/100*0.617+0.06*4+0.5</f>
        <v>12.066252</v>
      </c>
      <c r="H508" s="421"/>
      <c r="I508" s="421"/>
      <c r="J508" s="422"/>
      <c r="K508" s="678" t="s">
        <v>237</v>
      </c>
      <c r="M508" s="689"/>
      <c r="O508" t="s">
        <v>686</v>
      </c>
      <c r="P508" s="945"/>
      <c r="Q508" s="945"/>
      <c r="R508" s="690"/>
      <c r="S508" s="690"/>
      <c r="T508" s="690"/>
      <c r="U508" s="690"/>
      <c r="V508" s="690"/>
      <c r="W508" s="690"/>
      <c r="X508" s="690"/>
      <c r="Y508" s="242"/>
      <c r="AQ508" s="110"/>
      <c r="BZ508" t="s">
        <v>687</v>
      </c>
      <c r="CA508" s="112"/>
      <c r="CG508" s="122" t="s">
        <v>207</v>
      </c>
      <c r="CV508" s="388"/>
    </row>
    <row r="509" spans="1:100" customFormat="1" ht="30" customHeight="1" outlineLevel="1">
      <c r="A509" s="112"/>
      <c r="B509" s="691">
        <v>0</v>
      </c>
      <c r="C509" s="692">
        <v>1</v>
      </c>
      <c r="D509" s="429" t="s">
        <v>231</v>
      </c>
      <c r="E509" s="429" t="s">
        <v>232</v>
      </c>
      <c r="F509" s="429" t="s">
        <v>102</v>
      </c>
      <c r="G509" s="693" t="s">
        <v>158</v>
      </c>
      <c r="H509" s="421"/>
      <c r="I509" s="421"/>
      <c r="J509" s="422"/>
      <c r="K509" s="678" t="s">
        <v>237</v>
      </c>
      <c r="M509" s="689"/>
      <c r="N509" s="694"/>
      <c r="O509" t="s">
        <v>686</v>
      </c>
      <c r="P509" s="945"/>
      <c r="Q509" s="945"/>
      <c r="R509" s="690"/>
      <c r="S509" s="690"/>
      <c r="T509" s="690"/>
      <c r="U509" s="690"/>
      <c r="V509" s="690"/>
      <c r="W509" s="690"/>
      <c r="X509" s="690"/>
      <c r="Y509" s="242"/>
      <c r="AQ509" s="110"/>
      <c r="CA509" s="112"/>
      <c r="CG509" s="122"/>
      <c r="CV509" s="388"/>
    </row>
    <row r="510" spans="1:100" customFormat="1" ht="30" customHeight="1" outlineLevel="1">
      <c r="A510" s="112"/>
      <c r="B510" s="691"/>
      <c r="C510" s="692"/>
      <c r="D510" s="429" t="s">
        <v>615</v>
      </c>
      <c r="E510" s="563" t="s">
        <v>693</v>
      </c>
      <c r="F510" s="620">
        <v>4</v>
      </c>
      <c r="G510" s="418"/>
      <c r="H510" s="421"/>
      <c r="I510" s="421"/>
      <c r="J510" s="422"/>
      <c r="K510" s="678" t="s">
        <v>237</v>
      </c>
      <c r="M510" s="689"/>
      <c r="N510" s="694"/>
      <c r="O510" t="s">
        <v>686</v>
      </c>
      <c r="P510" s="945"/>
      <c r="Q510" s="945"/>
      <c r="R510" s="690"/>
      <c r="S510" s="690"/>
      <c r="T510" s="690"/>
      <c r="U510" s="690"/>
      <c r="V510" s="690"/>
      <c r="W510" s="690"/>
      <c r="X510" s="690"/>
      <c r="Y510" s="242"/>
      <c r="AQ510" s="110"/>
      <c r="CA510" s="112"/>
      <c r="CG510" s="122"/>
      <c r="CV510" s="388"/>
    </row>
    <row r="511" spans="1:100" customFormat="1" ht="30" customHeight="1" outlineLevel="1">
      <c r="A511" s="112"/>
      <c r="B511" s="414">
        <v>0</v>
      </c>
      <c r="C511" s="465">
        <f>报价辅助计算!$E$13</f>
        <v>0</v>
      </c>
      <c r="D511" s="563"/>
      <c r="E511" s="563"/>
      <c r="F511" s="610"/>
      <c r="G511" s="418"/>
      <c r="H511" s="421"/>
      <c r="I511" s="421"/>
      <c r="J511" s="422"/>
      <c r="K511" s="678" t="s">
        <v>237</v>
      </c>
      <c r="M511" s="689"/>
      <c r="N511" s="694"/>
      <c r="O511" t="s">
        <v>686</v>
      </c>
      <c r="P511" s="945"/>
      <c r="Q511" s="945"/>
      <c r="R511" s="690"/>
      <c r="S511" s="690"/>
      <c r="T511" s="690"/>
      <c r="U511" s="690"/>
      <c r="V511" s="690"/>
      <c r="W511" s="690"/>
      <c r="X511" s="690"/>
      <c r="Y511" s="242"/>
      <c r="AQ511" s="110"/>
      <c r="BZ511" t="s">
        <v>687</v>
      </c>
      <c r="CA511" s="112"/>
      <c r="CG511" s="122" t="s">
        <v>207</v>
      </c>
      <c r="CV511" s="388"/>
    </row>
    <row r="512" spans="1:100" s="376" customFormat="1" ht="30" customHeight="1" outlineLevel="1">
      <c r="A512" s="472"/>
      <c r="B512" s="473"/>
      <c r="C512" s="473"/>
      <c r="D512" s="473"/>
      <c r="E512" s="474"/>
      <c r="F512" s="473"/>
      <c r="G512" s="473"/>
      <c r="H512" s="421"/>
      <c r="I512" s="421"/>
      <c r="J512" s="422"/>
      <c r="K512" s="695"/>
      <c r="L512"/>
      <c r="M512"/>
      <c r="N512"/>
      <c r="O512"/>
      <c r="P512"/>
      <c r="Q512" s="112"/>
      <c r="R512" s="387"/>
      <c r="S512" s="387"/>
      <c r="T512" s="387"/>
      <c r="U512" s="387"/>
      <c r="V512" s="387"/>
      <c r="W512" s="387"/>
      <c r="X512" s="387"/>
      <c r="Y512"/>
      <c r="Z512"/>
      <c r="AA512"/>
      <c r="AB512"/>
      <c r="AC512"/>
      <c r="AD512"/>
      <c r="AE512"/>
      <c r="AF512"/>
      <c r="AG512"/>
      <c r="AH512"/>
      <c r="AI512"/>
      <c r="AJ512"/>
      <c r="AK512"/>
      <c r="AL512"/>
      <c r="AM512"/>
      <c r="AN512"/>
      <c r="AO512"/>
      <c r="AP512"/>
      <c r="AQ512" s="476"/>
      <c r="BZ512" t="s">
        <v>687</v>
      </c>
      <c r="CA512" s="112"/>
      <c r="CB512"/>
      <c r="CC512"/>
      <c r="CD512"/>
      <c r="CE512"/>
      <c r="CF512"/>
      <c r="CG512" s="122" t="s">
        <v>207</v>
      </c>
    </row>
    <row r="513" spans="1:100" customFormat="1" ht="30" customHeight="1">
      <c r="A513" s="112" t="str">
        <f>IF($C$13=1,IF(K513="报价行",IF(F513&gt;0,1," ")," ")," ")</f>
        <v xml:space="preserve"> </v>
      </c>
      <c r="B513" s="414" t="str">
        <f>IF(A513=1,SUM($A$11:A513),"硬边网片")</f>
        <v>硬边网片</v>
      </c>
      <c r="C513" s="415" t="str">
        <f>B514&amp;IF(C522=1,CHAR(10)&amp;B515," ")</f>
        <v xml:space="preserve">Back mesh </v>
      </c>
      <c r="D513" s="645" t="str">
        <f>D517</f>
        <v>L1930*L900</v>
      </c>
      <c r="E513" s="547" t="str">
        <f>E517</f>
        <v xml:space="preserve">Mesh 100*50*4, F25*1.5   </v>
      </c>
      <c r="F513" s="460"/>
      <c r="G513" s="419">
        <f>C515</f>
        <v>12.066252</v>
      </c>
      <c r="H513" s="420">
        <f>H514</f>
        <v>105.51699032212392</v>
      </c>
      <c r="I513" s="421" t="s">
        <v>292</v>
      </c>
      <c r="J513" s="422"/>
      <c r="K513" s="423" t="s">
        <v>217</v>
      </c>
      <c r="L513" s="54"/>
      <c r="O513" t="s">
        <v>694</v>
      </c>
      <c r="R513" s="387"/>
      <c r="S513" s="387"/>
      <c r="T513" s="387"/>
      <c r="U513" s="387"/>
      <c r="V513" s="387"/>
      <c r="W513" s="387"/>
      <c r="X513" s="387"/>
      <c r="AQ513" s="110"/>
      <c r="AX513" t="str">
        <f>E513</f>
        <v xml:space="preserve">Mesh 100*50*4, F25*1.5   </v>
      </c>
      <c r="AY513" s="494" t="str">
        <f>D513</f>
        <v>L1930*L900</v>
      </c>
      <c r="AZ513">
        <f>F513</f>
        <v>0</v>
      </c>
      <c r="BA513" s="256">
        <f>G513</f>
        <v>12.066252</v>
      </c>
      <c r="BB513">
        <f>AZ513*BA513</f>
        <v>0</v>
      </c>
      <c r="BC513" s="495"/>
      <c r="BR513" t="str">
        <f>I513</f>
        <v>Blue Ral5015</v>
      </c>
      <c r="BZ513" t="s">
        <v>687</v>
      </c>
      <c r="CA513" s="112"/>
      <c r="CG513" s="122" t="s">
        <v>207</v>
      </c>
      <c r="CV513" s="388"/>
    </row>
    <row r="514" spans="1:100" customFormat="1" ht="30" customHeight="1" outlineLevel="1">
      <c r="A514" s="112"/>
      <c r="B514" s="460" t="s">
        <v>695</v>
      </c>
      <c r="C514" s="112" t="s">
        <v>558</v>
      </c>
      <c r="D514" s="674">
        <f>B519*C518</f>
        <v>1930</v>
      </c>
      <c r="E514" s="675">
        <f>C519*B518</f>
        <v>900</v>
      </c>
      <c r="F514" s="418">
        <v>1</v>
      </c>
      <c r="G514" s="514" t="s">
        <v>236</v>
      </c>
      <c r="H514" s="421">
        <f>C515*(D515*1.01+E515*1.13+IF(G514="喷塑",1,0)*D516*D514*E514/1000000/C515+E516)/1.13*F514</f>
        <v>105.51699032212392</v>
      </c>
      <c r="I514" s="421"/>
      <c r="J514" s="422"/>
      <c r="K514" s="54" t="s">
        <v>237</v>
      </c>
      <c r="L514" s="54"/>
      <c r="O514" t="s">
        <v>694</v>
      </c>
      <c r="R514" s="387"/>
      <c r="S514" s="387"/>
      <c r="T514" s="387"/>
      <c r="U514" s="387"/>
      <c r="V514" s="387"/>
      <c r="W514" s="387"/>
      <c r="X514" s="387"/>
      <c r="AQ514" s="110"/>
      <c r="AX514" t="s">
        <v>156</v>
      </c>
      <c r="AY514" t="s">
        <v>246</v>
      </c>
      <c r="AZ514" t="s">
        <v>102</v>
      </c>
      <c r="BA514" t="s">
        <v>158</v>
      </c>
      <c r="BB514" t="s">
        <v>247</v>
      </c>
      <c r="BD514" t="s">
        <v>249</v>
      </c>
      <c r="BE514" t="s">
        <v>250</v>
      </c>
      <c r="BF514" t="s">
        <v>251</v>
      </c>
      <c r="BZ514" t="s">
        <v>687</v>
      </c>
      <c r="CA514" s="112"/>
      <c r="CG514" s="122" t="s">
        <v>207</v>
      </c>
      <c r="CV514" s="388"/>
    </row>
    <row r="515" spans="1:100" customFormat="1" ht="30" customHeight="1" outlineLevel="1">
      <c r="A515" s="112"/>
      <c r="B515" s="418" t="s">
        <v>694</v>
      </c>
      <c r="C515" s="438">
        <f>G517</f>
        <v>12.066252</v>
      </c>
      <c r="D515" s="460">
        <v>8.1999999999999993</v>
      </c>
      <c r="E515" s="460"/>
      <c r="F515" s="561" t="s">
        <v>689</v>
      </c>
      <c r="G515" s="418"/>
      <c r="H515" s="421"/>
      <c r="I515" s="421"/>
      <c r="J515" s="422"/>
      <c r="K515" s="54" t="s">
        <v>237</v>
      </c>
      <c r="L515" s="54"/>
      <c r="O515" t="s">
        <v>694</v>
      </c>
      <c r="R515" s="387"/>
      <c r="S515" s="387"/>
      <c r="T515" s="387"/>
      <c r="U515" s="387"/>
      <c r="V515" s="387"/>
      <c r="W515" s="387"/>
      <c r="X515" s="387"/>
      <c r="AQ515" s="110"/>
      <c r="BZ515" t="s">
        <v>687</v>
      </c>
      <c r="CA515" s="112"/>
      <c r="CG515" s="122" t="s">
        <v>207</v>
      </c>
      <c r="CV515" s="388"/>
    </row>
    <row r="516" spans="1:100" customFormat="1" ht="30" customHeight="1" outlineLevel="1">
      <c r="A516" s="112"/>
      <c r="B516" s="418"/>
      <c r="C516" s="676">
        <f>G518</f>
        <v>1</v>
      </c>
      <c r="D516" s="655">
        <v>9.5</v>
      </c>
      <c r="E516" s="655">
        <f>4*0.7*C516/C515</f>
        <v>0.23205217328462888</v>
      </c>
      <c r="F516" s="561" t="s">
        <v>690</v>
      </c>
      <c r="G516" s="418"/>
      <c r="H516" s="421"/>
      <c r="I516" s="421"/>
      <c r="J516" s="422"/>
      <c r="K516" s="54" t="s">
        <v>237</v>
      </c>
      <c r="L516" s="54"/>
      <c r="O516" t="s">
        <v>694</v>
      </c>
      <c r="R516" s="387"/>
      <c r="S516" s="387"/>
      <c r="T516" s="387"/>
      <c r="U516" s="387"/>
      <c r="V516" s="387"/>
      <c r="W516" s="387"/>
      <c r="X516" s="387"/>
      <c r="AQ516" s="110"/>
      <c r="BZ516" t="s">
        <v>687</v>
      </c>
      <c r="CA516" s="112"/>
      <c r="CG516" s="122" t="s">
        <v>207</v>
      </c>
      <c r="CV516" s="388"/>
    </row>
    <row r="517" spans="1:100" customFormat="1" ht="30" customHeight="1" outlineLevel="1">
      <c r="A517" s="112"/>
      <c r="B517" s="414" t="s">
        <v>691</v>
      </c>
      <c r="C517" s="460" t="s">
        <v>692</v>
      </c>
      <c r="D517" s="645" t="str">
        <f>"L"&amp;B519*B518&amp;"*L"&amp;C519*C518</f>
        <v>L1930*L900</v>
      </c>
      <c r="E517" s="547" t="str">
        <f>"Mesh "&amp;D518&amp;"*"&amp;E518&amp;"*"&amp;F518&amp;", F"&amp;D519&amp;"*"&amp;F519&amp;IF(G518&gt;1,", divide to "," ")&amp;IF(G518&gt;1,G518," ")&amp;IF(G518&gt;1," pcs"," ")</f>
        <v xml:space="preserve">Mesh 100*50*4, F25*1.5   </v>
      </c>
      <c r="F517" s="460"/>
      <c r="G517" s="419">
        <f>G519*G518</f>
        <v>12.066252</v>
      </c>
      <c r="H517" s="421" t="s">
        <v>292</v>
      </c>
      <c r="I517" s="677">
        <f>B519*C519/1000000*G518</f>
        <v>1.7370000000000001</v>
      </c>
      <c r="J517" s="422"/>
      <c r="K517" s="678" t="s">
        <v>237</v>
      </c>
      <c r="L517" s="503"/>
      <c r="M517" s="943"/>
      <c r="N517" s="265"/>
      <c r="O517" t="s">
        <v>694</v>
      </c>
      <c r="P517" s="946"/>
      <c r="Q517" s="946"/>
      <c r="R517" s="946"/>
      <c r="S517" s="679"/>
      <c r="T517" s="944"/>
      <c r="U517" s="679"/>
      <c r="V517" s="679"/>
      <c r="W517" s="679"/>
      <c r="X517" s="679"/>
      <c r="Y517" s="265"/>
      <c r="AQ517" s="110"/>
      <c r="AX517" t="str">
        <f>E517</f>
        <v xml:space="preserve">Mesh 100*50*4, F25*1.5   </v>
      </c>
      <c r="AY517" s="494" t="str">
        <f>D517</f>
        <v>L1930*L900</v>
      </c>
      <c r="AZ517">
        <f>F517</f>
        <v>0</v>
      </c>
      <c r="BA517" s="256">
        <f>G517</f>
        <v>12.066252</v>
      </c>
      <c r="BB517">
        <f>AZ517*BA517</f>
        <v>0</v>
      </c>
      <c r="BC517" s="495"/>
      <c r="BR517" t="str">
        <f>H517</f>
        <v>Blue Ral5015</v>
      </c>
      <c r="BZ517" t="s">
        <v>687</v>
      </c>
      <c r="CA517" s="112"/>
      <c r="CG517" s="122" t="s">
        <v>207</v>
      </c>
      <c r="CV517" s="388"/>
    </row>
    <row r="518" spans="1:100" customFormat="1" ht="30" customHeight="1" outlineLevel="1">
      <c r="A518" s="112"/>
      <c r="B518" s="680">
        <v>1</v>
      </c>
      <c r="C518" s="681">
        <v>1</v>
      </c>
      <c r="D518" s="682">
        <v>100</v>
      </c>
      <c r="E518" s="682">
        <v>50</v>
      </c>
      <c r="F518" s="683">
        <v>4</v>
      </c>
      <c r="G518" s="676">
        <f>MAX(B518:C518)</f>
        <v>1</v>
      </c>
      <c r="H518" s="595" t="s">
        <v>236</v>
      </c>
      <c r="I518" s="421"/>
      <c r="J518" s="422"/>
      <c r="K518" s="678" t="s">
        <v>237</v>
      </c>
      <c r="L518" s="112"/>
      <c r="M518" s="943"/>
      <c r="O518" t="s">
        <v>694</v>
      </c>
      <c r="Q518" s="265"/>
      <c r="R518" s="387"/>
      <c r="S518" s="387"/>
      <c r="T518" s="944"/>
      <c r="U518" s="387"/>
      <c r="V518" s="387"/>
      <c r="W518" s="387"/>
      <c r="X518" s="387"/>
      <c r="AQ518" s="110"/>
      <c r="AX518" t="s">
        <v>156</v>
      </c>
      <c r="AY518" t="s">
        <v>246</v>
      </c>
      <c r="AZ518" t="s">
        <v>102</v>
      </c>
      <c r="BA518" t="s">
        <v>158</v>
      </c>
      <c r="BB518" t="s">
        <v>247</v>
      </c>
      <c r="BD518" t="s">
        <v>249</v>
      </c>
      <c r="BE518" t="s">
        <v>250</v>
      </c>
      <c r="BF518" t="s">
        <v>251</v>
      </c>
      <c r="BZ518" t="s">
        <v>687</v>
      </c>
      <c r="CA518" s="112"/>
      <c r="CG518" s="122" t="s">
        <v>207</v>
      </c>
      <c r="CV518" s="388"/>
    </row>
    <row r="519" spans="1:100" customFormat="1" ht="30" customHeight="1" outlineLevel="1">
      <c r="A519" s="112"/>
      <c r="B519" s="648">
        <v>1930</v>
      </c>
      <c r="C519" s="684">
        <v>900</v>
      </c>
      <c r="D519" s="685">
        <v>25</v>
      </c>
      <c r="E519" s="686">
        <v>25</v>
      </c>
      <c r="F519" s="687">
        <v>1.5</v>
      </c>
      <c r="G519" s="688">
        <f>(D519*2+E519*2-8*F519)*(B519*2+C519*2+B519*B520+C519*C520)/1000000*F519*7.85+(((C519-D519*(2+B520))/D518-1)*(B519-D519)+((B519-D519*(2+C520))/E518-1)*(C519-D519))/1000*F518*F518/100*0.617+0.06*4+0.5</f>
        <v>12.066252</v>
      </c>
      <c r="H519" s="421"/>
      <c r="I519" s="421"/>
      <c r="J519" s="422"/>
      <c r="K519" s="678" t="s">
        <v>237</v>
      </c>
      <c r="M519" s="689"/>
      <c r="O519" t="s">
        <v>694</v>
      </c>
      <c r="P519" s="945"/>
      <c r="Q519" s="945"/>
      <c r="R519" s="690"/>
      <c r="S519" s="690"/>
      <c r="T519" s="690"/>
      <c r="U519" s="690"/>
      <c r="V519" s="690"/>
      <c r="W519" s="690"/>
      <c r="X519" s="690"/>
      <c r="Y519" s="242"/>
      <c r="AQ519" s="110"/>
      <c r="BZ519" t="s">
        <v>687</v>
      </c>
      <c r="CA519" s="112"/>
      <c r="CG519" s="122" t="s">
        <v>207</v>
      </c>
      <c r="CV519" s="388"/>
    </row>
    <row r="520" spans="1:100" customFormat="1" ht="30" customHeight="1" outlineLevel="1">
      <c r="A520" s="112"/>
      <c r="B520" s="691">
        <v>0</v>
      </c>
      <c r="C520" s="692">
        <v>1</v>
      </c>
      <c r="D520" s="429" t="s">
        <v>231</v>
      </c>
      <c r="E520" s="429" t="s">
        <v>232</v>
      </c>
      <c r="F520" s="429" t="s">
        <v>102</v>
      </c>
      <c r="G520" s="693" t="s">
        <v>158</v>
      </c>
      <c r="H520" s="421"/>
      <c r="I520" s="421"/>
      <c r="J520" s="422"/>
      <c r="K520" s="678" t="s">
        <v>237</v>
      </c>
      <c r="M520" s="689"/>
      <c r="N520" s="694"/>
      <c r="O520" t="s">
        <v>694</v>
      </c>
      <c r="P520" s="945"/>
      <c r="Q520" s="945"/>
      <c r="R520" s="690"/>
      <c r="S520" s="690"/>
      <c r="T520" s="690"/>
      <c r="U520" s="690"/>
      <c r="V520" s="690"/>
      <c r="W520" s="690"/>
      <c r="X520" s="690"/>
      <c r="Y520" s="242"/>
      <c r="AQ520" s="110"/>
      <c r="CA520" s="112"/>
      <c r="CG520" s="122"/>
      <c r="CV520" s="388"/>
    </row>
    <row r="521" spans="1:100" customFormat="1" ht="30" customHeight="1" outlineLevel="1">
      <c r="A521" s="112"/>
      <c r="B521" s="691"/>
      <c r="C521" s="692"/>
      <c r="D521" s="429" t="s">
        <v>615</v>
      </c>
      <c r="E521" s="563" t="s">
        <v>693</v>
      </c>
      <c r="F521" s="620">
        <v>4</v>
      </c>
      <c r="G521" s="418"/>
      <c r="H521" s="421"/>
      <c r="I521" s="421"/>
      <c r="J521" s="422"/>
      <c r="K521" s="678" t="s">
        <v>237</v>
      </c>
      <c r="M521" s="689"/>
      <c r="N521" s="694"/>
      <c r="O521" t="s">
        <v>694</v>
      </c>
      <c r="P521" s="945"/>
      <c r="Q521" s="945"/>
      <c r="R521" s="690"/>
      <c r="S521" s="690"/>
      <c r="T521" s="690"/>
      <c r="U521" s="690"/>
      <c r="V521" s="690"/>
      <c r="W521" s="690"/>
      <c r="X521" s="690"/>
      <c r="Y521" s="242"/>
      <c r="AQ521" s="110"/>
      <c r="CA521" s="112"/>
      <c r="CG521" s="122"/>
      <c r="CV521" s="388"/>
    </row>
    <row r="522" spans="1:100" customFormat="1" ht="30" customHeight="1" outlineLevel="1">
      <c r="A522" s="112"/>
      <c r="B522" s="414">
        <v>0</v>
      </c>
      <c r="C522" s="465">
        <f>报价辅助计算!$E$13</f>
        <v>0</v>
      </c>
      <c r="D522" s="563"/>
      <c r="E522" s="563"/>
      <c r="F522" s="610"/>
      <c r="G522" s="418"/>
      <c r="H522" s="421"/>
      <c r="I522" s="421"/>
      <c r="J522" s="422"/>
      <c r="K522" s="678" t="s">
        <v>237</v>
      </c>
      <c r="M522" s="689"/>
      <c r="N522" s="694"/>
      <c r="O522" t="s">
        <v>694</v>
      </c>
      <c r="P522" s="945"/>
      <c r="Q522" s="945"/>
      <c r="R522" s="690"/>
      <c r="S522" s="690"/>
      <c r="T522" s="690"/>
      <c r="U522" s="690"/>
      <c r="V522" s="690"/>
      <c r="W522" s="690"/>
      <c r="X522" s="690"/>
      <c r="Y522" s="242"/>
      <c r="AQ522" s="110"/>
      <c r="BZ522" t="s">
        <v>687</v>
      </c>
      <c r="CA522" s="112"/>
      <c r="CG522" s="122" t="s">
        <v>207</v>
      </c>
      <c r="CV522" s="388"/>
    </row>
    <row r="523" spans="1:100" s="376" customFormat="1" ht="30" customHeight="1" outlineLevel="1">
      <c r="A523" s="472"/>
      <c r="B523" s="473"/>
      <c r="C523" s="473"/>
      <c r="D523" s="473"/>
      <c r="E523" s="474"/>
      <c r="F523" s="473"/>
      <c r="G523" s="473"/>
      <c r="H523" s="421"/>
      <c r="I523" s="421"/>
      <c r="J523" s="422"/>
      <c r="K523" s="695"/>
      <c r="L523"/>
      <c r="M523"/>
      <c r="N523"/>
      <c r="O523"/>
      <c r="P523"/>
      <c r="Q523" s="112"/>
      <c r="R523" s="387"/>
      <c r="S523" s="387"/>
      <c r="T523" s="387"/>
      <c r="U523" s="387"/>
      <c r="V523" s="387"/>
      <c r="W523" s="387"/>
      <c r="X523" s="387"/>
      <c r="Y523"/>
      <c r="Z523"/>
      <c r="AA523"/>
      <c r="AB523"/>
      <c r="AC523"/>
      <c r="AD523"/>
      <c r="AE523"/>
      <c r="AF523"/>
      <c r="AG523"/>
      <c r="AH523"/>
      <c r="AI523"/>
      <c r="AJ523"/>
      <c r="AK523"/>
      <c r="AL523"/>
      <c r="AM523"/>
      <c r="AN523"/>
      <c r="AO523"/>
      <c r="AP523"/>
      <c r="AQ523" s="476"/>
      <c r="BZ523" t="s">
        <v>687</v>
      </c>
      <c r="CA523" s="112"/>
      <c r="CB523"/>
      <c r="CC523"/>
      <c r="CD523"/>
      <c r="CE523"/>
      <c r="CF523"/>
      <c r="CG523" s="122" t="s">
        <v>207</v>
      </c>
    </row>
    <row r="524" spans="1:100" customFormat="1" ht="30" customHeight="1">
      <c r="A524" s="112" t="str">
        <f>IF($C$13=1,IF(K524="报价行",IF(F524&gt;0,1," ")," ")," ")</f>
        <v xml:space="preserve"> </v>
      </c>
      <c r="B524" s="414" t="str">
        <f>IF(A524=1,SUM($A$11:A524),"门-硬边网片")</f>
        <v>门-硬边网片</v>
      </c>
      <c r="C524" s="415" t="str">
        <f>B525&amp;IF(C527=1,CHAR(10)&amp;B526," ")</f>
        <v xml:space="preserve">Double Leaf Swing Door </v>
      </c>
      <c r="D524" s="645" t="str">
        <f>"L"&amp;D525&amp;"*L"&amp;E525</f>
        <v>L1250*L2175</v>
      </c>
      <c r="E524" s="547" t="s">
        <v>696</v>
      </c>
      <c r="F524" s="460"/>
      <c r="G524" s="419">
        <f>C526</f>
        <v>28</v>
      </c>
      <c r="H524" s="420" t="e">
        <f>H525</f>
        <v>#DIV/0!</v>
      </c>
      <c r="I524" s="421" t="s">
        <v>292</v>
      </c>
      <c r="J524" s="422"/>
      <c r="K524" s="423" t="s">
        <v>217</v>
      </c>
      <c r="L524" s="54"/>
      <c r="O524" t="s">
        <v>697</v>
      </c>
      <c r="R524" s="387"/>
      <c r="S524" s="387"/>
      <c r="T524" s="387"/>
      <c r="U524" s="387"/>
      <c r="V524" s="387"/>
      <c r="W524" s="387"/>
      <c r="X524" s="387"/>
      <c r="AQ524" s="110"/>
      <c r="AX524" t="str">
        <f>E524</f>
        <v>Mesh 100*50*4.0，F25*1.5</v>
      </c>
      <c r="AY524" s="494" t="str">
        <f>D524</f>
        <v>L1250*L2175</v>
      </c>
      <c r="AZ524">
        <f>F524</f>
        <v>0</v>
      </c>
      <c r="BA524" s="256">
        <f>G524</f>
        <v>28</v>
      </c>
      <c r="BB524">
        <f>AZ524*BA524</f>
        <v>0</v>
      </c>
      <c r="BC524" s="495"/>
      <c r="BR524" t="str">
        <f>I524</f>
        <v>Blue Ral5015</v>
      </c>
      <c r="BZ524" t="s">
        <v>697</v>
      </c>
      <c r="CA524" s="112"/>
      <c r="CG524" s="122" t="s">
        <v>207</v>
      </c>
      <c r="CV524" s="388"/>
    </row>
    <row r="525" spans="1:100" customFormat="1" ht="30" customHeight="1" outlineLevel="1">
      <c r="A525" s="112"/>
      <c r="B525" s="460" t="s">
        <v>698</v>
      </c>
      <c r="C525" s="112" t="s">
        <v>558</v>
      </c>
      <c r="D525" s="651">
        <v>1250</v>
      </c>
      <c r="E525" s="405">
        <v>2175</v>
      </c>
      <c r="F525" s="418">
        <v>1</v>
      </c>
      <c r="G525" s="514" t="s">
        <v>236</v>
      </c>
      <c r="H525" s="421" t="e">
        <f>C526*(D526*1.01+E526*1.13+E527*D525*E525/1000000/C526+F527)/1.13*F525</f>
        <v>#DIV/0!</v>
      </c>
      <c r="I525" s="421"/>
      <c r="J525" s="422"/>
      <c r="K525" s="54" t="s">
        <v>237</v>
      </c>
      <c r="L525" s="54"/>
      <c r="O525" t="s">
        <v>697</v>
      </c>
      <c r="R525" s="387"/>
      <c r="S525" s="387"/>
      <c r="T525" s="387"/>
      <c r="U525" s="387"/>
      <c r="V525" s="387"/>
      <c r="W525" s="387"/>
      <c r="X525" s="387"/>
      <c r="AQ525" s="110"/>
      <c r="AX525" t="s">
        <v>156</v>
      </c>
      <c r="AY525" t="s">
        <v>246</v>
      </c>
      <c r="AZ525" t="s">
        <v>102</v>
      </c>
      <c r="BA525" t="s">
        <v>158</v>
      </c>
      <c r="BB525" t="s">
        <v>247</v>
      </c>
      <c r="BC525" t="s">
        <v>248</v>
      </c>
      <c r="BD525" t="s">
        <v>249</v>
      </c>
      <c r="BE525" t="s">
        <v>250</v>
      </c>
      <c r="BF525" t="s">
        <v>251</v>
      </c>
      <c r="BZ525" t="s">
        <v>697</v>
      </c>
      <c r="CA525" s="112" t="s">
        <v>200</v>
      </c>
      <c r="CB525" t="s">
        <v>201</v>
      </c>
      <c r="CG525" s="122"/>
      <c r="CV525" s="388"/>
    </row>
    <row r="526" spans="1:100" customFormat="1" ht="30" customHeight="1" outlineLevel="1">
      <c r="A526" s="112"/>
      <c r="B526" s="418" t="s">
        <v>699</v>
      </c>
      <c r="C526" s="460">
        <f>27.7+0.3</f>
        <v>28</v>
      </c>
      <c r="D526" s="460">
        <v>8.1999999999999993</v>
      </c>
      <c r="E526" s="460" t="e">
        <f>(13*8+10+20*2+10)/C526/F524</f>
        <v>#DIV/0!</v>
      </c>
      <c r="F526" s="380"/>
      <c r="G526" s="561" t="s">
        <v>689</v>
      </c>
      <c r="H526" s="421"/>
      <c r="I526" s="421"/>
      <c r="J526" s="422"/>
      <c r="K526" s="54" t="s">
        <v>237</v>
      </c>
      <c r="L526" s="54"/>
      <c r="O526" t="s">
        <v>697</v>
      </c>
      <c r="R526" s="387"/>
      <c r="S526" s="387"/>
      <c r="T526" s="387"/>
      <c r="U526" s="387"/>
      <c r="V526" s="387"/>
      <c r="W526" s="387"/>
      <c r="X526" s="387"/>
      <c r="AQ526" s="110"/>
      <c r="BZ526" t="s">
        <v>697</v>
      </c>
      <c r="CA526" s="112" t="s">
        <v>200</v>
      </c>
      <c r="CB526" t="s">
        <v>201</v>
      </c>
      <c r="CG526" s="122"/>
      <c r="CV526" s="388"/>
    </row>
    <row r="527" spans="1:100" customFormat="1" ht="30" customHeight="1" outlineLevel="1">
      <c r="A527" s="112"/>
      <c r="B527" s="414">
        <v>0</v>
      </c>
      <c r="C527" s="418">
        <f>报价辅助计算!$E$13</f>
        <v>0</v>
      </c>
      <c r="D527" s="460">
        <v>1</v>
      </c>
      <c r="E527" s="655">
        <v>9.5</v>
      </c>
      <c r="F527" s="655">
        <f>4*0.6*D527/C526</f>
        <v>8.5714285714285715E-2</v>
      </c>
      <c r="G527" s="561" t="s">
        <v>690</v>
      </c>
      <c r="H527" s="421"/>
      <c r="I527" s="421"/>
      <c r="J527" s="422"/>
      <c r="K527" s="54" t="s">
        <v>237</v>
      </c>
      <c r="L527" s="54"/>
      <c r="O527" t="s">
        <v>697</v>
      </c>
      <c r="R527" s="387"/>
      <c r="S527" s="387"/>
      <c r="T527" s="387"/>
      <c r="U527" s="387"/>
      <c r="V527" s="387"/>
      <c r="W527" s="387"/>
      <c r="X527" s="387"/>
      <c r="AQ527" s="110"/>
      <c r="BZ527" t="s">
        <v>697</v>
      </c>
      <c r="CA527" s="112" t="s">
        <v>200</v>
      </c>
      <c r="CB527" t="s">
        <v>201</v>
      </c>
      <c r="CG527" s="122"/>
      <c r="CV527" s="388"/>
    </row>
    <row r="528" spans="1:100" s="376" customFormat="1" ht="30" customHeight="1">
      <c r="A528" s="472"/>
      <c r="B528" s="473"/>
      <c r="C528" s="473"/>
      <c r="D528" s="473"/>
      <c r="E528" s="474"/>
      <c r="F528" s="473"/>
      <c r="G528" s="473"/>
      <c r="H528" s="421"/>
      <c r="I528" s="421"/>
      <c r="J528" s="422"/>
      <c r="K528" s="475"/>
      <c r="L528" s="475"/>
      <c r="R528" s="387"/>
      <c r="S528" s="387"/>
      <c r="T528" s="387"/>
      <c r="U528" s="387"/>
      <c r="V528" s="387"/>
      <c r="W528" s="387"/>
      <c r="X528" s="387"/>
      <c r="AQ528" s="476"/>
      <c r="BZ528" t="s">
        <v>697</v>
      </c>
      <c r="CA528" s="112" t="s">
        <v>200</v>
      </c>
      <c r="CB528" t="s">
        <v>201</v>
      </c>
      <c r="CC528"/>
      <c r="CD528"/>
      <c r="CE528"/>
      <c r="CF528"/>
      <c r="CG528" s="122"/>
    </row>
    <row r="529" spans="1:100" customFormat="1" ht="30" customHeight="1">
      <c r="A529" s="112" t="str">
        <f>IF($C$13=1,IF(K529="报价行",IF(F529&gt;0,1," ")," ")," ")</f>
        <v xml:space="preserve"> </v>
      </c>
      <c r="B529" s="414" t="str">
        <f>IF(A529=1,SUM($A$11:A529),"顶拉")</f>
        <v>顶拉</v>
      </c>
      <c r="C529" s="415" t="str">
        <f>B530&amp;IF(C532=1,CHAR(10)&amp;B531," ")</f>
        <v xml:space="preserve">Top Brace </v>
      </c>
      <c r="D529" s="566" t="s">
        <v>700</v>
      </c>
      <c r="E529" s="643" t="s">
        <v>701</v>
      </c>
      <c r="F529" s="460"/>
      <c r="G529" s="419">
        <f>C530</f>
        <v>3.1171568145747623</v>
      </c>
      <c r="H529" s="420">
        <f>H530</f>
        <v>26.268587566413458</v>
      </c>
      <c r="I529" s="421" t="s">
        <v>341</v>
      </c>
      <c r="J529" s="422"/>
      <c r="K529" s="423" t="s">
        <v>217</v>
      </c>
      <c r="L529" s="54"/>
      <c r="O529" t="s">
        <v>702</v>
      </c>
      <c r="R529" s="387"/>
      <c r="S529" s="387"/>
      <c r="T529" s="387"/>
      <c r="U529" s="387"/>
      <c r="V529" s="387"/>
      <c r="W529" s="387"/>
      <c r="X529" s="387"/>
      <c r="AQ529" s="110"/>
      <c r="AX529" t="str">
        <f>E529</f>
        <v>φ32*1.5</v>
      </c>
      <c r="AY529" s="494" t="str">
        <f>D529</f>
        <v>L1000*D500</v>
      </c>
      <c r="AZ529">
        <f>F529</f>
        <v>0</v>
      </c>
      <c r="BA529" s="256">
        <f>G529</f>
        <v>3.1171568145747623</v>
      </c>
      <c r="BB529">
        <f>AZ529*BA529</f>
        <v>0</v>
      </c>
      <c r="BC529" s="495"/>
      <c r="BR529" t="str">
        <f>I529</f>
        <v>Orange Ral2004</v>
      </c>
      <c r="BZ529" t="s">
        <v>484</v>
      </c>
      <c r="CB529" t="s">
        <v>201</v>
      </c>
      <c r="CG529" s="122"/>
      <c r="CV529" s="388"/>
    </row>
    <row r="530" spans="1:100" customFormat="1" ht="30" customHeight="1" outlineLevel="1">
      <c r="A530" s="112"/>
      <c r="B530" s="623" t="s">
        <v>485</v>
      </c>
      <c r="C530" s="642">
        <f>1.13*D531*(SQRT(D532^2+E532^2)/1000+0.04)+0.25*2</f>
        <v>3.1171568145747623</v>
      </c>
      <c r="D530" s="418">
        <f>材料信息更新!$C$88+0.4</f>
        <v>4.71</v>
      </c>
      <c r="E530" s="418">
        <v>1.58</v>
      </c>
      <c r="F530" s="571">
        <f>(0.25*2*2)/C530</f>
        <v>0.32080516300121348</v>
      </c>
      <c r="G530" s="627" t="s">
        <v>236</v>
      </c>
      <c r="H530" s="420">
        <f>((D530*1.01+E530+F530)/1.13+E531*C530)*G529</f>
        <v>26.268587566413458</v>
      </c>
      <c r="I530" s="421"/>
      <c r="J530" s="422"/>
      <c r="K530" s="54" t="s">
        <v>237</v>
      </c>
      <c r="L530" s="54"/>
      <c r="O530" t="s">
        <v>702</v>
      </c>
      <c r="R530" s="387"/>
      <c r="S530" s="387"/>
      <c r="T530" s="387"/>
      <c r="U530" s="387"/>
      <c r="V530" s="387"/>
      <c r="W530" s="387"/>
      <c r="X530" s="387"/>
      <c r="AQ530" s="110"/>
      <c r="AX530" t="s">
        <v>156</v>
      </c>
      <c r="AY530" t="s">
        <v>246</v>
      </c>
      <c r="AZ530" t="s">
        <v>102</v>
      </c>
      <c r="BA530" t="s">
        <v>158</v>
      </c>
      <c r="BB530" t="s">
        <v>247</v>
      </c>
      <c r="BD530" t="s">
        <v>249</v>
      </c>
      <c r="BE530" t="s">
        <v>250</v>
      </c>
      <c r="BF530" t="s">
        <v>251</v>
      </c>
      <c r="BZ530" t="s">
        <v>484</v>
      </c>
      <c r="CB530" t="s">
        <v>201</v>
      </c>
      <c r="CG530" s="122"/>
      <c r="CV530" s="388"/>
    </row>
    <row r="531" spans="1:100" customFormat="1" ht="30" customHeight="1" outlineLevel="1">
      <c r="A531" s="112"/>
      <c r="B531" s="418" t="s">
        <v>484</v>
      </c>
      <c r="C531" s="418"/>
      <c r="D531" s="696">
        <v>2</v>
      </c>
      <c r="E531" s="418">
        <f>0.8/C530*2+0.3</f>
        <v>0.81328826080194161</v>
      </c>
      <c r="F531" s="418"/>
      <c r="G531" s="418"/>
      <c r="H531" s="421"/>
      <c r="I531" s="421"/>
      <c r="J531" s="422"/>
      <c r="K531" s="54" t="s">
        <v>237</v>
      </c>
      <c r="L531" s="54"/>
      <c r="O531" t="s">
        <v>702</v>
      </c>
      <c r="R531" s="387"/>
      <c r="S531" s="387"/>
      <c r="T531" s="387"/>
      <c r="U531" s="387"/>
      <c r="V531" s="387"/>
      <c r="W531" s="387"/>
      <c r="X531" s="387"/>
      <c r="AQ531" s="110"/>
      <c r="BZ531" t="s">
        <v>484</v>
      </c>
      <c r="CB531" t="s">
        <v>201</v>
      </c>
      <c r="CG531" s="122"/>
      <c r="CV531" s="388"/>
    </row>
    <row r="532" spans="1:100" customFormat="1" ht="30" customHeight="1" outlineLevel="1">
      <c r="A532" s="112"/>
      <c r="B532" s="414">
        <v>0</v>
      </c>
      <c r="C532" s="465">
        <f>报价辅助计算!$E$13</f>
        <v>0</v>
      </c>
      <c r="D532" s="418" t="str">
        <f>MID(D529,FIND("L",D529)+1,FIND("*",D529)-FIND("L",D529)-1)</f>
        <v>1000</v>
      </c>
      <c r="E532" s="697" t="str">
        <f>MID(D529,FIND("D",D529)+1,LEN(D529)-FIND("D",D529))</f>
        <v>500</v>
      </c>
      <c r="F532" s="561"/>
      <c r="G532" s="418"/>
      <c r="H532" s="421"/>
      <c r="I532" s="421"/>
      <c r="J532" s="422"/>
      <c r="K532" s="54" t="s">
        <v>237</v>
      </c>
      <c r="L532" s="54"/>
      <c r="O532" t="s">
        <v>702</v>
      </c>
      <c r="R532" s="387"/>
      <c r="S532" s="387"/>
      <c r="T532" s="387"/>
      <c r="U532" s="387"/>
      <c r="V532" s="387"/>
      <c r="W532" s="387"/>
      <c r="X532" s="387"/>
      <c r="AQ532" s="110"/>
      <c r="BZ532" t="s">
        <v>484</v>
      </c>
      <c r="CB532" t="s">
        <v>201</v>
      </c>
      <c r="CG532" s="122"/>
      <c r="CV532" s="388"/>
    </row>
    <row r="533" spans="1:100" s="376" customFormat="1" ht="30" customHeight="1">
      <c r="A533" s="472"/>
      <c r="B533" s="473"/>
      <c r="C533" s="473"/>
      <c r="D533" s="473"/>
      <c r="E533" s="474"/>
      <c r="F533" s="473"/>
      <c r="G533" s="473"/>
      <c r="H533" s="421"/>
      <c r="I533" s="421"/>
      <c r="J533" s="422"/>
      <c r="K533" s="475"/>
      <c r="L533" s="475"/>
      <c r="R533" s="387"/>
      <c r="S533" s="387"/>
      <c r="T533" s="387"/>
      <c r="U533" s="387"/>
      <c r="V533" s="387"/>
      <c r="W533" s="387"/>
      <c r="X533" s="387"/>
      <c r="AQ533" s="476"/>
      <c r="BZ533" t="s">
        <v>484</v>
      </c>
      <c r="CA533"/>
      <c r="CB533" t="s">
        <v>201</v>
      </c>
      <c r="CC533"/>
      <c r="CD533"/>
      <c r="CE533"/>
      <c r="CF533"/>
      <c r="CG533" s="122"/>
    </row>
    <row r="534" spans="1:100" customFormat="1" ht="30" customHeight="1">
      <c r="A534" s="112" t="str">
        <f>IF($C$13=1,IF(K534="报价行",IF(F534&gt;0,1," ")," ")," ")</f>
        <v xml:space="preserve"> </v>
      </c>
      <c r="B534" s="414" t="str">
        <f>IF(A534=1,SUM($A$11:A534),"背拉")</f>
        <v>背拉</v>
      </c>
      <c r="C534" s="415" t="str">
        <f>B535&amp;IF(C537=1,CHAR(10)&amp;B536," ")</f>
        <v xml:space="preserve">Back Brace </v>
      </c>
      <c r="D534" s="566" t="s">
        <v>703</v>
      </c>
      <c r="E534" s="643" t="s">
        <v>701</v>
      </c>
      <c r="F534" s="460"/>
      <c r="G534" s="419">
        <f>C535</f>
        <v>5.0809745040473375</v>
      </c>
      <c r="H534" s="420">
        <f>H535</f>
        <v>32.503622908380912</v>
      </c>
      <c r="I534" s="421" t="s">
        <v>341</v>
      </c>
      <c r="J534" s="422"/>
      <c r="K534" s="423" t="s">
        <v>217</v>
      </c>
      <c r="L534" s="54"/>
      <c r="O534" t="s">
        <v>704</v>
      </c>
      <c r="R534" s="387"/>
      <c r="S534" s="387"/>
      <c r="T534" s="387"/>
      <c r="U534" s="387"/>
      <c r="V534" s="387"/>
      <c r="W534" s="387"/>
      <c r="X534" s="387"/>
      <c r="AQ534" s="110"/>
      <c r="AX534" t="str">
        <f>E534</f>
        <v>φ32*1.5</v>
      </c>
      <c r="AY534" s="494" t="str">
        <f>D534</f>
        <v>L1000*H1717</v>
      </c>
      <c r="AZ534">
        <f>F534</f>
        <v>0</v>
      </c>
      <c r="BA534" s="256">
        <f>G534</f>
        <v>5.0809745040473375</v>
      </c>
      <c r="BB534">
        <f>AZ534*BA534</f>
        <v>0</v>
      </c>
      <c r="BC534" s="495"/>
      <c r="BR534" t="str">
        <f>I534</f>
        <v>Orange Ral2004</v>
      </c>
      <c r="BZ534" t="s">
        <v>486</v>
      </c>
      <c r="CB534" t="s">
        <v>201</v>
      </c>
      <c r="CG534" s="122"/>
      <c r="CV534" s="388"/>
    </row>
    <row r="535" spans="1:100" customFormat="1" ht="30" customHeight="1" outlineLevel="1">
      <c r="A535" s="112"/>
      <c r="B535" s="623" t="s">
        <v>487</v>
      </c>
      <c r="C535" s="642">
        <f>1.13*D536*(SQRT(D537^2+E537^2)/1000+0.04)+0.25*2</f>
        <v>5.0809745040473375</v>
      </c>
      <c r="D535" s="418">
        <f>材料信息更新!$C$88+0.4</f>
        <v>4.71</v>
      </c>
      <c r="E535" s="418">
        <v>1.58</v>
      </c>
      <c r="F535" s="571">
        <f>(0.25*2*D536)/C535</f>
        <v>0.19681263883600142</v>
      </c>
      <c r="G535" s="627" t="s">
        <v>236</v>
      </c>
      <c r="H535" s="420">
        <f>((D535*1.01+E535+F535)/1.13+E536)*G534</f>
        <v>32.503622908380912</v>
      </c>
      <c r="I535" s="421"/>
      <c r="J535" s="422"/>
      <c r="K535" s="54" t="s">
        <v>237</v>
      </c>
      <c r="L535" s="54"/>
      <c r="O535" t="s">
        <v>704</v>
      </c>
      <c r="R535" s="387"/>
      <c r="S535" s="387"/>
      <c r="T535" s="387"/>
      <c r="U535" s="387"/>
      <c r="V535" s="387"/>
      <c r="W535" s="387"/>
      <c r="X535" s="387"/>
      <c r="AQ535" s="110"/>
      <c r="AX535" t="s">
        <v>156</v>
      </c>
      <c r="AY535" t="s">
        <v>246</v>
      </c>
      <c r="AZ535" t="s">
        <v>102</v>
      </c>
      <c r="BA535" t="s">
        <v>158</v>
      </c>
      <c r="BB535" t="s">
        <v>247</v>
      </c>
      <c r="BD535" t="s">
        <v>249</v>
      </c>
      <c r="BE535" t="s">
        <v>250</v>
      </c>
      <c r="BF535" t="s">
        <v>251</v>
      </c>
      <c r="BZ535" t="s">
        <v>486</v>
      </c>
      <c r="CB535" t="s">
        <v>201</v>
      </c>
      <c r="CG535" s="122"/>
      <c r="CV535" s="388"/>
    </row>
    <row r="536" spans="1:100" customFormat="1" ht="30" customHeight="1" outlineLevel="1">
      <c r="A536" s="112"/>
      <c r="B536" s="418" t="s">
        <v>486</v>
      </c>
      <c r="C536" s="418"/>
      <c r="D536" s="696">
        <v>2</v>
      </c>
      <c r="E536" s="418">
        <f>0.8/C535*D536+0.3</f>
        <v>0.61490022213760231</v>
      </c>
      <c r="F536" s="418"/>
      <c r="G536" s="418"/>
      <c r="H536" s="421"/>
      <c r="I536" s="421"/>
      <c r="J536" s="422"/>
      <c r="K536" s="54" t="s">
        <v>237</v>
      </c>
      <c r="L536" s="54"/>
      <c r="O536" t="s">
        <v>704</v>
      </c>
      <c r="R536" s="387"/>
      <c r="S536" s="387"/>
      <c r="T536" s="387"/>
      <c r="U536" s="387"/>
      <c r="V536" s="387"/>
      <c r="W536" s="387"/>
      <c r="X536" s="387"/>
      <c r="AQ536" s="110"/>
      <c r="BZ536" t="s">
        <v>486</v>
      </c>
      <c r="CB536" t="s">
        <v>201</v>
      </c>
      <c r="CG536" s="122"/>
      <c r="CV536" s="388"/>
    </row>
    <row r="537" spans="1:100" customFormat="1" ht="30" customHeight="1" outlineLevel="1">
      <c r="A537" s="112"/>
      <c r="B537" s="414">
        <v>0</v>
      </c>
      <c r="C537" s="465">
        <f>报价辅助计算!$E$13</f>
        <v>0</v>
      </c>
      <c r="D537" s="623" t="str">
        <f>MID(D534,FIND("L",D534)+1,FIND("*",D534)-FIND("L",D534)-1)</f>
        <v>1000</v>
      </c>
      <c r="E537" s="623" t="str">
        <f>MID(D534,FIND("H",D534)+1,LEN(D534)-FIND("H",D534))</f>
        <v>1717</v>
      </c>
      <c r="F537" s="561"/>
      <c r="G537" s="418"/>
      <c r="H537" s="421"/>
      <c r="I537" s="421"/>
      <c r="J537" s="422"/>
      <c r="K537" s="54" t="s">
        <v>237</v>
      </c>
      <c r="L537" s="54"/>
      <c r="O537" t="s">
        <v>704</v>
      </c>
      <c r="R537" s="387"/>
      <c r="S537" s="387"/>
      <c r="T537" s="387"/>
      <c r="U537" s="387"/>
      <c r="V537" s="387"/>
      <c r="W537" s="387"/>
      <c r="X537" s="387"/>
      <c r="AQ537" s="110"/>
      <c r="BZ537" t="s">
        <v>486</v>
      </c>
      <c r="CB537" t="s">
        <v>201</v>
      </c>
      <c r="CG537" s="122"/>
      <c r="CV537" s="388"/>
    </row>
    <row r="538" spans="1:100" s="376" customFormat="1" ht="30" customHeight="1">
      <c r="A538" s="472"/>
      <c r="B538" s="473"/>
      <c r="C538" s="473"/>
      <c r="D538" s="473"/>
      <c r="E538" s="474"/>
      <c r="F538" s="473"/>
      <c r="G538" s="473"/>
      <c r="H538" s="421"/>
      <c r="I538" s="421"/>
      <c r="J538" s="422"/>
      <c r="K538" s="475"/>
      <c r="L538" s="475"/>
      <c r="R538" s="387"/>
      <c r="S538" s="387"/>
      <c r="T538" s="387"/>
      <c r="U538" s="387"/>
      <c r="V538" s="387"/>
      <c r="W538" s="387"/>
      <c r="X538" s="387"/>
      <c r="AQ538" s="476"/>
      <c r="BZ538" t="s">
        <v>486</v>
      </c>
      <c r="CA538"/>
      <c r="CB538" t="s">
        <v>201</v>
      </c>
      <c r="CC538"/>
      <c r="CD538"/>
      <c r="CE538"/>
      <c r="CF538"/>
      <c r="CG538" s="122"/>
    </row>
    <row r="539" spans="1:100" customFormat="1" ht="30" customHeight="1">
      <c r="A539" s="112" t="str">
        <f>IF($C$13=1,IF(K539="报价行",IF(F539&gt;0,1," ")," ")," ")</f>
        <v xml:space="preserve"> </v>
      </c>
      <c r="B539" s="414" t="str">
        <f>IF(A539=1,SUM($A$11:A539),"地插件")</f>
        <v>地插件</v>
      </c>
      <c r="C539" s="415" t="str">
        <f>B540&amp;IF(C542=1,CHAR(10)&amp;B541," ")</f>
        <v xml:space="preserve">Ground connector with bolt </v>
      </c>
      <c r="D539" s="416"/>
      <c r="E539" s="698"/>
      <c r="F539" s="416"/>
      <c r="G539" s="419">
        <f>C541</f>
        <v>2</v>
      </c>
      <c r="H539" s="420">
        <f>H540</f>
        <v>22.805309734513276</v>
      </c>
      <c r="I539" s="421" t="s">
        <v>705</v>
      </c>
      <c r="J539" s="422"/>
      <c r="K539" s="423" t="s">
        <v>217</v>
      </c>
      <c r="L539" s="54"/>
      <c r="O539" t="s">
        <v>706</v>
      </c>
      <c r="R539" s="387"/>
      <c r="S539" s="387"/>
      <c r="T539" s="387"/>
      <c r="U539" s="387"/>
      <c r="V539" s="387"/>
      <c r="W539" s="387"/>
      <c r="X539" s="387"/>
      <c r="AQ539" s="110"/>
      <c r="AX539">
        <f>E539</f>
        <v>0</v>
      </c>
      <c r="AY539" s="494">
        <f>D539</f>
        <v>0</v>
      </c>
      <c r="AZ539">
        <f>F539</f>
        <v>0</v>
      </c>
      <c r="BA539" s="256">
        <f>G539</f>
        <v>2</v>
      </c>
      <c r="BB539">
        <f>AZ539*BA539</f>
        <v>0</v>
      </c>
      <c r="BC539" s="495"/>
      <c r="BR539" t="str">
        <f>I539</f>
        <v>Blue Ral5010</v>
      </c>
      <c r="BZ539" t="s">
        <v>685</v>
      </c>
      <c r="CA539" s="112"/>
      <c r="CG539" s="122" t="s">
        <v>207</v>
      </c>
      <c r="CV539" s="388"/>
    </row>
    <row r="540" spans="1:100" customFormat="1" ht="30" customHeight="1" outlineLevel="1">
      <c r="A540" s="112"/>
      <c r="B540" s="416" t="s">
        <v>707</v>
      </c>
      <c r="C540" s="112" t="s">
        <v>559</v>
      </c>
      <c r="D540" s="460">
        <v>4.5</v>
      </c>
      <c r="E540" s="460">
        <v>3</v>
      </c>
      <c r="F540" s="418">
        <v>1</v>
      </c>
      <c r="G540" s="514" t="s">
        <v>236</v>
      </c>
      <c r="H540" s="421">
        <f>C541*(D540*1.01+E540*1.13+D541+E541)/1.13*F540</f>
        <v>22.805309734513276</v>
      </c>
      <c r="I540" s="421"/>
      <c r="J540" s="422"/>
      <c r="K540" s="54" t="s">
        <v>237</v>
      </c>
      <c r="L540" s="54"/>
      <c r="O540" t="s">
        <v>706</v>
      </c>
      <c r="R540" s="387"/>
      <c r="S540" s="387"/>
      <c r="T540" s="387"/>
      <c r="U540" s="387"/>
      <c r="V540" s="387"/>
      <c r="W540" s="387"/>
      <c r="X540" s="387"/>
      <c r="AQ540" s="110"/>
      <c r="AX540" t="s">
        <v>156</v>
      </c>
      <c r="AY540" t="s">
        <v>246</v>
      </c>
      <c r="AZ540" t="s">
        <v>102</v>
      </c>
      <c r="BA540" t="s">
        <v>158</v>
      </c>
      <c r="BB540" t="s">
        <v>247</v>
      </c>
      <c r="BD540" t="s">
        <v>249</v>
      </c>
      <c r="BE540" t="s">
        <v>250</v>
      </c>
      <c r="BF540" t="s">
        <v>251</v>
      </c>
      <c r="BZ540" t="s">
        <v>685</v>
      </c>
      <c r="CA540" s="112"/>
      <c r="CG540" s="122" t="s">
        <v>207</v>
      </c>
      <c r="CV540" s="388"/>
    </row>
    <row r="541" spans="1:100" customFormat="1" ht="30" customHeight="1" outlineLevel="1">
      <c r="A541" s="112"/>
      <c r="B541" s="418" t="s">
        <v>706</v>
      </c>
      <c r="C541" s="460">
        <v>2</v>
      </c>
      <c r="D541" s="655">
        <v>0.95</v>
      </c>
      <c r="E541" s="655">
        <f>4*2/C541</f>
        <v>4</v>
      </c>
      <c r="F541" s="561"/>
      <c r="G541" s="418"/>
      <c r="H541" s="421"/>
      <c r="I541" s="421"/>
      <c r="J541" s="422"/>
      <c r="K541" s="54" t="s">
        <v>237</v>
      </c>
      <c r="L541" s="54"/>
      <c r="O541" t="s">
        <v>706</v>
      </c>
      <c r="R541" s="387"/>
      <c r="S541" s="387"/>
      <c r="T541" s="387"/>
      <c r="U541" s="387"/>
      <c r="V541" s="387"/>
      <c r="W541" s="387"/>
      <c r="X541" s="387"/>
      <c r="AQ541" s="110"/>
      <c r="BZ541" t="s">
        <v>685</v>
      </c>
      <c r="CA541" s="112"/>
      <c r="CG541" s="122" t="s">
        <v>207</v>
      </c>
      <c r="CV541" s="388"/>
    </row>
    <row r="542" spans="1:100" customFormat="1" ht="30" customHeight="1" outlineLevel="1">
      <c r="A542" s="112"/>
      <c r="B542" s="414">
        <v>0</v>
      </c>
      <c r="C542" s="465">
        <f>报价辅助计算!$E$13</f>
        <v>0</v>
      </c>
      <c r="D542" s="564"/>
      <c r="E542" s="564"/>
      <c r="F542" s="561"/>
      <c r="G542" s="418"/>
      <c r="H542" s="421"/>
      <c r="I542" s="421"/>
      <c r="J542" s="422"/>
      <c r="K542" s="54" t="s">
        <v>237</v>
      </c>
      <c r="L542" s="54"/>
      <c r="O542" t="s">
        <v>706</v>
      </c>
      <c r="R542" s="387"/>
      <c r="S542" s="387"/>
      <c r="T542" s="387"/>
      <c r="U542" s="387"/>
      <c r="V542" s="387"/>
      <c r="W542" s="387"/>
      <c r="X542" s="387"/>
      <c r="AQ542" s="110"/>
      <c r="BZ542" t="s">
        <v>685</v>
      </c>
      <c r="CA542" s="112"/>
      <c r="CG542" s="122" t="s">
        <v>207</v>
      </c>
      <c r="CV542" s="388"/>
    </row>
    <row r="543" spans="1:100" s="376" customFormat="1" ht="30" customHeight="1">
      <c r="A543" s="472"/>
      <c r="B543" s="473"/>
      <c r="C543" s="473"/>
      <c r="D543" s="473"/>
      <c r="E543" s="474"/>
      <c r="F543" s="473"/>
      <c r="G543" s="473"/>
      <c r="H543" s="421"/>
      <c r="I543" s="421"/>
      <c r="J543" s="422"/>
      <c r="K543" s="475"/>
      <c r="L543" s="475"/>
      <c r="R543" s="387"/>
      <c r="S543" s="387"/>
      <c r="T543" s="387"/>
      <c r="U543" s="387"/>
      <c r="V543" s="387"/>
      <c r="W543" s="387"/>
      <c r="X543" s="387"/>
      <c r="AQ543" s="476"/>
      <c r="BZ543" t="s">
        <v>685</v>
      </c>
      <c r="CA543" s="112"/>
      <c r="CB543"/>
      <c r="CC543"/>
      <c r="CD543"/>
      <c r="CE543"/>
      <c r="CF543"/>
      <c r="CG543" s="122" t="s">
        <v>207</v>
      </c>
    </row>
    <row r="544" spans="1:100" customFormat="1" ht="45.75" customHeight="1">
      <c r="A544" s="112" t="str">
        <f>IF($C$13=1,IF(K544="报价行",IF(F544&gt;0,1," ")," ")," ")</f>
        <v xml:space="preserve"> </v>
      </c>
      <c r="B544" s="414" t="str">
        <f>IF(A544=1,SUM($A$11:A544),"脚底板套装")</f>
        <v>脚底板套装</v>
      </c>
      <c r="C544" s="509" t="s">
        <v>458</v>
      </c>
      <c r="D544" s="699"/>
      <c r="E544" s="700" t="s">
        <v>708</v>
      </c>
      <c r="F544" s="460"/>
      <c r="G544" s="429">
        <f>IFERROR(Y548+AN547*AQ547,"-")</f>
        <v>2.4261500000000003</v>
      </c>
      <c r="H544" s="429">
        <f>IFERROR(SUM(H545:H547),"-")</f>
        <v>21.656017699115058</v>
      </c>
      <c r="I544" s="460" t="s">
        <v>396</v>
      </c>
      <c r="J544" s="54"/>
      <c r="K544" s="423" t="s">
        <v>217</v>
      </c>
      <c r="L544" s="54"/>
      <c r="O544" s="425" t="s">
        <v>709</v>
      </c>
      <c r="P544" s="425"/>
      <c r="Q544" s="460">
        <v>600</v>
      </c>
      <c r="R544" t="s">
        <v>219</v>
      </c>
      <c r="S544" s="427" t="s">
        <v>220</v>
      </c>
      <c r="T544" s="427"/>
      <c r="U544" s="427"/>
      <c r="V544" s="427"/>
      <c r="W544" s="427"/>
      <c r="X544" s="427"/>
      <c r="Y544" s="427">
        <f>SUM(Y546:Y546)</f>
        <v>0</v>
      </c>
      <c r="Z544" s="427"/>
      <c r="AA544" s="428" t="s">
        <v>221</v>
      </c>
      <c r="AB544" s="428" t="s">
        <v>222</v>
      </c>
      <c r="AC544" s="428" t="s">
        <v>223</v>
      </c>
      <c r="AD544" s="428" t="s">
        <v>224</v>
      </c>
      <c r="AE544" s="446" t="s">
        <v>297</v>
      </c>
      <c r="AF544" s="428" t="s">
        <v>225</v>
      </c>
      <c r="AG544" s="699" t="s">
        <v>226</v>
      </c>
      <c r="AH544" s="699" t="s">
        <v>227</v>
      </c>
      <c r="AI544" s="699" t="s">
        <v>228</v>
      </c>
      <c r="AJ544" s="699" t="s">
        <v>229</v>
      </c>
      <c r="AK544" s="699"/>
      <c r="AL544" s="699" t="s">
        <v>231</v>
      </c>
      <c r="AM544" s="699" t="s">
        <v>232</v>
      </c>
      <c r="AN544" s="699" t="s">
        <v>102</v>
      </c>
      <c r="AO544" s="699" t="s">
        <v>74</v>
      </c>
      <c r="AP544" s="699" t="s">
        <v>21</v>
      </c>
      <c r="AQ544" s="110"/>
      <c r="AX544" t="str">
        <f>E544</f>
        <v>FP85H4.NZ75,with shim plate, without  bolts</v>
      </c>
      <c r="AY544" s="494">
        <f>D544</f>
        <v>0</v>
      </c>
      <c r="AZ544">
        <f>F544</f>
        <v>0</v>
      </c>
      <c r="BA544" s="256">
        <f>G544</f>
        <v>2.4261500000000003</v>
      </c>
      <c r="BB544">
        <f>AZ544*BA544</f>
        <v>0</v>
      </c>
      <c r="BN544">
        <f>AZ544</f>
        <v>0</v>
      </c>
      <c r="BO544" s="256">
        <f>Y548</f>
        <v>2.12</v>
      </c>
      <c r="BP544">
        <f>BN544*BO544</f>
        <v>0</v>
      </c>
      <c r="BQ544" t="str">
        <f>D549</f>
        <v>Q235</v>
      </c>
      <c r="BR544" t="str">
        <f>I544</f>
        <v>Gal</v>
      </c>
      <c r="BZ544" t="s">
        <v>457</v>
      </c>
      <c r="CA544" s="112"/>
      <c r="CG544" s="412" t="s">
        <v>207</v>
      </c>
      <c r="CV544" s="388"/>
    </row>
    <row r="545" spans="1:100" customFormat="1" ht="30" customHeight="1" outlineLevel="1">
      <c r="A545" s="112"/>
      <c r="B545" s="418"/>
      <c r="C545" s="418" t="s">
        <v>10</v>
      </c>
      <c r="D545" s="701" t="s">
        <v>235</v>
      </c>
      <c r="E545" s="418"/>
      <c r="F545" s="702">
        <v>2000</v>
      </c>
      <c r="G545" s="440" t="s">
        <v>428</v>
      </c>
      <c r="H545" s="428">
        <f>IFERROR(X546,"-")</f>
        <v>0</v>
      </c>
      <c r="I545" s="418"/>
      <c r="J545" t="s">
        <v>449</v>
      </c>
      <c r="K545" s="54" t="s">
        <v>237</v>
      </c>
      <c r="L545" s="54"/>
      <c r="O545" s="425" t="s">
        <v>709</v>
      </c>
      <c r="P545" s="425"/>
      <c r="Q545" s="256"/>
      <c r="R545" s="699" t="s">
        <v>238</v>
      </c>
      <c r="S545" s="699" t="s">
        <v>239</v>
      </c>
      <c r="T545" s="699" t="s">
        <v>240</v>
      </c>
      <c r="U545" s="699" t="s">
        <v>241</v>
      </c>
      <c r="V545" s="699" t="s">
        <v>242</v>
      </c>
      <c r="W545" s="699" t="s">
        <v>207</v>
      </c>
      <c r="X545" s="699" t="s">
        <v>243</v>
      </c>
      <c r="Y545" s="699" t="s">
        <v>244</v>
      </c>
      <c r="Z545" s="699" t="s">
        <v>159</v>
      </c>
      <c r="AA545" s="437" t="str">
        <f>D545</f>
        <v>9070-20</v>
      </c>
      <c r="AB545" s="438">
        <v>1</v>
      </c>
      <c r="AC545" s="438">
        <f>F545</f>
        <v>2000</v>
      </c>
      <c r="AD545" s="438">
        <f>E545</f>
        <v>0</v>
      </c>
      <c r="AE545" s="438" t="str">
        <f>E546</f>
        <v>外部冲孔时填写印尼</v>
      </c>
      <c r="AF545" s="439" t="str">
        <f>G545</f>
        <v>预镀锌</v>
      </c>
      <c r="AG545" s="703">
        <f>IF(AF545="预镀锌",0,IF(AF545="喷塑",VLOOKUP(AA545,常规材料表!$1:$1048576,12,0),IF(AF545="热镀锌",VLOOKUP(AA545,常规材料表!$1:$1048576,13,0),IF(AF545="冷镀锌",VLOOKUP(AA545,常规材料表!$1:$1048576,15,0),0))))</f>
        <v>0</v>
      </c>
      <c r="AH545" s="703">
        <f>IF(AF545="预镀锌",VLOOKUP(AA545,常规材料表!$1:$1048576,11,0)+VLOOKUP(AA545,常规材料表!$1:$1048576,14,0),VLOOKUP(AA545,常规材料表!$1:$1048576,11,0))+IF(AC545&lt;8000,0,VLOOKUP(AA545,常规材料表!$1:$1048576,16,0))</f>
        <v>2.6</v>
      </c>
      <c r="AI545" s="703">
        <f>VLOOKUP(AA545,常规材料表!$1:$1048576,7,0)</f>
        <v>249</v>
      </c>
      <c r="AJ545" s="703">
        <f>VLOOKUP(AA545,常规材料表!$1:$1048576,6,0)</f>
        <v>2</v>
      </c>
      <c r="AK545" s="699"/>
      <c r="AL545" s="704" t="s">
        <v>280</v>
      </c>
      <c r="AM545" s="704" t="str">
        <f>VLOOKUP(AA548,常规材料表!$1:$1048576,17,0)</f>
        <v>M10.L20</v>
      </c>
      <c r="AN545" s="704">
        <f>VLOOKUP(AA548,常规材料表!$1:$1048576,18,0)</f>
        <v>4</v>
      </c>
      <c r="AO545" s="704">
        <f>VLOOKUP(AM545,标准件价格!$C:$D,2,0)</f>
        <v>0.19600000000000001</v>
      </c>
      <c r="AP545" s="704">
        <f>AN545*AO545</f>
        <v>0.78400000000000003</v>
      </c>
      <c r="AQ545" s="111">
        <f>IFERROR(VLOOKUP(AM545,标准件价格!$C:$E,3,0),0)</f>
        <v>0</v>
      </c>
      <c r="AR545">
        <f>IFERROR(IF(J546&gt;0,Y546*F544,0),"-")</f>
        <v>0</v>
      </c>
      <c r="AS545">
        <f>IFERROR(IF(J546=0,Y546*F544,0),"-")</f>
        <v>0</v>
      </c>
      <c r="AX545" t="s">
        <v>156</v>
      </c>
      <c r="AY545" t="s">
        <v>246</v>
      </c>
      <c r="AZ545" t="s">
        <v>102</v>
      </c>
      <c r="BA545" t="s">
        <v>158</v>
      </c>
      <c r="BB545" t="s">
        <v>247</v>
      </c>
      <c r="BN545" t="s">
        <v>259</v>
      </c>
      <c r="BO545" t="s">
        <v>260</v>
      </c>
      <c r="BP545" t="s">
        <v>261</v>
      </c>
      <c r="BQ545" t="s">
        <v>262</v>
      </c>
      <c r="BR545" t="s">
        <v>155</v>
      </c>
      <c r="BZ545" t="s">
        <v>457</v>
      </c>
      <c r="CA545" s="112"/>
      <c r="CG545" s="412" t="s">
        <v>207</v>
      </c>
      <c r="CV545" s="388"/>
    </row>
    <row r="546" spans="1:100" customFormat="1" ht="30" customHeight="1" outlineLevel="1">
      <c r="A546" s="112"/>
      <c r="B546" s="486"/>
      <c r="C546" s="418" t="s">
        <v>274</v>
      </c>
      <c r="D546" s="470" t="s">
        <v>710</v>
      </c>
      <c r="E546" s="429" t="s">
        <v>299</v>
      </c>
      <c r="F546" s="112"/>
      <c r="G546" s="439" t="s">
        <v>549</v>
      </c>
      <c r="H546" s="428">
        <f>IFERROR(X548,"-")</f>
        <v>21.656017699115058</v>
      </c>
      <c r="I546" s="418"/>
      <c r="J546" s="667">
        <f>IFERROR(IF(D549="Q355",IFERROR(IF(G545="预镀锌",VLOOKUP(D545,常规材料表!$1:$1048576,30,0),VLOOKUP(D545,常规材料表!$1:$1048576,29,0)),0),0),0)</f>
        <v>0</v>
      </c>
      <c r="K546" s="54" t="s">
        <v>237</v>
      </c>
      <c r="L546" s="54"/>
      <c r="O546" s="425" t="s">
        <v>709</v>
      </c>
      <c r="P546" s="425"/>
      <c r="Q546" s="445" t="s">
        <v>10</v>
      </c>
      <c r="R546" s="699">
        <f>IF(AD548&gt;0,AD548,IFERROR(IF(AF545="预镀锌",VLOOKUP(AA545,常规材料表!$1:$1048576,5,0),VLOOKUP(AA545,常规材料表!$1:$1048576,10,0)),0))</f>
        <v>3.96</v>
      </c>
      <c r="S546" s="458">
        <v>1.02</v>
      </c>
      <c r="T546" s="699"/>
      <c r="U546" s="699"/>
      <c r="V546" s="699"/>
      <c r="W546" s="699"/>
      <c r="X546" s="699"/>
      <c r="Y546" s="699"/>
      <c r="Z546" s="699">
        <f>Y546*AB545</f>
        <v>0</v>
      </c>
      <c r="AA546" s="428"/>
      <c r="AB546" s="428"/>
      <c r="AC546" s="428"/>
      <c r="AE546" s="428"/>
      <c r="AF546" s="699"/>
      <c r="AG546" s="699"/>
      <c r="AH546" s="699"/>
      <c r="AI546" s="699"/>
      <c r="AJ546" s="699"/>
      <c r="AK546" s="699"/>
      <c r="AL546" s="704" t="s">
        <v>290</v>
      </c>
      <c r="AM546" s="704">
        <f>VLOOKUP(AA548,常规材料表!$1:$1048576,19,0)</f>
        <v>0</v>
      </c>
      <c r="AN546" s="704">
        <f>VLOOKUP(AA548,常规材料表!$1:$1048576,20,0)</f>
        <v>0</v>
      </c>
      <c r="AO546" s="704">
        <f>IFERROR(VLOOKUP(AM546,标准件价格!$C:$D,2,0),0)</f>
        <v>0</v>
      </c>
      <c r="AP546" s="704">
        <f>AN546*AO546</f>
        <v>0</v>
      </c>
      <c r="AQ546" s="111">
        <f>IFERROR(VLOOKUP(AM546,标准件价格!$C:$E,3,0),0)</f>
        <v>0</v>
      </c>
      <c r="BZ546" t="s">
        <v>457</v>
      </c>
      <c r="CA546" s="112"/>
      <c r="CG546" s="412" t="s">
        <v>207</v>
      </c>
      <c r="CV546" s="388"/>
    </row>
    <row r="547" spans="1:100" customFormat="1" ht="30" customHeight="1" outlineLevel="1">
      <c r="A547" s="112"/>
      <c r="B547" s="418"/>
      <c r="C547" s="418"/>
      <c r="D547" s="418"/>
      <c r="E547" s="615"/>
      <c r="F547" s="615"/>
      <c r="G547" s="418"/>
      <c r="H547" s="418"/>
      <c r="I547" s="418"/>
      <c r="J547" s="610" t="s">
        <v>456</v>
      </c>
      <c r="K547" s="54" t="s">
        <v>237</v>
      </c>
      <c r="L547" s="54"/>
      <c r="O547" s="425" t="s">
        <v>709</v>
      </c>
      <c r="P547" s="425"/>
      <c r="Q547" s="445" t="s">
        <v>274</v>
      </c>
      <c r="R547" s="699" t="s">
        <v>238</v>
      </c>
      <c r="S547" s="428" t="s">
        <v>239</v>
      </c>
      <c r="T547" s="699" t="s">
        <v>240</v>
      </c>
      <c r="U547" s="699" t="s">
        <v>241</v>
      </c>
      <c r="V547" s="699" t="s">
        <v>242</v>
      </c>
      <c r="W547" s="699" t="s">
        <v>207</v>
      </c>
      <c r="X547" s="699" t="s">
        <v>282</v>
      </c>
      <c r="Y547" s="699" t="s">
        <v>283</v>
      </c>
      <c r="Z547" s="699" t="s">
        <v>159</v>
      </c>
      <c r="AA547" s="438" t="s">
        <v>284</v>
      </c>
      <c r="AB547" s="699" t="s">
        <v>221</v>
      </c>
      <c r="AC547" s="699" t="s">
        <v>222</v>
      </c>
      <c r="AD547" s="448" t="s">
        <v>285</v>
      </c>
      <c r="AE547" s="428" t="s">
        <v>286</v>
      </c>
      <c r="AF547" s="699" t="s">
        <v>226</v>
      </c>
      <c r="AG547" s="704" t="s">
        <v>238</v>
      </c>
      <c r="AH547" s="704" t="s">
        <v>287</v>
      </c>
      <c r="AI547" s="704" t="s">
        <v>288</v>
      </c>
      <c r="AJ547" s="705"/>
      <c r="AK547" s="699"/>
      <c r="AL547" s="704" t="s">
        <v>291</v>
      </c>
      <c r="AM547" s="704" t="str">
        <f>VLOOKUP(AA548,常规材料表!$1:$1048576,21,0)</f>
        <v>NZ 90/100.15.Pregal</v>
      </c>
      <c r="AN547" s="704">
        <v>1</v>
      </c>
      <c r="AO547" s="704">
        <f>VLOOKUP(AM547,标准件价格!$C:$D,2,0)</f>
        <v>2.7553999999999998</v>
      </c>
      <c r="AP547" s="704">
        <f>AN547*AO547</f>
        <v>2.7553999999999998</v>
      </c>
      <c r="AQ547" s="111">
        <f>IFERROR(VLOOKUP(AM547,标准件价格!$C:$E,3,0),0)</f>
        <v>0.30614999999999998</v>
      </c>
      <c r="BZ547" t="s">
        <v>457</v>
      </c>
      <c r="CA547" s="112"/>
      <c r="CG547" s="412" t="s">
        <v>207</v>
      </c>
      <c r="CV547" s="388"/>
    </row>
    <row r="548" spans="1:100" customFormat="1" ht="30" customHeight="1" outlineLevel="1">
      <c r="A548" s="112"/>
      <c r="B548" s="418"/>
      <c r="C548" s="509" t="s">
        <v>516</v>
      </c>
      <c r="D548" s="509">
        <v>1.5</v>
      </c>
      <c r="E548" s="635">
        <f>(6.5*1.02+2+0.25*2/D548)/1.13+1</f>
        <v>8.9321533923303846</v>
      </c>
      <c r="F548" s="509"/>
      <c r="G548" s="418"/>
      <c r="H548" s="418">
        <f>D548*E548*F548</f>
        <v>0</v>
      </c>
      <c r="I548" s="418" t="s">
        <v>711</v>
      </c>
      <c r="J548" s="610"/>
      <c r="K548" s="54" t="s">
        <v>237</v>
      </c>
      <c r="L548" s="54"/>
      <c r="O548" s="425" t="s">
        <v>709</v>
      </c>
      <c r="P548" s="425"/>
      <c r="R548" s="699">
        <f>AG548</f>
        <v>6.3679245283018897</v>
      </c>
      <c r="S548" s="458">
        <v>1.01</v>
      </c>
      <c r="T548" s="469">
        <f>R548*S548/1.13</f>
        <v>5.6916847553848759</v>
      </c>
      <c r="U548" s="469">
        <f>VLOOKUP(AA548,常规材料表!$1:$1048576,11,0)/Y548+0.25</f>
        <v>1.0990566037735849</v>
      </c>
      <c r="V548" s="469">
        <f>IF(AE548="喷塑",AF548,AF548)/1.13</f>
        <v>1.946902654867257</v>
      </c>
      <c r="W548" s="469">
        <f>SUM(AP545:AP547)/Y548/1.13</f>
        <v>1.4774586742360993</v>
      </c>
      <c r="X548" s="469">
        <f>(T548+U548+V548+W548)*Y548</f>
        <v>21.656017699115058</v>
      </c>
      <c r="Y548" s="469">
        <f>VLOOKUP(AA548,常规材料表!$1:$1048576,3,0)</f>
        <v>2.12</v>
      </c>
      <c r="Z548" s="427">
        <f>Y548*AC548</f>
        <v>2.12</v>
      </c>
      <c r="AA548" s="470" t="str">
        <f>D546</f>
        <v>FP90/100H4.NZ76.2+bolt.set</v>
      </c>
      <c r="AB548" s="703" t="str">
        <f>AA545</f>
        <v>9070-20</v>
      </c>
      <c r="AC548" s="699">
        <f>AB545</f>
        <v>1</v>
      </c>
      <c r="AD548" s="471">
        <f>J546</f>
        <v>0</v>
      </c>
      <c r="AE548" s="439" t="str">
        <f>G546</f>
        <v>冷镀锌</v>
      </c>
      <c r="AF548" s="703">
        <f>IF(AE548="预镀锌",0,IF(AE548="喷塑",VLOOKUP(AA548,常规材料表!$1:$1048576,12,0),IF(AE548="热镀锌",VLOOKUP(AA548,常规材料表!$1:$1048576,13,0),IF(AE548="冷镀锌",VLOOKUP(AA548,常规材料表!$1:$1048576,15,0),0))))</f>
        <v>2.2000000000000002</v>
      </c>
      <c r="AG548" s="703">
        <f>VLOOKUP(AA548,常规材料表!$1:$1048576,10,0)</f>
        <v>6.3679245283018897</v>
      </c>
      <c r="AH548" s="699">
        <f>IF(AE548="预镀锌",VLOOKUP(AA548,常规材料表!$1:$1048576,11,0)+VLOOKUP(AA548,常规材料表!$1:$1048576,14,0),VLOOKUP(AA548,常规材料表!$1:$1048576,11,0))</f>
        <v>1.8</v>
      </c>
      <c r="AI548" s="704">
        <f>VLOOKUP(AA548,常规材料表!$1:$1048576,4,0)</f>
        <v>0.12</v>
      </c>
      <c r="AL548" s="699"/>
      <c r="AM548" s="699"/>
      <c r="AN548" s="699"/>
      <c r="AO548" s="699"/>
      <c r="AP548" s="699"/>
      <c r="AQ548" s="111">
        <f>IFERROR(VLOOKUP(AM548,标准件价格!$C:$E,3,0),0)</f>
        <v>0</v>
      </c>
      <c r="BZ548" t="s">
        <v>457</v>
      </c>
      <c r="CA548" s="112"/>
      <c r="CG548" s="412" t="s">
        <v>207</v>
      </c>
      <c r="CV548" s="388"/>
    </row>
    <row r="549" spans="1:100" customFormat="1" ht="30" customHeight="1" outlineLevel="1">
      <c r="A549" s="112"/>
      <c r="B549" s="414">
        <v>0</v>
      </c>
      <c r="C549" s="706">
        <v>75</v>
      </c>
      <c r="D549" s="404" t="s">
        <v>8</v>
      </c>
      <c r="E549" s="707"/>
      <c r="F549" s="708"/>
      <c r="G549" s="418"/>
      <c r="H549" s="418"/>
      <c r="I549" s="418"/>
      <c r="J549" s="54"/>
      <c r="K549" s="54" t="s">
        <v>237</v>
      </c>
      <c r="L549" s="54"/>
      <c r="O549" s="425" t="s">
        <v>709</v>
      </c>
      <c r="P549" s="425"/>
      <c r="AQ549" s="110"/>
      <c r="BZ549" t="s">
        <v>457</v>
      </c>
      <c r="CA549" s="112"/>
      <c r="CG549" s="412" t="s">
        <v>207</v>
      </c>
      <c r="CV549" s="388"/>
    </row>
    <row r="550" spans="1:100" s="379" customFormat="1" ht="30" customHeight="1">
      <c r="A550" s="709"/>
      <c r="B550" s="710"/>
      <c r="C550" s="710"/>
      <c r="D550" s="710"/>
      <c r="E550" s="711"/>
      <c r="F550" s="710"/>
      <c r="G550" s="710"/>
      <c r="H550" s="710"/>
      <c r="I550" s="710"/>
      <c r="J550" s="712"/>
      <c r="K550" s="712"/>
      <c r="L550" s="712"/>
      <c r="AQ550" s="713"/>
      <c r="BZ550" t="s">
        <v>457</v>
      </c>
      <c r="CA550" s="112"/>
      <c r="CB550"/>
      <c r="CC550"/>
      <c r="CD550"/>
      <c r="CE550"/>
      <c r="CF550"/>
      <c r="CG550" s="412" t="s">
        <v>207</v>
      </c>
    </row>
    <row r="551" spans="1:100" customFormat="1" ht="30" customHeight="1">
      <c r="A551" s="112" t="str">
        <f>IF($C$13=1,IF(K551="报价行",IF(F551&gt;0,1," ")," ")," ")</f>
        <v xml:space="preserve"> </v>
      </c>
      <c r="B551" s="414" t="str">
        <f>IF(A551=1,SUM($A$11:A551),"标准件")</f>
        <v>标准件</v>
      </c>
      <c r="C551" s="460" t="s">
        <v>712</v>
      </c>
      <c r="D551" s="536"/>
      <c r="E551" s="641" t="str">
        <f>C552</f>
        <v>M10.L65.Socket.Wz</v>
      </c>
      <c r="F551" s="460"/>
      <c r="G551" s="429">
        <v>0.06</v>
      </c>
      <c r="H551" s="429">
        <f>D552*1.01/1.13+D553/1.06</f>
        <v>0.35752212389380539</v>
      </c>
      <c r="I551" s="460" t="s">
        <v>396</v>
      </c>
      <c r="J551" s="54"/>
      <c r="K551" s="423" t="s">
        <v>217</v>
      </c>
      <c r="L551" s="54"/>
      <c r="O551" t="s">
        <v>713</v>
      </c>
      <c r="AQ551" s="110"/>
      <c r="AX551" t="str">
        <f>E551</f>
        <v>M10.L65.Socket.Wz</v>
      </c>
      <c r="AY551" s="494">
        <f>D551</f>
        <v>0</v>
      </c>
      <c r="AZ551">
        <f>F551</f>
        <v>0</v>
      </c>
      <c r="BA551" s="256">
        <f>G551</f>
        <v>0.06</v>
      </c>
      <c r="BB551">
        <f>AZ551*BA551</f>
        <v>0</v>
      </c>
      <c r="BC551" s="495"/>
      <c r="BR551" t="str">
        <f>I551</f>
        <v>Gal</v>
      </c>
      <c r="BZ551" t="s">
        <v>533</v>
      </c>
      <c r="CC551" t="s">
        <v>202</v>
      </c>
      <c r="CG551" s="122"/>
      <c r="CV551" s="388"/>
    </row>
    <row r="552" spans="1:100" customFormat="1" ht="30" customHeight="1" outlineLevel="1">
      <c r="A552" s="112"/>
      <c r="B552" s="112"/>
      <c r="C552" s="418" t="s">
        <v>714</v>
      </c>
      <c r="D552" s="640">
        <f>VLOOKUP(C552,标准件价格!C:D,2,0)</f>
        <v>0.4</v>
      </c>
      <c r="E552" s="486" t="s">
        <v>536</v>
      </c>
      <c r="F552" s="418"/>
      <c r="G552" s="418"/>
      <c r="H552" s="418"/>
      <c r="I552" s="418"/>
      <c r="J552" s="54"/>
      <c r="K552" s="54" t="s">
        <v>237</v>
      </c>
      <c r="L552" s="54"/>
      <c r="O552" t="s">
        <v>713</v>
      </c>
      <c r="AQ552" s="110"/>
      <c r="AX552" t="s">
        <v>156</v>
      </c>
      <c r="AY552" t="s">
        <v>246</v>
      </c>
      <c r="AZ552" t="s">
        <v>102</v>
      </c>
      <c r="BA552" t="s">
        <v>158</v>
      </c>
      <c r="BB552" t="s">
        <v>247</v>
      </c>
      <c r="BC552" t="s">
        <v>248</v>
      </c>
      <c r="BD552" t="s">
        <v>249</v>
      </c>
      <c r="BE552" t="s">
        <v>250</v>
      </c>
      <c r="BF552" t="s">
        <v>251</v>
      </c>
      <c r="BZ552" t="s">
        <v>533</v>
      </c>
      <c r="CC552" t="s">
        <v>202</v>
      </c>
      <c r="CG552" s="122"/>
      <c r="CV552" s="388"/>
    </row>
    <row r="553" spans="1:100" customFormat="1" ht="30" customHeight="1" outlineLevel="1">
      <c r="A553" s="112"/>
      <c r="B553" s="418"/>
      <c r="C553" s="112" t="s">
        <v>538</v>
      </c>
      <c r="D553" s="640"/>
      <c r="E553" s="486" t="s">
        <v>539</v>
      </c>
      <c r="F553" s="418"/>
      <c r="G553" s="418"/>
      <c r="H553" s="418"/>
      <c r="I553" s="418"/>
      <c r="J553" s="54"/>
      <c r="K553" s="54" t="s">
        <v>237</v>
      </c>
      <c r="L553" s="54"/>
      <c r="O553" t="s">
        <v>713</v>
      </c>
      <c r="AQ553" s="110"/>
      <c r="BZ553" t="s">
        <v>533</v>
      </c>
      <c r="CC553" t="s">
        <v>202</v>
      </c>
      <c r="CG553" s="122"/>
      <c r="CV553" s="388"/>
    </row>
    <row r="554" spans="1:100" customFormat="1" ht="30" customHeight="1" outlineLevel="1">
      <c r="A554" s="112"/>
      <c r="B554" s="418"/>
      <c r="C554" s="112"/>
      <c r="D554" s="463"/>
      <c r="E554" s="415"/>
      <c r="F554" s="418"/>
      <c r="G554" s="418"/>
      <c r="H554" s="418"/>
      <c r="I554" s="418" t="s">
        <v>711</v>
      </c>
      <c r="J554" s="54"/>
      <c r="K554" s="54" t="s">
        <v>237</v>
      </c>
      <c r="L554" s="54"/>
      <c r="O554" t="s">
        <v>713</v>
      </c>
      <c r="AQ554" s="110"/>
      <c r="BZ554" t="s">
        <v>533</v>
      </c>
      <c r="CC554" t="s">
        <v>202</v>
      </c>
      <c r="CG554" s="122"/>
      <c r="CV554" s="388"/>
    </row>
    <row r="555" spans="1:100" customFormat="1" ht="30" customHeight="1" outlineLevel="1">
      <c r="A555" s="112"/>
      <c r="B555" s="414">
        <v>0</v>
      </c>
      <c r="C555" s="418"/>
      <c r="D555" s="418"/>
      <c r="E555" s="415"/>
      <c r="F555" s="418"/>
      <c r="G555" s="418"/>
      <c r="H555" s="418"/>
      <c r="I555" s="418"/>
      <c r="J555" s="54"/>
      <c r="K555" s="54" t="s">
        <v>237</v>
      </c>
      <c r="L555" s="54"/>
      <c r="O555" t="s">
        <v>713</v>
      </c>
      <c r="AQ555" s="110"/>
      <c r="BZ555" t="s">
        <v>533</v>
      </c>
      <c r="CC555" t="s">
        <v>202</v>
      </c>
      <c r="CG555" s="122"/>
      <c r="CV555" s="388"/>
    </row>
    <row r="556" spans="1:100" s="379" customFormat="1" ht="30" customHeight="1">
      <c r="A556" s="709"/>
      <c r="B556" s="710"/>
      <c r="C556" s="710"/>
      <c r="D556" s="710"/>
      <c r="E556" s="711"/>
      <c r="F556" s="710"/>
      <c r="G556" s="710"/>
      <c r="H556" s="710"/>
      <c r="I556" s="710"/>
      <c r="J556" s="712"/>
      <c r="K556" s="712"/>
      <c r="L556" s="712"/>
      <c r="AQ556" s="713"/>
      <c r="BZ556" t="s">
        <v>533</v>
      </c>
      <c r="CA556"/>
      <c r="CB556"/>
      <c r="CC556" t="s">
        <v>202</v>
      </c>
      <c r="CD556"/>
      <c r="CE556"/>
      <c r="CF556"/>
      <c r="CG556" s="122"/>
    </row>
    <row r="557" spans="1:100" customFormat="1" ht="30" customHeight="1">
      <c r="A557" s="112" t="str">
        <f>IF($C$13=1,IF(K557="报价行",IF(F557&gt;0,1," ")," ")," ")</f>
        <v xml:space="preserve"> </v>
      </c>
      <c r="B557" s="414" t="str">
        <f>IF(A557=1,SUM($A$11:A557),"标准件")</f>
        <v>标准件</v>
      </c>
      <c r="C557" s="460" t="s">
        <v>712</v>
      </c>
      <c r="D557" s="536"/>
      <c r="E557" s="641" t="s">
        <v>715</v>
      </c>
      <c r="F557" s="460"/>
      <c r="G557" s="429">
        <v>0.03</v>
      </c>
      <c r="H557" s="429">
        <f>D558*1.01/1.13+D559/1.06</f>
        <v>0.22345132743362833</v>
      </c>
      <c r="I557" s="460" t="s">
        <v>396</v>
      </c>
      <c r="J557" s="54"/>
      <c r="K557" s="423" t="s">
        <v>217</v>
      </c>
      <c r="L557" s="54"/>
      <c r="O557" t="s">
        <v>716</v>
      </c>
      <c r="AQ557" s="110"/>
      <c r="AX557" t="str">
        <f>E557</f>
        <v>M10*20  8.8G</v>
      </c>
      <c r="AY557" s="494">
        <f>D557</f>
        <v>0</v>
      </c>
      <c r="AZ557">
        <f>F557</f>
        <v>0</v>
      </c>
      <c r="BA557" s="256">
        <f>G557</f>
        <v>0.03</v>
      </c>
      <c r="BB557">
        <f>AZ557*BA557</f>
        <v>0</v>
      </c>
      <c r="BC557" s="495"/>
      <c r="BR557" t="str">
        <f>I557</f>
        <v>Gal</v>
      </c>
      <c r="BZ557" t="s">
        <v>533</v>
      </c>
      <c r="CC557" t="s">
        <v>202</v>
      </c>
      <c r="CG557" s="122"/>
      <c r="CV557" s="388"/>
    </row>
    <row r="558" spans="1:100" customFormat="1" ht="30" customHeight="1" outlineLevel="1">
      <c r="A558" s="112"/>
      <c r="B558" s="112"/>
      <c r="C558" s="418" t="s">
        <v>717</v>
      </c>
      <c r="D558" s="640">
        <f>VLOOKUP(C558,标准件价格!C:D,2,0)</f>
        <v>0.25</v>
      </c>
      <c r="E558" s="486" t="s">
        <v>536</v>
      </c>
      <c r="F558" s="418"/>
      <c r="G558" s="418"/>
      <c r="H558" s="418"/>
      <c r="I558" s="418"/>
      <c r="J558" s="54"/>
      <c r="K558" s="54" t="s">
        <v>237</v>
      </c>
      <c r="L558" s="54"/>
      <c r="O558" t="s">
        <v>718</v>
      </c>
      <c r="AQ558" s="110"/>
      <c r="AX558" t="s">
        <v>156</v>
      </c>
      <c r="AY558" t="s">
        <v>246</v>
      </c>
      <c r="AZ558" t="s">
        <v>102</v>
      </c>
      <c r="BA558" t="s">
        <v>158</v>
      </c>
      <c r="BB558" t="s">
        <v>247</v>
      </c>
      <c r="BC558" t="s">
        <v>248</v>
      </c>
      <c r="BD558" t="s">
        <v>249</v>
      </c>
      <c r="BE558" t="s">
        <v>250</v>
      </c>
      <c r="BF558" t="s">
        <v>251</v>
      </c>
      <c r="BZ558" t="s">
        <v>533</v>
      </c>
      <c r="CC558" t="s">
        <v>202</v>
      </c>
      <c r="CG558" s="122"/>
      <c r="CV558" s="388"/>
    </row>
    <row r="559" spans="1:100" customFormat="1" ht="30" customHeight="1" outlineLevel="1">
      <c r="A559" s="112"/>
      <c r="B559" s="418"/>
      <c r="C559" s="112" t="s">
        <v>538</v>
      </c>
      <c r="D559" s="640"/>
      <c r="E559" s="486" t="s">
        <v>539</v>
      </c>
      <c r="F559" s="418"/>
      <c r="G559" s="418"/>
      <c r="H559" s="418"/>
      <c r="I559" s="418"/>
      <c r="J559" s="54"/>
      <c r="K559" s="54" t="s">
        <v>237</v>
      </c>
      <c r="L559" s="54"/>
      <c r="O559" t="s">
        <v>719</v>
      </c>
      <c r="AQ559" s="110"/>
      <c r="BZ559" t="s">
        <v>533</v>
      </c>
      <c r="CC559" t="s">
        <v>202</v>
      </c>
      <c r="CG559" s="122"/>
      <c r="CV559" s="388"/>
    </row>
    <row r="560" spans="1:100" customFormat="1" ht="30" customHeight="1" outlineLevel="1">
      <c r="A560" s="112"/>
      <c r="B560" s="418"/>
      <c r="C560" s="112"/>
      <c r="D560" s="463"/>
      <c r="E560" s="415"/>
      <c r="F560" s="418"/>
      <c r="G560" s="418"/>
      <c r="H560" s="418"/>
      <c r="I560" s="418" t="s">
        <v>711</v>
      </c>
      <c r="J560" s="54"/>
      <c r="K560" s="54" t="s">
        <v>237</v>
      </c>
      <c r="L560" s="54"/>
      <c r="O560" t="s">
        <v>720</v>
      </c>
      <c r="AQ560" s="110"/>
      <c r="BZ560" t="s">
        <v>533</v>
      </c>
      <c r="CC560" t="s">
        <v>202</v>
      </c>
      <c r="CG560" s="122"/>
      <c r="CV560" s="388"/>
    </row>
    <row r="561" spans="1:100" customFormat="1" ht="30" customHeight="1" outlineLevel="1">
      <c r="A561" s="112"/>
      <c r="B561" s="414">
        <v>0</v>
      </c>
      <c r="C561" s="418"/>
      <c r="D561" s="418"/>
      <c r="E561" s="415"/>
      <c r="F561" s="418"/>
      <c r="G561" s="418"/>
      <c r="H561" s="418"/>
      <c r="I561" s="418"/>
      <c r="J561" s="54"/>
      <c r="K561" s="54" t="s">
        <v>237</v>
      </c>
      <c r="L561" s="54"/>
      <c r="O561" t="s">
        <v>721</v>
      </c>
      <c r="AQ561" s="110"/>
      <c r="BZ561" t="s">
        <v>533</v>
      </c>
      <c r="CC561" t="s">
        <v>202</v>
      </c>
      <c r="CG561" s="122"/>
      <c r="CV561" s="388"/>
    </row>
    <row r="562" spans="1:100" s="379" customFormat="1" ht="30" customHeight="1">
      <c r="A562" s="709"/>
      <c r="B562" s="710"/>
      <c r="C562" s="710"/>
      <c r="D562" s="710"/>
      <c r="E562" s="711"/>
      <c r="F562" s="710"/>
      <c r="G562" s="710"/>
      <c r="H562" s="710"/>
      <c r="I562" s="710"/>
      <c r="J562" s="712"/>
      <c r="K562" s="712"/>
      <c r="L562" s="712"/>
      <c r="AQ562" s="713"/>
      <c r="BZ562" t="s">
        <v>533</v>
      </c>
      <c r="CA562"/>
      <c r="CB562"/>
      <c r="CC562" t="s">
        <v>202</v>
      </c>
      <c r="CD562"/>
      <c r="CE562"/>
      <c r="CF562"/>
      <c r="CG562" s="122"/>
    </row>
    <row r="563" spans="1:100" customFormat="1" ht="30" customHeight="1">
      <c r="A563" s="112" t="str">
        <f>IF($C$13=1,IF(K563="报价行",IF(F563&gt;0,1," ")," ")," ")</f>
        <v xml:space="preserve"> </v>
      </c>
      <c r="B563" s="414" t="str">
        <f>IF(A563=1,SUM($A$11:A563),"标准件")</f>
        <v>标准件</v>
      </c>
      <c r="C563" s="460" t="s">
        <v>712</v>
      </c>
      <c r="D563" s="536"/>
      <c r="E563" s="641" t="s">
        <v>722</v>
      </c>
      <c r="F563" s="460"/>
      <c r="G563" s="429">
        <v>0.03</v>
      </c>
      <c r="H563" s="429">
        <v>0.3</v>
      </c>
      <c r="I563" s="460" t="s">
        <v>396</v>
      </c>
      <c r="J563" s="54"/>
      <c r="K563" s="423" t="s">
        <v>217</v>
      </c>
      <c r="L563" s="54"/>
      <c r="O563" t="s">
        <v>723</v>
      </c>
      <c r="AQ563" s="110"/>
      <c r="AX563" t="str">
        <f>E563</f>
        <v>M8*25  dome head with hex inset head</v>
      </c>
      <c r="AY563" s="494">
        <f>D563</f>
        <v>0</v>
      </c>
      <c r="AZ563">
        <f>F563</f>
        <v>0</v>
      </c>
      <c r="BA563" s="256">
        <f>G563</f>
        <v>0.03</v>
      </c>
      <c r="BB563">
        <f>AZ563*BA563</f>
        <v>0</v>
      </c>
      <c r="BC563" s="495"/>
      <c r="BR563" t="str">
        <f>I563</f>
        <v>Gal</v>
      </c>
      <c r="BZ563" t="s">
        <v>533</v>
      </c>
      <c r="CC563" t="s">
        <v>202</v>
      </c>
      <c r="CG563" s="122"/>
      <c r="CV563" s="388"/>
    </row>
    <row r="564" spans="1:100" customFormat="1" ht="30" customHeight="1" outlineLevel="1">
      <c r="A564" s="112"/>
      <c r="B564" s="112"/>
      <c r="C564" s="418" t="s">
        <v>717</v>
      </c>
      <c r="D564" s="640">
        <f>VLOOKUP(C564,标准件价格!C:D,2,0)</f>
        <v>0.25</v>
      </c>
      <c r="E564" s="486" t="s">
        <v>536</v>
      </c>
      <c r="F564" s="418"/>
      <c r="G564" s="418"/>
      <c r="H564" s="418"/>
      <c r="I564" s="418"/>
      <c r="J564" s="54"/>
      <c r="K564" s="54" t="s">
        <v>237</v>
      </c>
      <c r="L564" s="54"/>
      <c r="O564" t="s">
        <v>723</v>
      </c>
      <c r="AQ564" s="110"/>
      <c r="AX564" t="s">
        <v>156</v>
      </c>
      <c r="AY564" t="s">
        <v>246</v>
      </c>
      <c r="AZ564" t="s">
        <v>102</v>
      </c>
      <c r="BA564" t="s">
        <v>158</v>
      </c>
      <c r="BB564" t="s">
        <v>247</v>
      </c>
      <c r="BC564" t="s">
        <v>248</v>
      </c>
      <c r="BD564" t="s">
        <v>249</v>
      </c>
      <c r="BE564" t="s">
        <v>250</v>
      </c>
      <c r="BF564" t="s">
        <v>251</v>
      </c>
      <c r="BZ564" t="s">
        <v>533</v>
      </c>
      <c r="CC564" t="s">
        <v>202</v>
      </c>
      <c r="CG564" s="122"/>
      <c r="CV564" s="388"/>
    </row>
    <row r="565" spans="1:100" customFormat="1" ht="30" customHeight="1" outlineLevel="1">
      <c r="A565" s="112"/>
      <c r="B565" s="418"/>
      <c r="C565" s="112" t="s">
        <v>538</v>
      </c>
      <c r="D565" s="640"/>
      <c r="E565" s="486" t="s">
        <v>539</v>
      </c>
      <c r="F565" s="418"/>
      <c r="G565" s="418"/>
      <c r="H565" s="418"/>
      <c r="I565" s="418"/>
      <c r="J565" s="54"/>
      <c r="K565" s="54" t="s">
        <v>237</v>
      </c>
      <c r="L565" s="54"/>
      <c r="O565" t="s">
        <v>723</v>
      </c>
      <c r="AQ565" s="110"/>
      <c r="BZ565" t="s">
        <v>533</v>
      </c>
      <c r="CC565" t="s">
        <v>202</v>
      </c>
      <c r="CG565" s="122"/>
      <c r="CV565" s="388"/>
    </row>
    <row r="566" spans="1:100" customFormat="1" ht="30" customHeight="1" outlineLevel="1">
      <c r="A566" s="112"/>
      <c r="B566" s="418"/>
      <c r="C566" s="112"/>
      <c r="D566" s="463"/>
      <c r="E566" s="415"/>
      <c r="F566" s="418"/>
      <c r="G566" s="418"/>
      <c r="H566" s="418"/>
      <c r="I566" s="418" t="s">
        <v>711</v>
      </c>
      <c r="J566" s="54"/>
      <c r="K566" s="54" t="s">
        <v>237</v>
      </c>
      <c r="L566" s="54"/>
      <c r="O566" t="s">
        <v>723</v>
      </c>
      <c r="AQ566" s="110"/>
      <c r="BZ566" t="s">
        <v>533</v>
      </c>
      <c r="CC566" t="s">
        <v>202</v>
      </c>
      <c r="CG566" s="122"/>
      <c r="CV566" s="388"/>
    </row>
    <row r="567" spans="1:100" customFormat="1" ht="30" customHeight="1" outlineLevel="1">
      <c r="A567" s="112"/>
      <c r="B567" s="414">
        <v>0</v>
      </c>
      <c r="C567" s="418"/>
      <c r="D567" s="418"/>
      <c r="E567" s="415"/>
      <c r="F567" s="418"/>
      <c r="G567" s="418"/>
      <c r="H567" s="418"/>
      <c r="I567" s="418"/>
      <c r="J567" s="54"/>
      <c r="K567" s="54" t="s">
        <v>237</v>
      </c>
      <c r="L567" s="54"/>
      <c r="O567" t="s">
        <v>723</v>
      </c>
      <c r="AQ567" s="110"/>
      <c r="BZ567" t="s">
        <v>533</v>
      </c>
      <c r="CC567" t="s">
        <v>202</v>
      </c>
      <c r="CG567" s="122"/>
      <c r="CV567" s="388"/>
    </row>
    <row r="568" spans="1:100" s="379" customFormat="1" ht="30" customHeight="1">
      <c r="A568" s="709"/>
      <c r="B568" s="710"/>
      <c r="C568" s="710"/>
      <c r="D568" s="710"/>
      <c r="E568" s="711"/>
      <c r="F568" s="710"/>
      <c r="G568" s="710"/>
      <c r="H568" s="710"/>
      <c r="I568" s="710"/>
      <c r="J568" s="712"/>
      <c r="K568" s="712"/>
      <c r="L568" s="712"/>
      <c r="AQ568" s="713"/>
      <c r="BZ568" t="s">
        <v>533</v>
      </c>
      <c r="CA568"/>
      <c r="CB568"/>
      <c r="CC568" t="s">
        <v>202</v>
      </c>
      <c r="CD568"/>
      <c r="CE568"/>
      <c r="CF568"/>
      <c r="CG568" s="122"/>
    </row>
    <row r="569" spans="1:100" customFormat="1" ht="45.75" customHeight="1">
      <c r="A569" s="112" t="str">
        <f>IF($C$13=1,IF(K569="报价行",IF(F569&gt;0,1," ")," ")," ")</f>
        <v xml:space="preserve"> </v>
      </c>
      <c r="B569" s="414" t="str">
        <f>IF(A569=1,SUM($A$11:A569),"脚底板")</f>
        <v>脚底板</v>
      </c>
      <c r="C569" s="509" t="s">
        <v>458</v>
      </c>
      <c r="D569" s="699"/>
      <c r="E569" s="700" t="s">
        <v>724</v>
      </c>
      <c r="F569" s="460"/>
      <c r="G569" s="429">
        <f>IFERROR(Y573+AN572*AQ572,"-")</f>
        <v>2.12</v>
      </c>
      <c r="H569" s="429">
        <f>IFERROR(SUM(H570:H572),"-")</f>
        <v>12.14911838370346</v>
      </c>
      <c r="I569" s="460" t="s">
        <v>396</v>
      </c>
      <c r="J569" s="54"/>
      <c r="K569" s="423" t="s">
        <v>217</v>
      </c>
      <c r="L569" s="54"/>
      <c r="O569" s="425" t="s">
        <v>725</v>
      </c>
      <c r="P569" s="425"/>
      <c r="Q569" s="460">
        <v>600</v>
      </c>
      <c r="R569" t="s">
        <v>219</v>
      </c>
      <c r="S569" s="427" t="s">
        <v>220</v>
      </c>
      <c r="T569" s="427"/>
      <c r="U569" s="427"/>
      <c r="V569" s="427"/>
      <c r="W569" s="427"/>
      <c r="X569" s="427"/>
      <c r="Y569" s="427">
        <f>SUM(Y571:Y571)</f>
        <v>0</v>
      </c>
      <c r="Z569" s="427"/>
      <c r="AA569" s="428" t="s">
        <v>221</v>
      </c>
      <c r="AB569" s="428" t="s">
        <v>222</v>
      </c>
      <c r="AC569" s="428" t="s">
        <v>223</v>
      </c>
      <c r="AD569" s="428" t="s">
        <v>224</v>
      </c>
      <c r="AE569" s="446" t="s">
        <v>297</v>
      </c>
      <c r="AF569" s="428" t="s">
        <v>225</v>
      </c>
      <c r="AG569" s="699" t="s">
        <v>226</v>
      </c>
      <c r="AH569" s="699" t="s">
        <v>227</v>
      </c>
      <c r="AI569" s="699" t="s">
        <v>228</v>
      </c>
      <c r="AJ569" s="699" t="s">
        <v>229</v>
      </c>
      <c r="AK569" s="699"/>
      <c r="AL569" s="699" t="s">
        <v>231</v>
      </c>
      <c r="AM569" s="699" t="s">
        <v>232</v>
      </c>
      <c r="AN569" s="699" t="s">
        <v>102</v>
      </c>
      <c r="AO569" s="699" t="s">
        <v>74</v>
      </c>
      <c r="AP569" s="699" t="s">
        <v>21</v>
      </c>
      <c r="AQ569" s="110"/>
      <c r="AX569" t="str">
        <f>E569</f>
        <v>FP90/100H4.NZ76.2,without shim plate, without  bolts</v>
      </c>
      <c r="AY569" s="494">
        <f>D569</f>
        <v>0</v>
      </c>
      <c r="AZ569">
        <f>F569</f>
        <v>0</v>
      </c>
      <c r="BA569" s="256">
        <f>G569</f>
        <v>2.12</v>
      </c>
      <c r="BB569">
        <f>AZ569*BA569</f>
        <v>0</v>
      </c>
      <c r="BN569">
        <f>AZ569</f>
        <v>0</v>
      </c>
      <c r="BO569" s="256">
        <f>Y573</f>
        <v>2.12</v>
      </c>
      <c r="BP569">
        <f>BN569*BO569</f>
        <v>0</v>
      </c>
      <c r="BQ569" t="str">
        <f>D574</f>
        <v>Q235</v>
      </c>
      <c r="BR569" t="str">
        <f>I569</f>
        <v>Gal</v>
      </c>
      <c r="BZ569" t="s">
        <v>457</v>
      </c>
      <c r="CA569" s="112"/>
      <c r="CG569" s="412" t="s">
        <v>207</v>
      </c>
      <c r="CV569" s="388"/>
    </row>
    <row r="570" spans="1:100" customFormat="1" ht="30" customHeight="1" outlineLevel="1">
      <c r="A570" s="112"/>
      <c r="B570" s="418"/>
      <c r="C570" s="418" t="s">
        <v>10</v>
      </c>
      <c r="D570" s="701" t="s">
        <v>235</v>
      </c>
      <c r="E570" s="418"/>
      <c r="F570" s="702">
        <v>2000</v>
      </c>
      <c r="G570" s="440" t="s">
        <v>428</v>
      </c>
      <c r="H570" s="428">
        <f>IFERROR(X571,"-")</f>
        <v>0</v>
      </c>
      <c r="I570" s="418"/>
      <c r="J570" t="s">
        <v>449</v>
      </c>
      <c r="K570" s="54" t="s">
        <v>237</v>
      </c>
      <c r="L570" s="54"/>
      <c r="O570" s="425" t="s">
        <v>725</v>
      </c>
      <c r="P570" s="425"/>
      <c r="Q570" s="256"/>
      <c r="R570" s="699" t="s">
        <v>238</v>
      </c>
      <c r="S570" s="699" t="s">
        <v>239</v>
      </c>
      <c r="T570" s="699" t="s">
        <v>240</v>
      </c>
      <c r="U570" s="699" t="s">
        <v>241</v>
      </c>
      <c r="V570" s="699" t="s">
        <v>242</v>
      </c>
      <c r="W570" s="699" t="s">
        <v>207</v>
      </c>
      <c r="X570" s="699" t="s">
        <v>243</v>
      </c>
      <c r="Y570" s="699" t="s">
        <v>244</v>
      </c>
      <c r="Z570" s="699" t="s">
        <v>159</v>
      </c>
      <c r="AA570" s="437" t="str">
        <f>D570</f>
        <v>9070-20</v>
      </c>
      <c r="AB570" s="438">
        <v>1</v>
      </c>
      <c r="AC570" s="438">
        <f>F570</f>
        <v>2000</v>
      </c>
      <c r="AD570" s="438">
        <f>E570</f>
        <v>0</v>
      </c>
      <c r="AE570" s="438" t="str">
        <f>E571</f>
        <v>外部冲孔时填写印尼</v>
      </c>
      <c r="AF570" s="439" t="str">
        <f>G570</f>
        <v>预镀锌</v>
      </c>
      <c r="AG570" s="703">
        <f>IF(AF570="预镀锌",0,IF(AF570="喷塑",VLOOKUP(AA570,常规材料表!$1:$1048576,12,0),IF(AF570="热镀锌",VLOOKUP(AA570,常规材料表!$1:$1048576,13,0),IF(AF570="冷镀锌",VLOOKUP(AA570,常规材料表!$1:$1048576,15,0),0))))</f>
        <v>0</v>
      </c>
      <c r="AH570" s="703">
        <f>IF(AF570="预镀锌",VLOOKUP(AA570,常规材料表!$1:$1048576,11,0)+VLOOKUP(AA570,常规材料表!$1:$1048576,14,0),VLOOKUP(AA570,常规材料表!$1:$1048576,11,0))+IF(AC570&lt;8000,0,VLOOKUP(AA570,常规材料表!$1:$1048576,16,0))</f>
        <v>2.6</v>
      </c>
      <c r="AI570" s="703">
        <f>VLOOKUP(AA570,常规材料表!$1:$1048576,7,0)</f>
        <v>249</v>
      </c>
      <c r="AJ570" s="703">
        <f>VLOOKUP(AA570,常规材料表!$1:$1048576,6,0)</f>
        <v>2</v>
      </c>
      <c r="AK570" s="699"/>
      <c r="AL570" s="704" t="s">
        <v>280</v>
      </c>
      <c r="AM570" s="704" t="str">
        <f>VLOOKUP(AA573,常规材料表!$1:$1048576,17,0)</f>
        <v>M10.L20</v>
      </c>
      <c r="AN570" s="704"/>
      <c r="AO570" s="704">
        <f>VLOOKUP(AM570,标准件价格!$C:$D,2,0)</f>
        <v>0.19600000000000001</v>
      </c>
      <c r="AP570" s="704">
        <f>AN570*AO570</f>
        <v>0</v>
      </c>
      <c r="AQ570" s="111">
        <f>IFERROR(VLOOKUP(AM570,标准件价格!$C:$E,3,0),0)</f>
        <v>0</v>
      </c>
      <c r="AR570">
        <f>IFERROR(IF(J571&gt;0,Y571*F569,0),"-")</f>
        <v>0</v>
      </c>
      <c r="AS570">
        <f>IFERROR(IF(J571=0,Y571*F569,0),"-")</f>
        <v>0</v>
      </c>
      <c r="AX570" t="s">
        <v>156</v>
      </c>
      <c r="AY570" t="s">
        <v>246</v>
      </c>
      <c r="AZ570" t="s">
        <v>102</v>
      </c>
      <c r="BA570" t="s">
        <v>158</v>
      </c>
      <c r="BB570" t="s">
        <v>247</v>
      </c>
      <c r="BN570" t="s">
        <v>259</v>
      </c>
      <c r="BO570" t="s">
        <v>260</v>
      </c>
      <c r="BP570" t="s">
        <v>261</v>
      </c>
      <c r="BQ570" t="s">
        <v>262</v>
      </c>
      <c r="BR570" t="s">
        <v>155</v>
      </c>
      <c r="BZ570" t="s">
        <v>457</v>
      </c>
      <c r="CA570" s="112"/>
      <c r="CG570" s="412" t="s">
        <v>207</v>
      </c>
      <c r="CV570" s="388"/>
    </row>
    <row r="571" spans="1:100" customFormat="1" ht="30" customHeight="1" outlineLevel="1">
      <c r="A571" s="112"/>
      <c r="B571" s="486"/>
      <c r="C571" s="418" t="s">
        <v>274</v>
      </c>
      <c r="D571" s="470" t="s">
        <v>710</v>
      </c>
      <c r="E571" s="429" t="s">
        <v>299</v>
      </c>
      <c r="F571" s="112"/>
      <c r="G571" s="439" t="s">
        <v>549</v>
      </c>
      <c r="H571" s="428">
        <f>IFERROR(X573,"-")</f>
        <v>12.14911838370346</v>
      </c>
      <c r="I571" s="418"/>
      <c r="J571" s="667">
        <f>IFERROR(IF(D574="Q355",IFERROR(IF(G570="预镀锌",VLOOKUP(D570,常规材料表!$1:$1048576,30,0),VLOOKUP(D570,常规材料表!$1:$1048576,29,0)),0),0),0)</f>
        <v>0</v>
      </c>
      <c r="K571" s="54" t="s">
        <v>237</v>
      </c>
      <c r="L571" s="54"/>
      <c r="O571" s="425" t="s">
        <v>725</v>
      </c>
      <c r="P571" s="425"/>
      <c r="Q571" s="445" t="s">
        <v>10</v>
      </c>
      <c r="R571" s="699">
        <f>IF(AD573&gt;0,AD573,IFERROR(IF(AF570="预镀锌",VLOOKUP(AA570,常规材料表!$1:$1048576,5,0),VLOOKUP(AA570,常规材料表!$1:$1048576,10,0)),0))</f>
        <v>3.96</v>
      </c>
      <c r="S571" s="458">
        <v>1.02</v>
      </c>
      <c r="T571" s="699"/>
      <c r="U571" s="699"/>
      <c r="V571" s="699"/>
      <c r="W571" s="699"/>
      <c r="X571" s="699"/>
      <c r="Y571" s="699"/>
      <c r="Z571" s="699">
        <f>Y571*AB570</f>
        <v>0</v>
      </c>
      <c r="AA571" s="428"/>
      <c r="AB571" s="428"/>
      <c r="AC571" s="428"/>
      <c r="AE571" s="428"/>
      <c r="AF571" s="699"/>
      <c r="AG571" s="699"/>
      <c r="AH571" s="699"/>
      <c r="AI571" s="699"/>
      <c r="AJ571" s="699"/>
      <c r="AK571" s="699"/>
      <c r="AL571" s="704" t="s">
        <v>290</v>
      </c>
      <c r="AM571" s="704">
        <f>VLOOKUP(AA573,常规材料表!$1:$1048576,19,0)</f>
        <v>0</v>
      </c>
      <c r="AN571" s="704">
        <f>VLOOKUP(AA573,常规材料表!$1:$1048576,20,0)</f>
        <v>0</v>
      </c>
      <c r="AO571" s="704">
        <f>IFERROR(VLOOKUP(AM571,标准件价格!$C:$D,2,0),0)</f>
        <v>0</v>
      </c>
      <c r="AP571" s="704">
        <f>AN571*AO571</f>
        <v>0</v>
      </c>
      <c r="AQ571" s="111">
        <f>IFERROR(VLOOKUP(AM571,标准件价格!$C:$E,3,0),0)</f>
        <v>0</v>
      </c>
      <c r="BZ571" t="s">
        <v>457</v>
      </c>
      <c r="CA571" s="112"/>
      <c r="CG571" s="412" t="s">
        <v>207</v>
      </c>
      <c r="CV571" s="388"/>
    </row>
    <row r="572" spans="1:100" customFormat="1" ht="30" customHeight="1" outlineLevel="1">
      <c r="A572" s="112"/>
      <c r="B572" s="418"/>
      <c r="C572" s="418"/>
      <c r="D572" s="418"/>
      <c r="E572" s="615"/>
      <c r="F572" s="615"/>
      <c r="G572" s="418"/>
      <c r="H572" s="418"/>
      <c r="I572" s="418"/>
      <c r="J572" s="610" t="s">
        <v>456</v>
      </c>
      <c r="K572" s="54" t="s">
        <v>237</v>
      </c>
      <c r="L572" s="54"/>
      <c r="O572" s="425" t="s">
        <v>725</v>
      </c>
      <c r="P572" s="425"/>
      <c r="Q572" s="445" t="s">
        <v>274</v>
      </c>
      <c r="R572" s="699" t="s">
        <v>238</v>
      </c>
      <c r="S572" s="428" t="s">
        <v>239</v>
      </c>
      <c r="T572" s="699" t="s">
        <v>240</v>
      </c>
      <c r="U572" s="699" t="s">
        <v>241</v>
      </c>
      <c r="V572" s="699" t="s">
        <v>242</v>
      </c>
      <c r="W572" s="699" t="s">
        <v>207</v>
      </c>
      <c r="X572" s="699" t="s">
        <v>282</v>
      </c>
      <c r="Y572" s="699" t="s">
        <v>283</v>
      </c>
      <c r="Z572" s="699" t="s">
        <v>159</v>
      </c>
      <c r="AA572" s="438" t="s">
        <v>284</v>
      </c>
      <c r="AB572" s="699" t="s">
        <v>221</v>
      </c>
      <c r="AC572" s="699" t="s">
        <v>222</v>
      </c>
      <c r="AD572" s="448" t="s">
        <v>285</v>
      </c>
      <c r="AE572" s="428" t="s">
        <v>286</v>
      </c>
      <c r="AF572" s="699" t="s">
        <v>226</v>
      </c>
      <c r="AG572" s="704" t="s">
        <v>238</v>
      </c>
      <c r="AH572" s="704" t="s">
        <v>287</v>
      </c>
      <c r="AI572" s="704" t="s">
        <v>288</v>
      </c>
      <c r="AJ572" s="705"/>
      <c r="AK572" s="699"/>
      <c r="AL572" s="704" t="s">
        <v>291</v>
      </c>
      <c r="AM572" s="704" t="str">
        <f>VLOOKUP(AA573,常规材料表!$1:$1048576,21,0)</f>
        <v>NZ 90/100.15.Pregal</v>
      </c>
      <c r="AN572" s="704"/>
      <c r="AO572" s="704">
        <f>VLOOKUP(AM572,标准件价格!$C:$D,2,0)</f>
        <v>2.7553999999999998</v>
      </c>
      <c r="AP572" s="704">
        <f>AN572*AO572</f>
        <v>0</v>
      </c>
      <c r="AQ572" s="111">
        <f>IFERROR(VLOOKUP(AM572,标准件价格!$C:$E,3,0),0)</f>
        <v>0.30614999999999998</v>
      </c>
      <c r="BZ572" t="s">
        <v>457</v>
      </c>
      <c r="CA572" s="112"/>
      <c r="CG572" s="412" t="s">
        <v>207</v>
      </c>
      <c r="CV572" s="388"/>
    </row>
    <row r="573" spans="1:100" customFormat="1" ht="30" customHeight="1" outlineLevel="1">
      <c r="A573" s="112"/>
      <c r="B573" s="418"/>
      <c r="C573" s="509" t="s">
        <v>516</v>
      </c>
      <c r="D573" s="509">
        <v>1.5</v>
      </c>
      <c r="E573" s="635">
        <f>(6.5*1.02+2+0.25*2/D573)/1.13+1</f>
        <v>8.9321533923303846</v>
      </c>
      <c r="F573" s="509"/>
      <c r="G573" s="418"/>
      <c r="H573" s="418">
        <f>D573*E573*F573</f>
        <v>0</v>
      </c>
      <c r="I573" s="418" t="s">
        <v>711</v>
      </c>
      <c r="J573" s="610"/>
      <c r="K573" s="54" t="s">
        <v>237</v>
      </c>
      <c r="L573" s="54"/>
      <c r="O573" s="425" t="s">
        <v>725</v>
      </c>
      <c r="P573" s="425"/>
      <c r="R573" s="699">
        <f>AG573/Y573</f>
        <v>3.003737985048061</v>
      </c>
      <c r="S573" s="458">
        <v>1.01</v>
      </c>
      <c r="T573" s="469">
        <f>R573*S573/1.13</f>
        <v>2.684756960087205</v>
      </c>
      <c r="U573" s="469">
        <f>VLOOKUP(AA573,常规材料表!$1:$1048576,11,0)/Y573+0.25</f>
        <v>1.0990566037735849</v>
      </c>
      <c r="V573" s="469">
        <f>IF(AE573="喷塑",AF573,AF573)/1.13</f>
        <v>1.946902654867257</v>
      </c>
      <c r="W573" s="469">
        <f>SUM(AP570:AP572)/Y573/1.13</f>
        <v>0</v>
      </c>
      <c r="X573" s="469">
        <f>(T573+U573+V573+W573)*Y573</f>
        <v>12.14911838370346</v>
      </c>
      <c r="Y573" s="469">
        <f>VLOOKUP(AA573,常规材料表!$1:$1048576,3,0)</f>
        <v>2.12</v>
      </c>
      <c r="Z573" s="427">
        <f>Y573*AC573</f>
        <v>2.12</v>
      </c>
      <c r="AA573" s="470" t="str">
        <f>D571</f>
        <v>FP90/100H4.NZ76.2+bolt.set</v>
      </c>
      <c r="AB573" s="703" t="str">
        <f>AA570</f>
        <v>9070-20</v>
      </c>
      <c r="AC573" s="699">
        <f>AB570</f>
        <v>1</v>
      </c>
      <c r="AD573" s="471">
        <f>J571</f>
        <v>0</v>
      </c>
      <c r="AE573" s="439" t="str">
        <f>G571</f>
        <v>冷镀锌</v>
      </c>
      <c r="AF573" s="703">
        <f>IF(AE573="预镀锌",0,IF(AE573="喷塑",VLOOKUP(AA573,常规材料表!$1:$1048576,12,0),IF(AE573="热镀锌",VLOOKUP(AA573,常规材料表!$1:$1048576,13,0),IF(AE573="冷镀锌",VLOOKUP(AA573,常规材料表!$1:$1048576,15,0),0))))</f>
        <v>2.2000000000000002</v>
      </c>
      <c r="AG573" s="703">
        <f>VLOOKUP(AA573,常规材料表!$1:$1048576,10,0)</f>
        <v>6.3679245283018897</v>
      </c>
      <c r="AH573" s="699">
        <f>IF(AE573="预镀锌",VLOOKUP(AA573,常规材料表!$1:$1048576,11,0)+VLOOKUP(AA573,常规材料表!$1:$1048576,14,0),VLOOKUP(AA573,常规材料表!$1:$1048576,11,0))</f>
        <v>1.8</v>
      </c>
      <c r="AI573" s="704">
        <f>VLOOKUP(AA573,常规材料表!$1:$1048576,4,0)</f>
        <v>0.12</v>
      </c>
      <c r="AL573" s="699"/>
      <c r="AM573" s="699"/>
      <c r="AN573" s="699"/>
      <c r="AO573" s="699"/>
      <c r="AP573" s="699"/>
      <c r="AQ573" s="111">
        <f>IFERROR(VLOOKUP(AM573,标准件价格!$C:$E,3,0),0)</f>
        <v>0</v>
      </c>
      <c r="BZ573" t="s">
        <v>457</v>
      </c>
      <c r="CA573" s="112"/>
      <c r="CG573" s="412" t="s">
        <v>207</v>
      </c>
      <c r="CV573" s="388"/>
    </row>
    <row r="574" spans="1:100" customFormat="1" ht="30" customHeight="1" outlineLevel="1">
      <c r="A574" s="112"/>
      <c r="B574" s="414">
        <v>0</v>
      </c>
      <c r="C574" s="706">
        <v>75</v>
      </c>
      <c r="D574" s="404" t="s">
        <v>8</v>
      </c>
      <c r="E574" s="707"/>
      <c r="F574" s="708"/>
      <c r="G574" s="418"/>
      <c r="H574" s="418"/>
      <c r="I574" s="418"/>
      <c r="J574" s="54"/>
      <c r="K574" s="54" t="s">
        <v>237</v>
      </c>
      <c r="L574" s="54"/>
      <c r="O574" s="425" t="s">
        <v>725</v>
      </c>
      <c r="P574" s="425"/>
      <c r="AQ574" s="110"/>
      <c r="BZ574" t="s">
        <v>457</v>
      </c>
      <c r="CA574" s="112"/>
      <c r="CG574" s="412" t="s">
        <v>207</v>
      </c>
      <c r="CV574" s="388"/>
    </row>
    <row r="575" spans="1:100" s="379" customFormat="1" ht="30" customHeight="1">
      <c r="A575" s="709"/>
      <c r="B575" s="710"/>
      <c r="C575" s="710"/>
      <c r="D575" s="710"/>
      <c r="E575" s="711"/>
      <c r="F575" s="710"/>
      <c r="G575" s="710"/>
      <c r="H575" s="710"/>
      <c r="I575" s="710"/>
      <c r="J575" s="712"/>
      <c r="K575" s="712"/>
      <c r="L575" s="712"/>
      <c r="AQ575" s="713"/>
      <c r="BZ575" t="s">
        <v>457</v>
      </c>
      <c r="CA575" s="112"/>
      <c r="CB575"/>
      <c r="CC575"/>
      <c r="CD575"/>
      <c r="CE575"/>
      <c r="CF575"/>
      <c r="CG575" s="412" t="s">
        <v>207</v>
      </c>
    </row>
    <row r="576" spans="1:100" customFormat="1" ht="30" customHeight="1">
      <c r="A576" s="112" t="str">
        <f>IF($C$13=1,IF(K576="报价行",IF(F576&gt;0,1," ")," ")," ")</f>
        <v xml:space="preserve"> </v>
      </c>
      <c r="B576" s="414" t="str">
        <f>IF(A576=1,SUM($A$11:A576),"B横梁")</f>
        <v>B横梁</v>
      </c>
      <c r="C576" s="460" t="s">
        <v>351</v>
      </c>
      <c r="D576" s="714">
        <f>E577</f>
        <v>2743</v>
      </c>
      <c r="E576" s="715" t="str">
        <f>VLOOKUP(D577,常规材料表!$1:$1048576,28,0)&amp;VLOOKUP(D578,常规材料表!$1:$1048576,28,0)&amp;", "&amp;IF(E578&gt;0,E578&amp;" kg/level,"," ")</f>
        <v xml:space="preserve">B110*50*1.5 mm,pitch 76.2, 3 claws, H225,  </v>
      </c>
      <c r="F576" s="460"/>
      <c r="G576" s="429" t="str">
        <f>IFERROR(Y576+D580*F580/F576,"-")</f>
        <v>-</v>
      </c>
      <c r="H576" s="429">
        <f>IFERROR(X576+H580,"-")</f>
        <v>65.75773438923126</v>
      </c>
      <c r="I576" s="460" t="s">
        <v>341</v>
      </c>
      <c r="J576" s="54"/>
      <c r="K576" s="423" t="s">
        <v>217</v>
      </c>
      <c r="L576" s="54"/>
      <c r="O576" s="425" t="s">
        <v>726</v>
      </c>
      <c r="P576" s="250"/>
      <c r="R576" t="s">
        <v>219</v>
      </c>
      <c r="S576" s="427" t="s">
        <v>21</v>
      </c>
      <c r="T576" s="716">
        <f>(T578*Y578+T579*Y579)/Y576</f>
        <v>3.3774550871199995</v>
      </c>
      <c r="U576" s="716">
        <f>(U578*Y578+U579*Y579)/Y576</f>
        <v>0.42190230679507174</v>
      </c>
      <c r="V576" s="716">
        <f>(V578*Y578+V579*Y579)/Y576</f>
        <v>0.52723525779585056</v>
      </c>
      <c r="W576" s="716">
        <f>AP578/Y576/1.13</f>
        <v>2.1063591030029211E-2</v>
      </c>
      <c r="X576" s="716">
        <f>SUM(T576:W576)*Y576</f>
        <v>65.75773438923126</v>
      </c>
      <c r="Y576" s="716">
        <f>SUM(Y578:Y579)</f>
        <v>15.12486975</v>
      </c>
      <c r="Z576" s="716"/>
      <c r="AQ576" s="110"/>
      <c r="AX576" t="str">
        <f>VLOOKUP(D577,常规材料表!$1:$1048576,28,0)</f>
        <v>B110*50*1.5 mm,</v>
      </c>
      <c r="AY576" s="494">
        <f>D576</f>
        <v>2743</v>
      </c>
      <c r="AZ576">
        <f>F576</f>
        <v>0</v>
      </c>
      <c r="BA576" s="256" t="str">
        <f>G576</f>
        <v>-</v>
      </c>
      <c r="BB576" t="e">
        <f>AZ576*BA576</f>
        <v>#VALUE!</v>
      </c>
      <c r="BC576" t="str">
        <f>VLOOKUP(D578,常规材料表!$1:$1048576,28,0)</f>
        <v>pitch 76.2, 3 claws, H225</v>
      </c>
      <c r="BE576" t="str">
        <f>"面宽"&amp;VLOOKUP(AA578,常规材料表!$1:$1048576,18,0)</f>
        <v>面宽60</v>
      </c>
      <c r="BQ576" t="str">
        <f>D582</f>
        <v>Q235</v>
      </c>
      <c r="BR576" t="str">
        <f>I576</f>
        <v>Orange Ral2004</v>
      </c>
      <c r="BZ576" t="s">
        <v>350</v>
      </c>
      <c r="CA576" s="112" t="s">
        <v>200</v>
      </c>
      <c r="CB576" t="s">
        <v>201</v>
      </c>
      <c r="CC576" t="s">
        <v>202</v>
      </c>
      <c r="CG576" s="122"/>
      <c r="CV576" s="388"/>
    </row>
    <row r="577" spans="1:100" customFormat="1" ht="30" customHeight="1" outlineLevel="1">
      <c r="A577" s="112"/>
      <c r="B577" s="418" t="s">
        <v>350</v>
      </c>
      <c r="C577" s="418" t="s">
        <v>166</v>
      </c>
      <c r="D577" s="667" t="s">
        <v>352</v>
      </c>
      <c r="E577" s="636">
        <v>2743</v>
      </c>
      <c r="F577" s="418"/>
      <c r="G577" s="514" t="s">
        <v>236</v>
      </c>
      <c r="H577" s="418"/>
      <c r="I577" s="418"/>
      <c r="J577" t="s">
        <v>449</v>
      </c>
      <c r="K577" s="54" t="s">
        <v>237</v>
      </c>
      <c r="L577" s="54"/>
      <c r="O577" s="425" t="s">
        <v>726</v>
      </c>
      <c r="P577" s="250"/>
      <c r="R577" s="717" t="s">
        <v>238</v>
      </c>
      <c r="S577" s="699" t="s">
        <v>239</v>
      </c>
      <c r="T577" s="717" t="s">
        <v>240</v>
      </c>
      <c r="U577" s="717" t="s">
        <v>241</v>
      </c>
      <c r="V577" s="717" t="s">
        <v>242</v>
      </c>
      <c r="W577" s="699" t="s">
        <v>207</v>
      </c>
      <c r="X577" s="699" t="s">
        <v>243</v>
      </c>
      <c r="Y577" s="699" t="s">
        <v>244</v>
      </c>
      <c r="Z577" s="699" t="s">
        <v>159</v>
      </c>
      <c r="AA577" s="506" t="s">
        <v>353</v>
      </c>
      <c r="AB577" s="718" t="s">
        <v>354</v>
      </c>
      <c r="AC577" s="718" t="s">
        <v>355</v>
      </c>
      <c r="AD577" s="448" t="s">
        <v>285</v>
      </c>
      <c r="AE577" s="418" t="s">
        <v>318</v>
      </c>
      <c r="AF577" s="717" t="s">
        <v>226</v>
      </c>
      <c r="AG577" s="717" t="s">
        <v>356</v>
      </c>
      <c r="AH577" s="717" t="s">
        <v>357</v>
      </c>
      <c r="AI577" s="718" t="s">
        <v>358</v>
      </c>
      <c r="AJ577" s="718" t="s">
        <v>359</v>
      </c>
      <c r="AK577" s="719" t="s">
        <v>360</v>
      </c>
      <c r="AL577" s="717" t="s">
        <v>231</v>
      </c>
      <c r="AM577" s="717" t="s">
        <v>232</v>
      </c>
      <c r="AN577" s="717" t="s">
        <v>102</v>
      </c>
      <c r="AO577" s="717" t="s">
        <v>74</v>
      </c>
      <c r="AP577" s="717" t="s">
        <v>21</v>
      </c>
      <c r="AQ577" s="110"/>
      <c r="AU577">
        <f>IFERROR(IF(J578&gt;0,Y578*F576,0),"-")</f>
        <v>0</v>
      </c>
      <c r="AV577">
        <f>IFERROR(IF(J578=0,Y578*F576,0),"-")</f>
        <v>0</v>
      </c>
      <c r="AX577" t="s">
        <v>156</v>
      </c>
      <c r="AY577" t="s">
        <v>246</v>
      </c>
      <c r="AZ577" t="s">
        <v>102</v>
      </c>
      <c r="BA577" t="s">
        <v>158</v>
      </c>
      <c r="BB577" t="s">
        <v>247</v>
      </c>
      <c r="BC577" t="s">
        <v>248</v>
      </c>
      <c r="BD577" t="s">
        <v>249</v>
      </c>
      <c r="BE577" t="s">
        <v>250</v>
      </c>
      <c r="BF577" t="s">
        <v>251</v>
      </c>
      <c r="BG577" t="s">
        <v>252</v>
      </c>
      <c r="BH577" t="s">
        <v>253</v>
      </c>
      <c r="BI577" t="s">
        <v>254</v>
      </c>
      <c r="BJ577" t="s">
        <v>255</v>
      </c>
      <c r="BK577" t="s">
        <v>256</v>
      </c>
      <c r="BL577" t="s">
        <v>257</v>
      </c>
      <c r="BM577" t="s">
        <v>258</v>
      </c>
      <c r="BQ577" t="s">
        <v>262</v>
      </c>
      <c r="BR577" t="s">
        <v>155</v>
      </c>
      <c r="BZ577" t="s">
        <v>350</v>
      </c>
      <c r="CA577" s="112" t="s">
        <v>200</v>
      </c>
      <c r="CB577" t="s">
        <v>201</v>
      </c>
      <c r="CC577" t="s">
        <v>202</v>
      </c>
      <c r="CG577" s="122"/>
      <c r="CV577" s="388"/>
    </row>
    <row r="578" spans="1:100" customFormat="1" ht="30" customHeight="1" outlineLevel="1">
      <c r="A578" s="112"/>
      <c r="B578" s="418"/>
      <c r="C578" s="418" t="s">
        <v>362</v>
      </c>
      <c r="D578" s="667" t="s">
        <v>727</v>
      </c>
      <c r="E578" s="636"/>
      <c r="F578" s="418"/>
      <c r="G578" s="515" t="str">
        <f>G577</f>
        <v>喷塑</v>
      </c>
      <c r="H578" s="418"/>
      <c r="I578" s="418"/>
      <c r="J578" s="667">
        <f>IFERROR(IF(D582="Q355",IFERROR(IF(G577="预镀锌",VLOOKUP(D577,常规材料表!$1:$1048576,30,0),VLOOKUP(D577,常规材料表!$1:$1048576,29,0)),0),0),0)</f>
        <v>0</v>
      </c>
      <c r="K578" s="54" t="s">
        <v>237</v>
      </c>
      <c r="L578" s="54"/>
      <c r="O578" s="425" t="s">
        <v>726</v>
      </c>
      <c r="P578" s="250"/>
      <c r="Q578" s="388" t="s">
        <v>350</v>
      </c>
      <c r="R578" s="719">
        <f>IF(AD578&gt;0,AD578,AG578)</f>
        <v>3.69</v>
      </c>
      <c r="S578" s="458">
        <v>1.01</v>
      </c>
      <c r="T578" s="720">
        <f>R578*S578/1.13</f>
        <v>3.2981415929203544</v>
      </c>
      <c r="U578" s="721">
        <f>AH578/Y578+0.25</f>
        <v>0.4372053125123585</v>
      </c>
      <c r="V578" s="721">
        <f>AI578*AC578*AF578/1000000/1.13/Y578</f>
        <v>0.5145528533083048</v>
      </c>
      <c r="W578" s="721"/>
      <c r="X578" s="720">
        <f>(T578+U578+V578+W578)*Y578</f>
        <v>59.024710487300887</v>
      </c>
      <c r="Y578" s="721">
        <f>AK578*AJ578*AC578*Z582*2/1000000</f>
        <v>13.88849475</v>
      </c>
      <c r="Z578" s="721">
        <f>Y578*AB578</f>
        <v>13.88849475</v>
      </c>
      <c r="AA578" s="513" t="str">
        <f>D577</f>
        <v>B11050.15</v>
      </c>
      <c r="AB578" s="460">
        <v>1</v>
      </c>
      <c r="AC578" s="536">
        <f>E577</f>
        <v>2743</v>
      </c>
      <c r="AD578" s="471">
        <f>J578</f>
        <v>0</v>
      </c>
      <c r="AE578" s="514" t="str">
        <f>G577</f>
        <v>喷塑</v>
      </c>
      <c r="AF578" s="722">
        <f>IF(AE578="预镀锌",0,IF(AE578="喷塑",VLOOKUP(AA578,常规材料表!$1:$1048576,12,0),IF(AE578="热镀锌",VLOOKUP(AA578,常规材料表!$1:$1048576,13,0),IF(AE578="冷镀锌",VLOOKUP(AA578,常规材料表!$1:$1048576,15,0),0))))</f>
        <v>9.1999999999999993</v>
      </c>
      <c r="AG578" s="722">
        <f>VLOOKUP(AA578,常规材料表!$1:$1048576,10,0)</f>
        <v>3.69</v>
      </c>
      <c r="AH578" s="722">
        <f>IF(AE578="预镀锌",VLOOKUP(AA578,常规材料表!$1:$1048576,11,0)+VLOOKUP(AA578,常规材料表!$1:$1048576,14,0),VLOOKUP(AA578,常规材料表!$1:$1048576,11,0))+IF(AC578&lt;8000,0,VLOOKUP(AA578,常规材料表!$1:$1048576,16,0))</f>
        <v>2.6</v>
      </c>
      <c r="AI578" s="722">
        <f>(VLOOKUP(AA578,常规材料表!$1:$1048576,8,0)+VLOOKUP(AA578,常规材料表!$1:$1048576,9,0))*2</f>
        <v>320</v>
      </c>
      <c r="AJ578" s="722">
        <f>VLOOKUP(AA578,常规材料表!$1:$1048576,6,0)</f>
        <v>1.5</v>
      </c>
      <c r="AK578" s="719">
        <f>VLOOKUP(AA578,常规材料表!$1:$1048576,7,0)</f>
        <v>215</v>
      </c>
      <c r="AL578" s="719" t="s">
        <v>363</v>
      </c>
      <c r="AM578" s="719" t="str">
        <f>VLOOKUP(AA582,常规材料表!$1:$1048576,17,0)</f>
        <v>S.Pin.ø7.L38</v>
      </c>
      <c r="AN578" s="719">
        <f>VLOOKUP(AA582,常规材料表!$1:$1048576,18,0)</f>
        <v>2</v>
      </c>
      <c r="AO578" s="721">
        <f>VLOOKUP(AM578,标准件价格!$C:$D,2,0)</f>
        <v>0.18</v>
      </c>
      <c r="AP578" s="719">
        <f>AN578*AO578</f>
        <v>0.36</v>
      </c>
      <c r="AQ578" s="110"/>
      <c r="BZ578" t="s">
        <v>350</v>
      </c>
      <c r="CA578" s="112" t="s">
        <v>200</v>
      </c>
      <c r="CB578" t="s">
        <v>201</v>
      </c>
      <c r="CC578" t="s">
        <v>202</v>
      </c>
      <c r="CG578" s="122"/>
      <c r="CV578" s="388"/>
    </row>
    <row r="579" spans="1:100" customFormat="1" ht="30" customHeight="1" outlineLevel="1">
      <c r="A579" s="112"/>
      <c r="B579" s="418"/>
      <c r="C579" s="486" t="s">
        <v>367</v>
      </c>
      <c r="D579" s="418"/>
      <c r="E579" s="415"/>
      <c r="F579" s="418"/>
      <c r="G579" s="418"/>
      <c r="H579" s="418"/>
      <c r="I579" s="418"/>
      <c r="J579" s="610" t="s">
        <v>456</v>
      </c>
      <c r="K579" s="54" t="s">
        <v>237</v>
      </c>
      <c r="L579" s="54"/>
      <c r="O579" s="425" t="s">
        <v>726</v>
      </c>
      <c r="P579" s="250"/>
      <c r="Q579" t="s">
        <v>362</v>
      </c>
      <c r="R579" s="719">
        <f>AG582/Y579</f>
        <v>4.775539376576023</v>
      </c>
      <c r="S579" s="458">
        <v>1.01</v>
      </c>
      <c r="T579" s="720">
        <f>R579*S579/1.13</f>
        <v>4.2684024516298971</v>
      </c>
      <c r="U579" s="719">
        <v>0.25</v>
      </c>
      <c r="V579" s="721">
        <f>AH582*AF582/Y579</f>
        <v>0.6696997270245677</v>
      </c>
      <c r="W579" s="721">
        <f>SUM(AP578:AP583)/1.13/Y579</f>
        <v>0.25767592421106877</v>
      </c>
      <c r="X579" s="720">
        <f>(T579+U579+V579+W579)*Y579</f>
        <v>6.7330239019303733</v>
      </c>
      <c r="Y579" s="721">
        <f>VLOOKUP(AA582,常规材料表!$1:$1048576,3,0)</f>
        <v>1.236375</v>
      </c>
      <c r="Z579" s="721">
        <f>Y579*AB578</f>
        <v>1.236375</v>
      </c>
      <c r="AA579" s="506" t="s">
        <v>365</v>
      </c>
      <c r="AE579" s="418" t="s">
        <v>334</v>
      </c>
      <c r="AF579" s="717" t="s">
        <v>226</v>
      </c>
      <c r="AG579" s="719" t="s">
        <v>366</v>
      </c>
      <c r="AH579" s="719" t="s">
        <v>336</v>
      </c>
      <c r="AQ579" s="110"/>
      <c r="BZ579" t="s">
        <v>350</v>
      </c>
      <c r="CA579" s="112" t="s">
        <v>200</v>
      </c>
      <c r="CB579" t="s">
        <v>201</v>
      </c>
      <c r="CC579" t="s">
        <v>202</v>
      </c>
      <c r="CG579" s="122"/>
      <c r="CV579" s="388"/>
    </row>
    <row r="580" spans="1:100" customFormat="1" ht="30" customHeight="1" outlineLevel="1">
      <c r="A580" s="112"/>
      <c r="B580" s="418"/>
      <c r="C580" s="418" t="s">
        <v>481</v>
      </c>
      <c r="D580" s="640"/>
      <c r="E580" s="547">
        <f>4.24</f>
        <v>4.24</v>
      </c>
      <c r="F580" s="702">
        <f>IF(D580&gt;0,F576,0)</f>
        <v>0</v>
      </c>
      <c r="G580" s="418"/>
      <c r="H580" s="418">
        <f>IFERROR(D580*(E580*1.02+E581+D581*1.13)/1.13*F580/F576,0)</f>
        <v>0</v>
      </c>
      <c r="I580" s="418"/>
      <c r="J580" s="723"/>
      <c r="K580" s="54"/>
      <c r="L580" s="54"/>
      <c r="O580" s="425" t="s">
        <v>726</v>
      </c>
      <c r="P580" s="250"/>
      <c r="R580" s="719"/>
      <c r="S580" s="458"/>
      <c r="T580" s="720"/>
      <c r="U580" s="724"/>
      <c r="V580" s="725"/>
      <c r="W580" s="721"/>
      <c r="X580" s="720"/>
      <c r="Y580" s="721"/>
      <c r="Z580" s="721"/>
      <c r="AA580" s="506"/>
      <c r="AE580" s="418"/>
      <c r="AF580" s="717"/>
      <c r="AG580" s="719"/>
      <c r="AH580" s="719"/>
      <c r="AQ580" s="110"/>
      <c r="BZ580" t="s">
        <v>350</v>
      </c>
      <c r="CA580" s="112" t="s">
        <v>200</v>
      </c>
      <c r="CB580" t="s">
        <v>201</v>
      </c>
      <c r="CC580" t="s">
        <v>202</v>
      </c>
      <c r="CG580" s="122"/>
      <c r="CV580" s="388"/>
    </row>
    <row r="581" spans="1:100" customFormat="1" ht="30" customHeight="1" outlineLevel="1">
      <c r="A581" s="112"/>
      <c r="B581" s="418"/>
      <c r="C581" s="726">
        <v>1</v>
      </c>
      <c r="D581" s="460">
        <f>IFERROR(((0.8*C581+0.4)*D576/1000+0.4)/D580,0)</f>
        <v>0</v>
      </c>
      <c r="E581" s="460">
        <v>0.95</v>
      </c>
      <c r="F581" s="463"/>
      <c r="G581" s="418"/>
      <c r="H581" s="418"/>
      <c r="I581" s="418" t="s">
        <v>711</v>
      </c>
      <c r="J581" s="723"/>
      <c r="K581" s="54"/>
      <c r="L581" s="54"/>
      <c r="O581" s="425" t="s">
        <v>726</v>
      </c>
      <c r="P581" s="250"/>
      <c r="R581" s="719"/>
      <c r="S581" s="458"/>
      <c r="T581" s="720"/>
      <c r="U581" s="724"/>
      <c r="V581" s="725"/>
      <c r="W581" s="721"/>
      <c r="X581" s="720"/>
      <c r="Y581" s="721"/>
      <c r="Z581" s="721"/>
      <c r="AA581" s="506"/>
      <c r="AE581" s="418"/>
      <c r="AF581" s="717"/>
      <c r="AG581" s="719"/>
      <c r="AH581" s="719"/>
      <c r="AQ581" s="110"/>
      <c r="BZ581" t="s">
        <v>350</v>
      </c>
      <c r="CA581" s="112" t="s">
        <v>200</v>
      </c>
      <c r="CB581" t="s">
        <v>201</v>
      </c>
      <c r="CC581" t="s">
        <v>202</v>
      </c>
      <c r="CG581" s="122"/>
      <c r="CV581" s="388"/>
    </row>
    <row r="582" spans="1:100" customFormat="1" ht="30" customHeight="1" outlineLevel="1">
      <c r="A582" s="112"/>
      <c r="B582" s="414">
        <v>0</v>
      </c>
      <c r="C582" s="418" t="s">
        <v>728</v>
      </c>
      <c r="D582" s="651" t="s">
        <v>8</v>
      </c>
      <c r="E582" s="415"/>
      <c r="F582" s="418"/>
      <c r="G582" s="418"/>
      <c r="H582" s="418"/>
      <c r="I582" s="418"/>
      <c r="K582" s="54" t="s">
        <v>237</v>
      </c>
      <c r="L582" s="54"/>
      <c r="O582" s="425" t="s">
        <v>726</v>
      </c>
      <c r="P582" s="250"/>
      <c r="R582" s="428" t="s">
        <v>412</v>
      </c>
      <c r="S582" s="458">
        <v>1.25</v>
      </c>
      <c r="T582" s="428" t="s">
        <v>424</v>
      </c>
      <c r="U582" s="727">
        <v>7</v>
      </c>
      <c r="W582" s="414" t="s">
        <v>34</v>
      </c>
      <c r="X582" s="728">
        <f>X576*S582/U582</f>
        <v>11.742452569505582</v>
      </c>
      <c r="Y582" s="717" t="s">
        <v>277</v>
      </c>
      <c r="Z582" s="458">
        <v>7.85</v>
      </c>
      <c r="AA582" s="513" t="str">
        <f>D578</f>
        <v>Bracket.NZ76-3H+pin</v>
      </c>
      <c r="AE582" s="514" t="str">
        <f>G578</f>
        <v>喷塑</v>
      </c>
      <c r="AF582" s="722">
        <f>IF(AE582="预镀锌",0,IF(AE582="喷塑",VLOOKUP(AA582,常规材料表!$1:$1048576,12,0),IF(AE582="热镀锌",VLOOKUP(AA582,常规材料表!$1:$1048576,13,0),IF(AE582="冷镀锌",VLOOKUP(AA582,常规材料表!$1:$1048576,15,0),0))))</f>
        <v>9.1999999999999993</v>
      </c>
      <c r="AG582" s="722">
        <f>VLOOKUP(AA582,常规材料表!$1:$1048576,10,0)</f>
        <v>5.9043574967141801</v>
      </c>
      <c r="AH582" s="719">
        <f>VLOOKUP(AA582,常规材料表!$1:$1048576,4,0)</f>
        <v>0.09</v>
      </c>
      <c r="AQ582" s="110"/>
      <c r="BZ582" t="s">
        <v>350</v>
      </c>
      <c r="CA582" s="112" t="s">
        <v>200</v>
      </c>
      <c r="CB582" t="s">
        <v>201</v>
      </c>
      <c r="CC582" t="s">
        <v>202</v>
      </c>
      <c r="CG582" s="122"/>
      <c r="CV582" s="388"/>
    </row>
    <row r="583" spans="1:100" s="379" customFormat="1" ht="30" customHeight="1">
      <c r="A583" s="709"/>
      <c r="B583" s="710"/>
      <c r="C583" s="710"/>
      <c r="D583" s="710"/>
      <c r="E583" s="711"/>
      <c r="F583" s="710"/>
      <c r="G583" s="710"/>
      <c r="H583" s="710"/>
      <c r="I583" s="710"/>
      <c r="J583" s="712"/>
      <c r="K583" s="712"/>
      <c r="L583" s="712"/>
      <c r="AQ583" s="713"/>
      <c r="BZ583" t="s">
        <v>350</v>
      </c>
      <c r="CA583" s="112" t="s">
        <v>200</v>
      </c>
      <c r="CB583" t="s">
        <v>201</v>
      </c>
      <c r="CC583" t="s">
        <v>202</v>
      </c>
      <c r="CD583"/>
      <c r="CE583"/>
      <c r="CF583"/>
      <c r="CG583" s="122"/>
    </row>
    <row r="584" spans="1:100" customFormat="1" ht="30" customHeight="1">
      <c r="A584" s="112" t="str">
        <f>IF($C$13=1,IF(K584="报价行",IF(F584&gt;0,1," ")," ")," ")</f>
        <v xml:space="preserve"> </v>
      </c>
      <c r="B584" s="414" t="str">
        <f>IF(A584=1,SUM($A$11:A584),"B横梁")</f>
        <v>B横梁</v>
      </c>
      <c r="C584" s="460" t="s">
        <v>351</v>
      </c>
      <c r="D584" s="714">
        <f>E585</f>
        <v>3048</v>
      </c>
      <c r="E584" s="715" t="str">
        <f>VLOOKUP(D585,常规材料表!$1:$1048576,28,0)&amp;VLOOKUP(D586,常规材料表!$1:$1048576,28,0)&amp;", "&amp;IF(E586&gt;0,E586&amp;" kg/level,"," ")</f>
        <v xml:space="preserve">B120*50*1.5 mm,pitch 76.2, 4 claws, H301,  </v>
      </c>
      <c r="F584" s="460"/>
      <c r="G584" s="429" t="str">
        <f>IFERROR(Y584+D588*F588/F584,"-")</f>
        <v>-</v>
      </c>
      <c r="H584" s="429">
        <f>IFERROR(X584+H588,"-")</f>
        <v>75.315360478720436</v>
      </c>
      <c r="I584" s="460" t="s">
        <v>341</v>
      </c>
      <c r="J584" s="54"/>
      <c r="K584" s="423" t="s">
        <v>217</v>
      </c>
      <c r="L584" s="54"/>
      <c r="O584" s="425" t="s">
        <v>729</v>
      </c>
      <c r="P584" s="250"/>
      <c r="R584" t="s">
        <v>219</v>
      </c>
      <c r="S584" s="427" t="s">
        <v>21</v>
      </c>
      <c r="T584" s="716">
        <f>(T586*Y586+T587*Y587)/Y584</f>
        <v>3.2800907509331285</v>
      </c>
      <c r="U584" s="716">
        <f>(U586*Y586+U587*Y587)/Y584</f>
        <v>0.39602980075076161</v>
      </c>
      <c r="V584" s="716">
        <f>(V586*Y586+V587*Y587)/Y584</f>
        <v>0.53609649285401706</v>
      </c>
      <c r="W584" s="716">
        <f>AP586/Y584/1.13</f>
        <v>1.7893372454143699E-2</v>
      </c>
      <c r="X584" s="716">
        <f>SUM(T584:W584)*Y584</f>
        <v>75.315360478720436</v>
      </c>
      <c r="Y584" s="716">
        <f>SUM(Y586:Y587)</f>
        <v>17.804585000000003</v>
      </c>
      <c r="Z584" s="716"/>
      <c r="AQ584" s="110"/>
      <c r="AX584" t="str">
        <f>VLOOKUP(D585,常规材料表!$1:$1048576,28,0)</f>
        <v>B120*50*1.5 mm,</v>
      </c>
      <c r="AY584" s="494">
        <f>D584</f>
        <v>3048</v>
      </c>
      <c r="AZ584">
        <f>F584</f>
        <v>0</v>
      </c>
      <c r="BA584" s="256" t="str">
        <f>G584</f>
        <v>-</v>
      </c>
      <c r="BB584" t="e">
        <f>AZ584*BA584</f>
        <v>#VALUE!</v>
      </c>
      <c r="BC584" t="str">
        <f>VLOOKUP(D586,常规材料表!$1:$1048576,28,0)</f>
        <v>pitch 76.2, 4 claws, H301</v>
      </c>
      <c r="BE584" t="str">
        <f>"面宽"&amp;VLOOKUP(AA586,常规材料表!$1:$1048576,18,0)</f>
        <v>面宽60</v>
      </c>
      <c r="BQ584" t="str">
        <f>D590</f>
        <v>Q235</v>
      </c>
      <c r="BR584" t="str">
        <f>I584</f>
        <v>Orange Ral2004</v>
      </c>
      <c r="BZ584" t="s">
        <v>350</v>
      </c>
      <c r="CA584" s="112" t="s">
        <v>200</v>
      </c>
      <c r="CB584" t="s">
        <v>201</v>
      </c>
      <c r="CC584" t="s">
        <v>202</v>
      </c>
      <c r="CG584" s="122"/>
      <c r="CV584" s="388"/>
    </row>
    <row r="585" spans="1:100" customFormat="1" ht="30" customHeight="1" outlineLevel="1">
      <c r="A585" s="112"/>
      <c r="B585" s="418" t="s">
        <v>350</v>
      </c>
      <c r="C585" s="418" t="s">
        <v>166</v>
      </c>
      <c r="D585" s="667" t="s">
        <v>730</v>
      </c>
      <c r="E585" s="636">
        <v>3048</v>
      </c>
      <c r="F585" s="418"/>
      <c r="G585" s="514" t="s">
        <v>236</v>
      </c>
      <c r="H585" s="418"/>
      <c r="I585" s="418"/>
      <c r="J585" t="s">
        <v>449</v>
      </c>
      <c r="K585" s="54" t="s">
        <v>237</v>
      </c>
      <c r="L585" s="54"/>
      <c r="O585" s="425" t="s">
        <v>729</v>
      </c>
      <c r="P585" s="250"/>
      <c r="R585" s="717" t="s">
        <v>238</v>
      </c>
      <c r="S585" s="699" t="s">
        <v>239</v>
      </c>
      <c r="T585" s="717" t="s">
        <v>240</v>
      </c>
      <c r="U585" s="717" t="s">
        <v>241</v>
      </c>
      <c r="V585" s="717" t="s">
        <v>242</v>
      </c>
      <c r="W585" s="699" t="s">
        <v>207</v>
      </c>
      <c r="X585" s="699" t="s">
        <v>243</v>
      </c>
      <c r="Y585" s="699" t="s">
        <v>244</v>
      </c>
      <c r="Z585" s="699" t="s">
        <v>159</v>
      </c>
      <c r="AA585" s="506" t="s">
        <v>353</v>
      </c>
      <c r="AB585" s="718" t="s">
        <v>354</v>
      </c>
      <c r="AC585" s="718" t="s">
        <v>355</v>
      </c>
      <c r="AD585" s="448" t="s">
        <v>285</v>
      </c>
      <c r="AE585" s="418" t="s">
        <v>318</v>
      </c>
      <c r="AF585" s="717" t="s">
        <v>226</v>
      </c>
      <c r="AG585" s="717" t="s">
        <v>356</v>
      </c>
      <c r="AH585" s="717" t="s">
        <v>357</v>
      </c>
      <c r="AI585" s="718" t="s">
        <v>358</v>
      </c>
      <c r="AJ585" s="718" t="s">
        <v>359</v>
      </c>
      <c r="AK585" s="719" t="s">
        <v>360</v>
      </c>
      <c r="AL585" s="717" t="s">
        <v>231</v>
      </c>
      <c r="AM585" s="717" t="s">
        <v>232</v>
      </c>
      <c r="AN585" s="717" t="s">
        <v>102</v>
      </c>
      <c r="AO585" s="717" t="s">
        <v>74</v>
      </c>
      <c r="AP585" s="717" t="s">
        <v>21</v>
      </c>
      <c r="AQ585" s="110"/>
      <c r="AU585">
        <f>IFERROR(IF(J586&gt;0,Y586*F584,0),"-")</f>
        <v>0</v>
      </c>
      <c r="AV585">
        <f>IFERROR(IF(J586=0,Y586*F584,0),"-")</f>
        <v>0</v>
      </c>
      <c r="AX585" t="s">
        <v>156</v>
      </c>
      <c r="AY585" t="s">
        <v>246</v>
      </c>
      <c r="AZ585" t="s">
        <v>102</v>
      </c>
      <c r="BA585" t="s">
        <v>158</v>
      </c>
      <c r="BB585" t="s">
        <v>247</v>
      </c>
      <c r="BC585" t="s">
        <v>248</v>
      </c>
      <c r="BD585" t="s">
        <v>249</v>
      </c>
      <c r="BE585" t="s">
        <v>250</v>
      </c>
      <c r="BF585" t="s">
        <v>251</v>
      </c>
      <c r="BG585" t="s">
        <v>252</v>
      </c>
      <c r="BH585" t="s">
        <v>253</v>
      </c>
      <c r="BI585" t="s">
        <v>254</v>
      </c>
      <c r="BJ585" t="s">
        <v>255</v>
      </c>
      <c r="BK585" t="s">
        <v>256</v>
      </c>
      <c r="BL585" t="s">
        <v>257</v>
      </c>
      <c r="BM585" t="s">
        <v>258</v>
      </c>
      <c r="BQ585" t="s">
        <v>262</v>
      </c>
      <c r="BR585" t="s">
        <v>155</v>
      </c>
      <c r="BZ585" t="s">
        <v>350</v>
      </c>
      <c r="CA585" s="112" t="s">
        <v>200</v>
      </c>
      <c r="CB585" t="s">
        <v>201</v>
      </c>
      <c r="CC585" t="s">
        <v>202</v>
      </c>
      <c r="CG585" s="122"/>
      <c r="CV585" s="388"/>
    </row>
    <row r="586" spans="1:100" customFormat="1" ht="30" customHeight="1" outlineLevel="1">
      <c r="A586" s="112"/>
      <c r="B586" s="418"/>
      <c r="C586" s="418" t="s">
        <v>362</v>
      </c>
      <c r="D586" s="667" t="s">
        <v>731</v>
      </c>
      <c r="E586" s="636"/>
      <c r="F586" s="418"/>
      <c r="G586" s="515" t="str">
        <f>G585</f>
        <v>喷塑</v>
      </c>
      <c r="H586" s="418"/>
      <c r="I586" s="418"/>
      <c r="J586" s="667">
        <f>IFERROR(IF(D590="Q355",IFERROR(IF(G585="预镀锌",VLOOKUP(D585,常规材料表!$1:$1048576,30,0),VLOOKUP(D585,常规材料表!$1:$1048576,29,0)),0),0),0)</f>
        <v>0</v>
      </c>
      <c r="K586" s="54" t="s">
        <v>237</v>
      </c>
      <c r="L586" s="54"/>
      <c r="O586" s="425" t="s">
        <v>729</v>
      </c>
      <c r="P586" s="250"/>
      <c r="Q586" s="388" t="s">
        <v>350</v>
      </c>
      <c r="R586" s="719">
        <f>IF(AD586&gt;0,AD586,AG586)</f>
        <v>3.69</v>
      </c>
      <c r="S586" s="458">
        <v>1.01</v>
      </c>
      <c r="T586" s="720">
        <f>R586*S586/1.13</f>
        <v>3.2981415929203544</v>
      </c>
      <c r="U586" s="721">
        <f>AH586/Y586+0.25</f>
        <v>0.41098483089472271</v>
      </c>
      <c r="V586" s="721">
        <f>AI586*AC586*AF586/1000000/1.13/Y586</f>
        <v>0.5224140774560706</v>
      </c>
      <c r="W586" s="721"/>
      <c r="X586" s="720">
        <f>(T586+U586+V586+W586)*Y586</f>
        <v>68.341875704424794</v>
      </c>
      <c r="Y586" s="721">
        <f>AK586*AJ586*AC586*Z590*2/1000000</f>
        <v>16.150590000000001</v>
      </c>
      <c r="Z586" s="721">
        <f>Y586*AB586</f>
        <v>16.150590000000001</v>
      </c>
      <c r="AA586" s="513" t="str">
        <f>D585</f>
        <v>B12050.15</v>
      </c>
      <c r="AB586" s="460">
        <v>1</v>
      </c>
      <c r="AC586" s="536">
        <f>E585</f>
        <v>3048</v>
      </c>
      <c r="AD586" s="471">
        <f>J586</f>
        <v>0</v>
      </c>
      <c r="AE586" s="514" t="str">
        <f>G585</f>
        <v>喷塑</v>
      </c>
      <c r="AF586" s="722">
        <f>IF(AE586="预镀锌",0,IF(AE586="喷塑",VLOOKUP(AA586,常规材料表!$1:$1048576,12,0),IF(AE586="热镀锌",VLOOKUP(AA586,常规材料表!$1:$1048576,13,0),IF(AE586="冷镀锌",VLOOKUP(AA586,常规材料表!$1:$1048576,15,0),0))))</f>
        <v>9.1999999999999993</v>
      </c>
      <c r="AG586" s="722">
        <f>VLOOKUP(AA586,常规材料表!$1:$1048576,10,0)</f>
        <v>3.69</v>
      </c>
      <c r="AH586" s="722">
        <f>IF(AE586="预镀锌",VLOOKUP(AA586,常规材料表!$1:$1048576,11,0)+VLOOKUP(AA586,常规材料表!$1:$1048576,14,0),VLOOKUP(AA586,常规材料表!$1:$1048576,11,0))+IF(AC586&lt;8000,0,VLOOKUP(AA586,常规材料表!$1:$1048576,16,0))</f>
        <v>2.6</v>
      </c>
      <c r="AI586" s="722">
        <f>(VLOOKUP(AA586,常规材料表!$1:$1048576,8,0)+VLOOKUP(AA586,常规材料表!$1:$1048576,9,0))*2</f>
        <v>340</v>
      </c>
      <c r="AJ586" s="722">
        <f>VLOOKUP(AA586,常规材料表!$1:$1048576,6,0)</f>
        <v>1.5</v>
      </c>
      <c r="AK586" s="719">
        <f>VLOOKUP(AA586,常规材料表!$1:$1048576,7,0)</f>
        <v>225</v>
      </c>
      <c r="AL586" s="719" t="s">
        <v>363</v>
      </c>
      <c r="AM586" s="719" t="str">
        <f>VLOOKUP(AA590,常规材料表!$1:$1048576,17,0)</f>
        <v>S.Pin.ø7.L38</v>
      </c>
      <c r="AN586" s="719">
        <f>VLOOKUP(AA590,常规材料表!$1:$1048576,18,0)</f>
        <v>2</v>
      </c>
      <c r="AO586" s="721">
        <f>VLOOKUP(AM586,标准件价格!$C:$D,2,0)</f>
        <v>0.18</v>
      </c>
      <c r="AP586" s="719">
        <f>AN586*AO586</f>
        <v>0.36</v>
      </c>
      <c r="AQ586" s="110"/>
      <c r="BZ586" t="s">
        <v>350</v>
      </c>
      <c r="CA586" s="112" t="s">
        <v>200</v>
      </c>
      <c r="CB586" t="s">
        <v>201</v>
      </c>
      <c r="CC586" t="s">
        <v>202</v>
      </c>
      <c r="CG586" s="122"/>
      <c r="CV586" s="388"/>
    </row>
    <row r="587" spans="1:100" customFormat="1" ht="30" customHeight="1" outlineLevel="1">
      <c r="A587" s="112"/>
      <c r="B587" s="418"/>
      <c r="C587" s="486" t="s">
        <v>367</v>
      </c>
      <c r="D587" s="418"/>
      <c r="E587" s="415"/>
      <c r="F587" s="418"/>
      <c r="G587" s="418"/>
      <c r="H587" s="418"/>
      <c r="I587" s="418"/>
      <c r="J587" s="610" t="s">
        <v>456</v>
      </c>
      <c r="K587" s="54" t="s">
        <v>237</v>
      </c>
      <c r="L587" s="54"/>
      <c r="O587" s="425" t="s">
        <v>729</v>
      </c>
      <c r="P587" s="250"/>
      <c r="Q587" t="s">
        <v>362</v>
      </c>
      <c r="R587" s="719">
        <f>AG590/Y587</f>
        <v>3.4726036755196721</v>
      </c>
      <c r="S587" s="458">
        <v>1.01</v>
      </c>
      <c r="T587" s="720">
        <f>R587*S587/1.13</f>
        <v>3.1038316037830702</v>
      </c>
      <c r="U587" s="719">
        <v>0.25</v>
      </c>
      <c r="V587" s="721">
        <f>AH590*AF590/Y587</f>
        <v>0.66969972702456759</v>
      </c>
      <c r="W587" s="721">
        <f>SUM(AP586)/1.13/Y587</f>
        <v>0.19261489351325739</v>
      </c>
      <c r="X587" s="720">
        <f>(T587+U587+V587+W587)*Y587</f>
        <v>6.9734847742956383</v>
      </c>
      <c r="Y587" s="721">
        <f>VLOOKUP(AA590,常规材料表!$1:$1048576,3,0)</f>
        <v>1.6539950000000001</v>
      </c>
      <c r="Z587" s="721">
        <f>Y587*AB586</f>
        <v>1.6539950000000001</v>
      </c>
      <c r="AA587" s="506" t="s">
        <v>365</v>
      </c>
      <c r="AE587" s="418" t="s">
        <v>334</v>
      </c>
      <c r="AF587" s="717" t="s">
        <v>226</v>
      </c>
      <c r="AG587" s="719" t="s">
        <v>366</v>
      </c>
      <c r="AH587" s="719" t="s">
        <v>336</v>
      </c>
      <c r="AQ587" s="110"/>
      <c r="BZ587" t="s">
        <v>350</v>
      </c>
      <c r="CA587" s="112" t="s">
        <v>200</v>
      </c>
      <c r="CB587" t="s">
        <v>201</v>
      </c>
      <c r="CC587" t="s">
        <v>202</v>
      </c>
      <c r="CG587" s="122"/>
      <c r="CV587" s="388"/>
    </row>
    <row r="588" spans="1:100" customFormat="1" ht="30" customHeight="1" outlineLevel="1">
      <c r="A588" s="112"/>
      <c r="B588" s="418"/>
      <c r="C588" s="418" t="s">
        <v>481</v>
      </c>
      <c r="D588" s="640"/>
      <c r="E588" s="547">
        <f>4.24</f>
        <v>4.24</v>
      </c>
      <c r="F588" s="702">
        <f>IF(D588&gt;0,F584,0)</f>
        <v>0</v>
      </c>
      <c r="G588" s="418"/>
      <c r="H588" s="418">
        <f>IFERROR(D588*(E588*1.02+E589+D589*1.13)/1.13*F588/F584,0)</f>
        <v>0</v>
      </c>
      <c r="I588" s="418"/>
      <c r="J588" s="723"/>
      <c r="K588" s="54"/>
      <c r="L588" s="54"/>
      <c r="O588" s="425" t="s">
        <v>729</v>
      </c>
      <c r="P588" s="250"/>
      <c r="R588" s="719"/>
      <c r="S588" s="458"/>
      <c r="T588" s="720"/>
      <c r="U588" s="724"/>
      <c r="V588" s="725"/>
      <c r="W588" s="721"/>
      <c r="X588" s="720"/>
      <c r="Y588" s="721"/>
      <c r="Z588" s="721"/>
      <c r="AA588" s="506"/>
      <c r="AE588" s="418"/>
      <c r="AF588" s="717"/>
      <c r="AG588" s="719"/>
      <c r="AH588" s="719"/>
      <c r="AQ588" s="110"/>
      <c r="BZ588" t="s">
        <v>350</v>
      </c>
      <c r="CA588" s="112" t="s">
        <v>200</v>
      </c>
      <c r="CB588" t="s">
        <v>201</v>
      </c>
      <c r="CC588" t="s">
        <v>202</v>
      </c>
      <c r="CG588" s="122"/>
      <c r="CV588" s="388"/>
    </row>
    <row r="589" spans="1:100" customFormat="1" ht="30" customHeight="1" outlineLevel="1">
      <c r="A589" s="112"/>
      <c r="B589" s="418"/>
      <c r="C589" s="726">
        <v>1</v>
      </c>
      <c r="D589" s="460">
        <f>IFERROR(((0.8*C589+0.4)*D584/1000+0.4)/D588,0)</f>
        <v>0</v>
      </c>
      <c r="E589" s="460">
        <v>0.95</v>
      </c>
      <c r="F589" s="463"/>
      <c r="G589" s="418"/>
      <c r="H589" s="418"/>
      <c r="I589" s="418" t="s">
        <v>711</v>
      </c>
      <c r="J589" s="723"/>
      <c r="K589" s="54"/>
      <c r="L589" s="54"/>
      <c r="O589" s="425" t="s">
        <v>729</v>
      </c>
      <c r="P589" s="250"/>
      <c r="R589" s="719"/>
      <c r="S589" s="458"/>
      <c r="T589" s="720"/>
      <c r="U589" s="724"/>
      <c r="V589" s="725"/>
      <c r="W589" s="721"/>
      <c r="X589" s="720"/>
      <c r="Y589" s="721"/>
      <c r="Z589" s="721"/>
      <c r="AA589" s="506"/>
      <c r="AE589" s="418"/>
      <c r="AF589" s="717"/>
      <c r="AG589" s="719"/>
      <c r="AH589" s="719"/>
      <c r="AQ589" s="110"/>
      <c r="BZ589" t="s">
        <v>350</v>
      </c>
      <c r="CA589" s="112" t="s">
        <v>200</v>
      </c>
      <c r="CB589" t="s">
        <v>201</v>
      </c>
      <c r="CC589" t="s">
        <v>202</v>
      </c>
      <c r="CG589" s="122"/>
      <c r="CV589" s="388"/>
    </row>
    <row r="590" spans="1:100" customFormat="1" ht="30" customHeight="1" outlineLevel="1">
      <c r="A590" s="112"/>
      <c r="B590" s="414">
        <v>0</v>
      </c>
      <c r="C590" s="418" t="s">
        <v>728</v>
      </c>
      <c r="D590" s="651" t="s">
        <v>8</v>
      </c>
      <c r="E590" s="415"/>
      <c r="F590" s="418"/>
      <c r="G590" s="418"/>
      <c r="H590" s="418"/>
      <c r="I590" s="418"/>
      <c r="K590" s="54" t="s">
        <v>237</v>
      </c>
      <c r="L590" s="54"/>
      <c r="O590" s="425" t="s">
        <v>729</v>
      </c>
      <c r="P590" s="250"/>
      <c r="R590" s="428" t="s">
        <v>412</v>
      </c>
      <c r="S590" s="458">
        <v>1.25</v>
      </c>
      <c r="T590" s="428" t="s">
        <v>424</v>
      </c>
      <c r="U590" s="727">
        <v>7</v>
      </c>
      <c r="W590" s="414" t="s">
        <v>34</v>
      </c>
      <c r="X590" s="728">
        <f>X584*S590/U590</f>
        <v>13.449171514057221</v>
      </c>
      <c r="Y590" s="717" t="s">
        <v>277</v>
      </c>
      <c r="Z590" s="458">
        <v>7.85</v>
      </c>
      <c r="AA590" s="513" t="str">
        <f>D586</f>
        <v>Bracket.NZ76-4H+pin</v>
      </c>
      <c r="AE590" s="514" t="str">
        <f>G586</f>
        <v>喷塑</v>
      </c>
      <c r="AF590" s="722">
        <f>IF(AE590="预镀锌",0,IF(AE590="喷塑",VLOOKUP(AA590,常规材料表!$1:$1048576,12,0),IF(AE590="热镀锌",VLOOKUP(AA590,常规材料表!$1:$1048576,13,0),IF(AE590="冷镀锌",VLOOKUP(AA590,常规材料表!$1:$1048576,15,0),0))))</f>
        <v>9.1999999999999993</v>
      </c>
      <c r="AG590" s="722">
        <f>VLOOKUP(AA590,常规材料表!$1:$1048576,10,0)</f>
        <v>5.7436691162911604</v>
      </c>
      <c r="AH590" s="719">
        <f>VLOOKUP(AA590,常规材料表!$1:$1048576,4,0)</f>
        <v>0.12039999999999999</v>
      </c>
      <c r="AQ590" s="110"/>
      <c r="BZ590" t="s">
        <v>350</v>
      </c>
      <c r="CA590" s="112" t="s">
        <v>200</v>
      </c>
      <c r="CB590" t="s">
        <v>201</v>
      </c>
      <c r="CC590" t="s">
        <v>202</v>
      </c>
      <c r="CG590" s="122"/>
      <c r="CV590" s="388"/>
    </row>
    <row r="591" spans="1:100" s="379" customFormat="1" ht="30" customHeight="1">
      <c r="A591" s="709"/>
      <c r="B591" s="710"/>
      <c r="C591" s="710"/>
      <c r="D591" s="710"/>
      <c r="E591" s="711"/>
      <c r="F591" s="710"/>
      <c r="G591" s="710"/>
      <c r="H591" s="710"/>
      <c r="I591" s="710"/>
      <c r="J591" s="712"/>
      <c r="K591" s="712"/>
      <c r="L591" s="712"/>
      <c r="AQ591" s="713"/>
      <c r="BZ591" t="s">
        <v>350</v>
      </c>
      <c r="CA591" s="112" t="s">
        <v>200</v>
      </c>
      <c r="CB591" t="s">
        <v>201</v>
      </c>
      <c r="CC591" t="s">
        <v>202</v>
      </c>
      <c r="CD591"/>
      <c r="CE591"/>
      <c r="CF591"/>
      <c r="CG591" s="122"/>
    </row>
    <row r="592" spans="1:100" customFormat="1" ht="30" customHeight="1">
      <c r="A592" s="112" t="str">
        <f>IF($C$13=1,IF(K592="报价行",IF(F592&gt;0,1," ")," ")," ")</f>
        <v xml:space="preserve"> </v>
      </c>
      <c r="B592" s="414" t="str">
        <f>IF(A592=1,SUM($A$11:A592),"B横梁")</f>
        <v>B横梁</v>
      </c>
      <c r="C592" s="460" t="s">
        <v>351</v>
      </c>
      <c r="D592" s="714">
        <f>E593</f>
        <v>3353</v>
      </c>
      <c r="E592" s="715" t="str">
        <f>VLOOKUP(D593,常规材料表!$1:$1048576,28,0)&amp;VLOOKUP(D594,常规材料表!$1:$1048576,28,0)&amp;", "&amp;IF(E594&gt;0,E594&amp;" kg/level,"," ")</f>
        <v xml:space="preserve">B130*50*1.5 mm,pitch 76.2, 4 claws, H301,  </v>
      </c>
      <c r="F592" s="460"/>
      <c r="G592" s="429" t="str">
        <f>IFERROR(Y592+D596*F596/F592,"-")</f>
        <v>-</v>
      </c>
      <c r="H592" s="429">
        <f>IFERROR(X592+H596,"-")</f>
        <v>85.641561410003618</v>
      </c>
      <c r="I592" s="460" t="s">
        <v>341</v>
      </c>
      <c r="J592" s="54"/>
      <c r="K592" s="423" t="s">
        <v>217</v>
      </c>
      <c r="L592" s="54"/>
      <c r="O592" s="425" t="s">
        <v>732</v>
      </c>
      <c r="P592" s="250"/>
      <c r="R592" t="s">
        <v>219</v>
      </c>
      <c r="S592" s="427" t="s">
        <v>21</v>
      </c>
      <c r="T592" s="716">
        <f>(T594*Y594+T595*Y595)/Y592</f>
        <v>3.2822394445142251</v>
      </c>
      <c r="U592" s="716">
        <f>(U594*Y594+U595*Y595)/Y592</f>
        <v>0.39843890330814774</v>
      </c>
      <c r="V592" s="716">
        <f>(V594*Y594+V595*Y595)/Y592</f>
        <v>0.5410713799169109</v>
      </c>
      <c r="W592" s="716">
        <f>AP594/Y592/1.13</f>
        <v>1.5763423360157285E-2</v>
      </c>
      <c r="X592" s="716">
        <f>SUM(T592:W592)*Y592</f>
        <v>85.641561410003618</v>
      </c>
      <c r="Y592" s="716">
        <f>SUM(Y594:Y595)</f>
        <v>20.21033525</v>
      </c>
      <c r="Z592" s="716"/>
      <c r="AQ592" s="110"/>
      <c r="AX592" t="str">
        <f>VLOOKUP(D593,常规材料表!$1:$1048576,28,0)</f>
        <v>B130*50*1.5 mm,</v>
      </c>
      <c r="AY592" s="494">
        <f>D592</f>
        <v>3353</v>
      </c>
      <c r="AZ592">
        <f>F592</f>
        <v>0</v>
      </c>
      <c r="BA592" s="256" t="str">
        <f>G592</f>
        <v>-</v>
      </c>
      <c r="BB592" t="e">
        <f>AZ592*BA592</f>
        <v>#VALUE!</v>
      </c>
      <c r="BC592" t="str">
        <f>VLOOKUP(D594,常规材料表!$1:$1048576,28,0)</f>
        <v>pitch 76.2, 4 claws, H301</v>
      </c>
      <c r="BE592" t="str">
        <f>"面宽"&amp;VLOOKUP(AA594,常规材料表!$1:$1048576,18,0)</f>
        <v>面宽60</v>
      </c>
      <c r="BQ592" t="str">
        <f>D598</f>
        <v>Q235</v>
      </c>
      <c r="BR592" t="str">
        <f>I592</f>
        <v>Orange Ral2004</v>
      </c>
      <c r="BZ592" t="s">
        <v>350</v>
      </c>
      <c r="CA592" s="112" t="s">
        <v>200</v>
      </c>
      <c r="CB592" t="s">
        <v>201</v>
      </c>
      <c r="CC592" t="s">
        <v>202</v>
      </c>
      <c r="CG592" s="122"/>
      <c r="CV592" s="388"/>
    </row>
    <row r="593" spans="1:100" customFormat="1" ht="30" customHeight="1" outlineLevel="1">
      <c r="A593" s="112"/>
      <c r="B593" s="418" t="s">
        <v>350</v>
      </c>
      <c r="C593" s="418" t="s">
        <v>166</v>
      </c>
      <c r="D593" s="667" t="s">
        <v>733</v>
      </c>
      <c r="E593" s="636">
        <v>3353</v>
      </c>
      <c r="F593" s="418"/>
      <c r="G593" s="514" t="s">
        <v>236</v>
      </c>
      <c r="H593" s="418"/>
      <c r="I593" s="418"/>
      <c r="J593" t="s">
        <v>449</v>
      </c>
      <c r="K593" s="54" t="s">
        <v>237</v>
      </c>
      <c r="L593" s="54"/>
      <c r="O593" s="425" t="s">
        <v>732</v>
      </c>
      <c r="P593" s="250"/>
      <c r="R593" s="717" t="s">
        <v>238</v>
      </c>
      <c r="S593" s="699" t="s">
        <v>239</v>
      </c>
      <c r="T593" s="717" t="s">
        <v>240</v>
      </c>
      <c r="U593" s="717" t="s">
        <v>241</v>
      </c>
      <c r="V593" s="717" t="s">
        <v>242</v>
      </c>
      <c r="W593" s="699" t="s">
        <v>207</v>
      </c>
      <c r="X593" s="699" t="s">
        <v>243</v>
      </c>
      <c r="Y593" s="699" t="s">
        <v>244</v>
      </c>
      <c r="Z593" s="699" t="s">
        <v>159</v>
      </c>
      <c r="AA593" s="506" t="s">
        <v>353</v>
      </c>
      <c r="AB593" s="718" t="s">
        <v>354</v>
      </c>
      <c r="AC593" s="718" t="s">
        <v>355</v>
      </c>
      <c r="AD593" s="448" t="s">
        <v>285</v>
      </c>
      <c r="AE593" s="418" t="s">
        <v>318</v>
      </c>
      <c r="AF593" s="717" t="s">
        <v>226</v>
      </c>
      <c r="AG593" s="717" t="s">
        <v>356</v>
      </c>
      <c r="AH593" s="717" t="s">
        <v>357</v>
      </c>
      <c r="AI593" s="718" t="s">
        <v>358</v>
      </c>
      <c r="AJ593" s="718" t="s">
        <v>359</v>
      </c>
      <c r="AK593" s="719" t="s">
        <v>360</v>
      </c>
      <c r="AL593" s="717" t="s">
        <v>231</v>
      </c>
      <c r="AM593" s="717" t="s">
        <v>232</v>
      </c>
      <c r="AN593" s="717" t="s">
        <v>102</v>
      </c>
      <c r="AO593" s="717" t="s">
        <v>74</v>
      </c>
      <c r="AP593" s="717" t="s">
        <v>21</v>
      </c>
      <c r="AQ593" s="110"/>
      <c r="AU593">
        <f>IFERROR(IF(J594&gt;0,Y594*F592,0),"-")</f>
        <v>0</v>
      </c>
      <c r="AV593">
        <f>IFERROR(IF(J594=0,Y594*F592,0),"-")</f>
        <v>0</v>
      </c>
      <c r="AX593" t="s">
        <v>156</v>
      </c>
      <c r="AY593" t="s">
        <v>246</v>
      </c>
      <c r="AZ593" t="s">
        <v>102</v>
      </c>
      <c r="BA593" t="s">
        <v>158</v>
      </c>
      <c r="BB593" t="s">
        <v>247</v>
      </c>
      <c r="BC593" t="s">
        <v>248</v>
      </c>
      <c r="BD593" t="s">
        <v>249</v>
      </c>
      <c r="BE593" t="s">
        <v>250</v>
      </c>
      <c r="BF593" t="s">
        <v>251</v>
      </c>
      <c r="BG593" t="s">
        <v>252</v>
      </c>
      <c r="BH593" t="s">
        <v>253</v>
      </c>
      <c r="BI593" t="s">
        <v>254</v>
      </c>
      <c r="BJ593" t="s">
        <v>255</v>
      </c>
      <c r="BK593" t="s">
        <v>256</v>
      </c>
      <c r="BL593" t="s">
        <v>257</v>
      </c>
      <c r="BM593" t="s">
        <v>258</v>
      </c>
      <c r="BQ593" t="s">
        <v>262</v>
      </c>
      <c r="BR593" t="s">
        <v>155</v>
      </c>
      <c r="BZ593" t="s">
        <v>350</v>
      </c>
      <c r="CA593" s="112" t="s">
        <v>200</v>
      </c>
      <c r="CB593" t="s">
        <v>201</v>
      </c>
      <c r="CC593" t="s">
        <v>202</v>
      </c>
      <c r="CG593" s="122"/>
      <c r="CV593" s="388"/>
    </row>
    <row r="594" spans="1:100" customFormat="1" ht="30" customHeight="1" outlineLevel="1">
      <c r="A594" s="112"/>
      <c r="B594" s="418"/>
      <c r="C594" s="418" t="s">
        <v>362</v>
      </c>
      <c r="D594" s="667" t="s">
        <v>731</v>
      </c>
      <c r="E594" s="636"/>
      <c r="F594" s="418"/>
      <c r="G594" s="515" t="str">
        <f>G593</f>
        <v>喷塑</v>
      </c>
      <c r="H594" s="418"/>
      <c r="I594" s="418"/>
      <c r="J594" s="667">
        <f>IFERROR(IF(D598="Q355",IFERROR(IF(G593="预镀锌",VLOOKUP(D593,常规材料表!$1:$1048576,30,0),VLOOKUP(D593,常规材料表!$1:$1048576,29,0)),0),0),0)</f>
        <v>0</v>
      </c>
      <c r="K594" s="54" t="s">
        <v>237</v>
      </c>
      <c r="L594" s="54"/>
      <c r="O594" s="425" t="s">
        <v>732</v>
      </c>
      <c r="P594" s="250"/>
      <c r="Q594" s="388" t="s">
        <v>350</v>
      </c>
      <c r="R594" s="719">
        <f>IF(AD594&gt;0,AD594,AG594)</f>
        <v>3.69</v>
      </c>
      <c r="S594" s="458">
        <v>1.01</v>
      </c>
      <c r="T594" s="720">
        <f>R594*S594/1.13</f>
        <v>3.2981415929203544</v>
      </c>
      <c r="U594" s="721">
        <f>AH594/Y594+0.25</f>
        <v>0.41166980986458251</v>
      </c>
      <c r="V594" s="721">
        <f>AI594*AC594*AF594/1000000/1.13/Y594</f>
        <v>0.52960626125083499</v>
      </c>
      <c r="W594" s="721"/>
      <c r="X594" s="720">
        <f>(T594+U594+V594+W594)*Y594</f>
        <v>78.668076635707976</v>
      </c>
      <c r="Y594" s="721">
        <f>AK594*AJ594*AC594*Z598*2/1000000</f>
        <v>18.556340250000002</v>
      </c>
      <c r="Z594" s="721">
        <f>Y594*AB594</f>
        <v>18.556340250000002</v>
      </c>
      <c r="AA594" s="513" t="str">
        <f>D593</f>
        <v>B13050.15</v>
      </c>
      <c r="AB594" s="460">
        <v>1</v>
      </c>
      <c r="AC594" s="536">
        <f>E593</f>
        <v>3353</v>
      </c>
      <c r="AD594" s="471">
        <f>J594</f>
        <v>0</v>
      </c>
      <c r="AE594" s="514" t="str">
        <f>G593</f>
        <v>喷塑</v>
      </c>
      <c r="AF594" s="722">
        <f>IF(AE594="预镀锌",0,IF(AE594="喷塑",VLOOKUP(AA594,常规材料表!$1:$1048576,12,0),IF(AE594="热镀锌",VLOOKUP(AA594,常规材料表!$1:$1048576,13,0),IF(AE594="冷镀锌",VLOOKUP(AA594,常规材料表!$1:$1048576,15,0),0))))</f>
        <v>9.1999999999999993</v>
      </c>
      <c r="AG594" s="722">
        <f>VLOOKUP(AA594,常规材料表!$1:$1048576,10,0)</f>
        <v>3.69</v>
      </c>
      <c r="AH594" s="722">
        <f>IF(AE594="预镀锌",VLOOKUP(AA594,常规材料表!$1:$1048576,11,0)+VLOOKUP(AA594,常规材料表!$1:$1048576,14,0),VLOOKUP(AA594,常规材料表!$1:$1048576,11,0))+IF(AC594&lt;8000,0,VLOOKUP(AA594,常规材料表!$1:$1048576,16,0))</f>
        <v>3</v>
      </c>
      <c r="AI594" s="722">
        <f>(VLOOKUP(AA594,常规材料表!$1:$1048576,8,0)+VLOOKUP(AA594,常规材料表!$1:$1048576,9,0))*2</f>
        <v>360</v>
      </c>
      <c r="AJ594" s="722">
        <f>VLOOKUP(AA594,常规材料表!$1:$1048576,6,0)</f>
        <v>1.5</v>
      </c>
      <c r="AK594" s="719">
        <f>VLOOKUP(AA594,常规材料表!$1:$1048576,7,0)</f>
        <v>235</v>
      </c>
      <c r="AL594" s="719" t="s">
        <v>363</v>
      </c>
      <c r="AM594" s="719" t="str">
        <f>VLOOKUP(AA598,常规材料表!$1:$1048576,17,0)</f>
        <v>S.Pin.ø7.L38</v>
      </c>
      <c r="AN594" s="719">
        <f>VLOOKUP(AA598,常规材料表!$1:$1048576,18,0)</f>
        <v>2</v>
      </c>
      <c r="AO594" s="721">
        <f>VLOOKUP(AM594,标准件价格!$C:$D,2,0)</f>
        <v>0.18</v>
      </c>
      <c r="AP594" s="719">
        <f>AN594*AO594</f>
        <v>0.36</v>
      </c>
      <c r="AQ594" s="110"/>
      <c r="BZ594" t="s">
        <v>350</v>
      </c>
      <c r="CA594" s="112" t="s">
        <v>200</v>
      </c>
      <c r="CB594" t="s">
        <v>201</v>
      </c>
      <c r="CC594" t="s">
        <v>202</v>
      </c>
      <c r="CG594" s="122"/>
      <c r="CV594" s="388"/>
    </row>
    <row r="595" spans="1:100" customFormat="1" ht="30" customHeight="1" outlineLevel="1">
      <c r="A595" s="112"/>
      <c r="B595" s="418"/>
      <c r="C595" s="486" t="s">
        <v>367</v>
      </c>
      <c r="D595" s="418"/>
      <c r="E595" s="415"/>
      <c r="F595" s="418"/>
      <c r="G595" s="418"/>
      <c r="H595" s="418"/>
      <c r="I595" s="418"/>
      <c r="J595" s="610" t="s">
        <v>456</v>
      </c>
      <c r="K595" s="54" t="s">
        <v>237</v>
      </c>
      <c r="L595" s="54"/>
      <c r="O595" s="425" t="s">
        <v>732</v>
      </c>
      <c r="P595" s="250"/>
      <c r="Q595" t="s">
        <v>362</v>
      </c>
      <c r="R595" s="719">
        <f>AG598/Y595</f>
        <v>3.4726036755196721</v>
      </c>
      <c r="S595" s="458">
        <v>1.01</v>
      </c>
      <c r="T595" s="720">
        <f>R595*S595/1.13</f>
        <v>3.1038316037830702</v>
      </c>
      <c r="U595" s="719">
        <v>0.25</v>
      </c>
      <c r="V595" s="721">
        <f>AH598*AF598/Y595</f>
        <v>0.66969972702456759</v>
      </c>
      <c r="W595" s="721">
        <f>SUM(AP594:AP594)/1.13/Y595</f>
        <v>0.19261489351325739</v>
      </c>
      <c r="X595" s="720">
        <f>(T595+U595+V595+W595)*Y595</f>
        <v>6.9734847742956383</v>
      </c>
      <c r="Y595" s="721">
        <f>VLOOKUP(AA598,常规材料表!$1:$1048576,3,0)</f>
        <v>1.6539950000000001</v>
      </c>
      <c r="Z595" s="721">
        <f>Y595*AB594</f>
        <v>1.6539950000000001</v>
      </c>
      <c r="AA595" s="506" t="s">
        <v>365</v>
      </c>
      <c r="AE595" s="418" t="s">
        <v>334</v>
      </c>
      <c r="AF595" s="717" t="s">
        <v>226</v>
      </c>
      <c r="AG595" s="719" t="s">
        <v>366</v>
      </c>
      <c r="AH595" s="719" t="s">
        <v>336</v>
      </c>
      <c r="AQ595" s="110"/>
      <c r="BZ595" t="s">
        <v>350</v>
      </c>
      <c r="CA595" s="112" t="s">
        <v>200</v>
      </c>
      <c r="CB595" t="s">
        <v>201</v>
      </c>
      <c r="CC595" t="s">
        <v>202</v>
      </c>
      <c r="CG595" s="122"/>
      <c r="CV595" s="388"/>
    </row>
    <row r="596" spans="1:100" customFormat="1" ht="30" customHeight="1" outlineLevel="1">
      <c r="A596" s="112"/>
      <c r="B596" s="418"/>
      <c r="C596" s="418" t="s">
        <v>481</v>
      </c>
      <c r="D596" s="640"/>
      <c r="E596" s="547">
        <f>4.24</f>
        <v>4.24</v>
      </c>
      <c r="F596" s="702">
        <f>IF(D596&gt;0,F592,0)</f>
        <v>0</v>
      </c>
      <c r="G596" s="418"/>
      <c r="H596" s="418">
        <f>IFERROR(D596*(E596*1.02+E597+D597*1.13)/1.13*F596/F592,0)</f>
        <v>0</v>
      </c>
      <c r="I596" s="418"/>
      <c r="J596" s="723"/>
      <c r="K596" s="54"/>
      <c r="L596" s="54"/>
      <c r="O596" s="425" t="s">
        <v>732</v>
      </c>
      <c r="P596" s="250"/>
      <c r="R596" s="719"/>
      <c r="S596" s="458"/>
      <c r="T596" s="720"/>
      <c r="U596" s="724"/>
      <c r="V596" s="725"/>
      <c r="W596" s="721"/>
      <c r="X596" s="720"/>
      <c r="Y596" s="721"/>
      <c r="Z596" s="721"/>
      <c r="AA596" s="506"/>
      <c r="AE596" s="418"/>
      <c r="AF596" s="717"/>
      <c r="AG596" s="719"/>
      <c r="AH596" s="719"/>
      <c r="AQ596" s="110"/>
      <c r="BZ596" t="s">
        <v>350</v>
      </c>
      <c r="CA596" s="112" t="s">
        <v>200</v>
      </c>
      <c r="CB596" t="s">
        <v>201</v>
      </c>
      <c r="CC596" t="s">
        <v>202</v>
      </c>
      <c r="CG596" s="122"/>
      <c r="CV596" s="388"/>
    </row>
    <row r="597" spans="1:100" customFormat="1" ht="30" customHeight="1" outlineLevel="1">
      <c r="A597" s="112"/>
      <c r="B597" s="418"/>
      <c r="C597" s="726">
        <v>1</v>
      </c>
      <c r="D597" s="460">
        <f>IFERROR(((0.8*C597+0.4)*D592/1000+0.4)/D596,0)</f>
        <v>0</v>
      </c>
      <c r="E597" s="460">
        <v>0.95</v>
      </c>
      <c r="F597" s="463"/>
      <c r="G597" s="418"/>
      <c r="H597" s="418"/>
      <c r="I597" s="418" t="s">
        <v>711</v>
      </c>
      <c r="J597" s="723"/>
      <c r="K597" s="54"/>
      <c r="L597" s="54"/>
      <c r="O597" s="425" t="s">
        <v>732</v>
      </c>
      <c r="P597" s="250"/>
      <c r="R597" s="719"/>
      <c r="S597" s="458"/>
      <c r="T597" s="720"/>
      <c r="U597" s="724"/>
      <c r="V597" s="725"/>
      <c r="W597" s="721"/>
      <c r="X597" s="720"/>
      <c r="Y597" s="721"/>
      <c r="Z597" s="721"/>
      <c r="AA597" s="506"/>
      <c r="AE597" s="418"/>
      <c r="AF597" s="717"/>
      <c r="AG597" s="719"/>
      <c r="AH597" s="719"/>
      <c r="AQ597" s="110"/>
      <c r="BZ597" t="s">
        <v>350</v>
      </c>
      <c r="CA597" s="112" t="s">
        <v>200</v>
      </c>
      <c r="CB597" t="s">
        <v>201</v>
      </c>
      <c r="CC597" t="s">
        <v>202</v>
      </c>
      <c r="CG597" s="122"/>
      <c r="CV597" s="388"/>
    </row>
    <row r="598" spans="1:100" customFormat="1" ht="30" customHeight="1" outlineLevel="1">
      <c r="A598" s="112"/>
      <c r="B598" s="414">
        <v>0</v>
      </c>
      <c r="C598" s="418" t="s">
        <v>728</v>
      </c>
      <c r="D598" s="651" t="s">
        <v>8</v>
      </c>
      <c r="E598" s="415"/>
      <c r="F598" s="418"/>
      <c r="G598" s="418"/>
      <c r="H598" s="418"/>
      <c r="I598" s="418"/>
      <c r="K598" s="54" t="s">
        <v>237</v>
      </c>
      <c r="L598" s="54"/>
      <c r="O598" s="425" t="s">
        <v>732</v>
      </c>
      <c r="P598" s="250"/>
      <c r="R598" s="428" t="s">
        <v>412</v>
      </c>
      <c r="S598" s="458">
        <v>1.25</v>
      </c>
      <c r="T598" s="428" t="s">
        <v>424</v>
      </c>
      <c r="U598" s="727">
        <v>7</v>
      </c>
      <c r="W598" s="414" t="s">
        <v>34</v>
      </c>
      <c r="X598" s="728">
        <f>X592*S598/U598</f>
        <v>15.293135966072075</v>
      </c>
      <c r="Y598" s="717" t="s">
        <v>277</v>
      </c>
      <c r="Z598" s="458">
        <v>7.85</v>
      </c>
      <c r="AA598" s="513" t="str">
        <f>D594</f>
        <v>Bracket.NZ76-4H+pin</v>
      </c>
      <c r="AE598" s="514" t="str">
        <f>G594</f>
        <v>喷塑</v>
      </c>
      <c r="AF598" s="722">
        <f>IF(AE598="预镀锌",0,IF(AE598="喷塑",VLOOKUP(AA598,常规材料表!$1:$1048576,12,0),IF(AE598="热镀锌",VLOOKUP(AA598,常规材料表!$1:$1048576,13,0),IF(AE598="冷镀锌",VLOOKUP(AA598,常规材料表!$1:$1048576,15,0),0))))</f>
        <v>9.1999999999999993</v>
      </c>
      <c r="AG598" s="722">
        <f>VLOOKUP(AA598,常规材料表!$1:$1048576,10,0)</f>
        <v>5.7436691162911604</v>
      </c>
      <c r="AH598" s="719">
        <f>VLOOKUP(AA598,常规材料表!$1:$1048576,4,0)</f>
        <v>0.12039999999999999</v>
      </c>
      <c r="AQ598" s="110"/>
      <c r="BZ598" t="s">
        <v>350</v>
      </c>
      <c r="CA598" s="112" t="s">
        <v>200</v>
      </c>
      <c r="CB598" t="s">
        <v>201</v>
      </c>
      <c r="CC598" t="s">
        <v>202</v>
      </c>
      <c r="CG598" s="122"/>
      <c r="CV598" s="388"/>
    </row>
    <row r="599" spans="1:100" s="379" customFormat="1" ht="30" customHeight="1">
      <c r="A599" s="709"/>
      <c r="B599" s="710"/>
      <c r="C599" s="710"/>
      <c r="D599" s="710"/>
      <c r="E599" s="711"/>
      <c r="F599" s="710"/>
      <c r="G599" s="710"/>
      <c r="H599" s="710"/>
      <c r="I599" s="710"/>
      <c r="J599" s="712"/>
      <c r="K599" s="712"/>
      <c r="L599" s="712"/>
      <c r="AQ599" s="713"/>
      <c r="BZ599" t="s">
        <v>350</v>
      </c>
      <c r="CA599" s="112" t="s">
        <v>200</v>
      </c>
      <c r="CB599" t="s">
        <v>201</v>
      </c>
      <c r="CC599" t="s">
        <v>202</v>
      </c>
      <c r="CD599"/>
      <c r="CE599"/>
      <c r="CF599"/>
      <c r="CG599" s="122"/>
    </row>
    <row r="600" spans="1:100" customFormat="1" ht="30" customHeight="1">
      <c r="A600" s="112" t="str">
        <f>IF($C$13=1,IF(K600="报价行",IF(F600&gt;0,1," ")," ")," ")</f>
        <v xml:space="preserve"> </v>
      </c>
      <c r="B600" s="414" t="str">
        <f>IF(A600=1,SUM($A$11:A600),"B横梁")</f>
        <v>B横梁</v>
      </c>
      <c r="C600" s="460" t="s">
        <v>351</v>
      </c>
      <c r="D600" s="714">
        <f>E601</f>
        <v>1372</v>
      </c>
      <c r="E600" s="715" t="str">
        <f>VLOOKUP(D601,常规材料表!$1:$1048576,28,0)&amp;VLOOKUP(D602,常规材料表!$1:$1048576,28,0)&amp;", "&amp;IF(E602&gt;0,E602&amp;" kg/level,"," ")</f>
        <v xml:space="preserve">B80*50*1.5 mm,pitch 76.2, 3 claws, H225,  </v>
      </c>
      <c r="F600" s="460"/>
      <c r="G600" s="429" t="str">
        <f>IFERROR(Y600+D604*F604/F600,"-")</f>
        <v>-</v>
      </c>
      <c r="H600" s="429">
        <f>IFERROR(X600+H604,"-")</f>
        <v>33.216885755133916</v>
      </c>
      <c r="I600" s="460" t="s">
        <v>341</v>
      </c>
      <c r="J600" s="54"/>
      <c r="K600" s="423" t="s">
        <v>217</v>
      </c>
      <c r="L600" s="54"/>
      <c r="O600" s="425" t="s">
        <v>734</v>
      </c>
      <c r="P600" s="250"/>
      <c r="R600" t="s">
        <v>219</v>
      </c>
      <c r="S600" s="427" t="s">
        <v>21</v>
      </c>
      <c r="T600" s="716">
        <f>(T602*Y602+T603*Y603)/Y600</f>
        <v>3.465937120505707</v>
      </c>
      <c r="U600" s="716">
        <f>(U602*Y602+U603*Y603)/Y600</f>
        <v>0.61367630190660949</v>
      </c>
      <c r="V600" s="716">
        <f>(V602*Y602+V603*Y603)/Y600</f>
        <v>0.52205299895992385</v>
      </c>
      <c r="W600" s="716">
        <f>AP602/Y600/1.13</f>
        <v>4.4562106428311571E-2</v>
      </c>
      <c r="X600" s="716">
        <f>SUM(T600:W600)*Y600</f>
        <v>33.216885755133916</v>
      </c>
      <c r="Y600" s="716">
        <f>SUM(Y602:Y603)</f>
        <v>7.1492147999999993</v>
      </c>
      <c r="Z600" s="716"/>
      <c r="AQ600" s="110"/>
      <c r="AX600" t="str">
        <f>VLOOKUP(D601,常规材料表!$1:$1048576,28,0)</f>
        <v>B80*50*1.5 mm,</v>
      </c>
      <c r="AY600" s="494">
        <f>D600</f>
        <v>1372</v>
      </c>
      <c r="AZ600">
        <f>F600</f>
        <v>0</v>
      </c>
      <c r="BA600" s="256" t="str">
        <f>G600</f>
        <v>-</v>
      </c>
      <c r="BB600" t="e">
        <f>AZ600*BA600</f>
        <v>#VALUE!</v>
      </c>
      <c r="BC600" t="str">
        <f>VLOOKUP(D602,常规材料表!$1:$1048576,28,0)</f>
        <v>pitch 76.2, 3 claws, H225</v>
      </c>
      <c r="BE600" t="str">
        <f>"面宽"&amp;VLOOKUP(AA602,常规材料表!$1:$1048576,18,0)</f>
        <v>面宽60</v>
      </c>
      <c r="BQ600" t="str">
        <f>D606</f>
        <v>Q235</v>
      </c>
      <c r="BR600" t="str">
        <f>I600</f>
        <v>Orange Ral2004</v>
      </c>
      <c r="BZ600" t="s">
        <v>350</v>
      </c>
      <c r="CA600" s="112" t="s">
        <v>200</v>
      </c>
      <c r="CB600" t="s">
        <v>201</v>
      </c>
      <c r="CC600" t="s">
        <v>202</v>
      </c>
      <c r="CG600" s="122"/>
      <c r="CV600" s="388"/>
    </row>
    <row r="601" spans="1:100" customFormat="1" ht="30" customHeight="1" outlineLevel="1">
      <c r="A601" s="112"/>
      <c r="B601" s="418" t="s">
        <v>350</v>
      </c>
      <c r="C601" s="418" t="s">
        <v>166</v>
      </c>
      <c r="D601" s="667" t="s">
        <v>381</v>
      </c>
      <c r="E601" s="636">
        <v>1372</v>
      </c>
      <c r="F601" s="418"/>
      <c r="G601" s="514" t="s">
        <v>236</v>
      </c>
      <c r="H601" s="418"/>
      <c r="I601" s="418"/>
      <c r="J601" t="s">
        <v>449</v>
      </c>
      <c r="K601" s="54" t="s">
        <v>237</v>
      </c>
      <c r="L601" s="54"/>
      <c r="O601" s="425" t="s">
        <v>734</v>
      </c>
      <c r="P601" s="250"/>
      <c r="R601" s="717" t="s">
        <v>238</v>
      </c>
      <c r="S601" s="699" t="s">
        <v>239</v>
      </c>
      <c r="T601" s="717" t="s">
        <v>240</v>
      </c>
      <c r="U601" s="717" t="s">
        <v>241</v>
      </c>
      <c r="V601" s="717" t="s">
        <v>242</v>
      </c>
      <c r="W601" s="699" t="s">
        <v>207</v>
      </c>
      <c r="X601" s="699" t="s">
        <v>243</v>
      </c>
      <c r="Y601" s="699" t="s">
        <v>244</v>
      </c>
      <c r="Z601" s="699" t="s">
        <v>159</v>
      </c>
      <c r="AA601" s="506" t="s">
        <v>353</v>
      </c>
      <c r="AB601" s="718" t="s">
        <v>354</v>
      </c>
      <c r="AC601" s="718" t="s">
        <v>355</v>
      </c>
      <c r="AD601" s="448" t="s">
        <v>285</v>
      </c>
      <c r="AE601" s="418" t="s">
        <v>318</v>
      </c>
      <c r="AF601" s="717" t="s">
        <v>226</v>
      </c>
      <c r="AG601" s="717" t="s">
        <v>356</v>
      </c>
      <c r="AH601" s="717" t="s">
        <v>357</v>
      </c>
      <c r="AI601" s="718" t="s">
        <v>358</v>
      </c>
      <c r="AJ601" s="718" t="s">
        <v>359</v>
      </c>
      <c r="AK601" s="719" t="s">
        <v>360</v>
      </c>
      <c r="AL601" s="717" t="s">
        <v>231</v>
      </c>
      <c r="AM601" s="717" t="s">
        <v>232</v>
      </c>
      <c r="AN601" s="717" t="s">
        <v>102</v>
      </c>
      <c r="AO601" s="717" t="s">
        <v>74</v>
      </c>
      <c r="AP601" s="717" t="s">
        <v>21</v>
      </c>
      <c r="AQ601" s="110"/>
      <c r="AU601">
        <f>IFERROR(IF(J602&gt;0,Y602*F600,0),"-")</f>
        <v>0</v>
      </c>
      <c r="AV601">
        <f>IFERROR(IF(J602=0,Y602*F600,0),"-")</f>
        <v>0</v>
      </c>
      <c r="AX601" t="s">
        <v>156</v>
      </c>
      <c r="AY601" t="s">
        <v>246</v>
      </c>
      <c r="AZ601" t="s">
        <v>102</v>
      </c>
      <c r="BA601" t="s">
        <v>158</v>
      </c>
      <c r="BB601" t="s">
        <v>247</v>
      </c>
      <c r="BC601" t="s">
        <v>248</v>
      </c>
      <c r="BD601" t="s">
        <v>249</v>
      </c>
      <c r="BE601" t="s">
        <v>250</v>
      </c>
      <c r="BF601" t="s">
        <v>251</v>
      </c>
      <c r="BG601" t="s">
        <v>252</v>
      </c>
      <c r="BH601" t="s">
        <v>253</v>
      </c>
      <c r="BI601" t="s">
        <v>254</v>
      </c>
      <c r="BJ601" t="s">
        <v>255</v>
      </c>
      <c r="BK601" t="s">
        <v>256</v>
      </c>
      <c r="BL601" t="s">
        <v>257</v>
      </c>
      <c r="BM601" t="s">
        <v>258</v>
      </c>
      <c r="BQ601" t="s">
        <v>262</v>
      </c>
      <c r="BR601" t="s">
        <v>155</v>
      </c>
      <c r="BZ601" t="s">
        <v>350</v>
      </c>
      <c r="CA601" s="112" t="s">
        <v>200</v>
      </c>
      <c r="CB601" t="s">
        <v>201</v>
      </c>
      <c r="CC601" t="s">
        <v>202</v>
      </c>
      <c r="CG601" s="122"/>
      <c r="CV601" s="388"/>
    </row>
    <row r="602" spans="1:100" customFormat="1" ht="30" customHeight="1" outlineLevel="1">
      <c r="A602" s="112"/>
      <c r="B602" s="418"/>
      <c r="C602" s="418" t="s">
        <v>362</v>
      </c>
      <c r="D602" s="667" t="s">
        <v>727</v>
      </c>
      <c r="E602" s="636"/>
      <c r="F602" s="418"/>
      <c r="G602" s="515" t="str">
        <f>G601</f>
        <v>喷塑</v>
      </c>
      <c r="H602" s="418"/>
      <c r="I602" s="418"/>
      <c r="J602" s="667">
        <f>IFERROR(IF(D606="Q355",IFERROR(IF(G601="预镀锌",VLOOKUP(D601,常规材料表!$1:$1048576,30,0),VLOOKUP(D601,常规材料表!$1:$1048576,29,0)),0),0),0)</f>
        <v>0</v>
      </c>
      <c r="K602" s="54" t="s">
        <v>237</v>
      </c>
      <c r="L602" s="54"/>
      <c r="O602" s="425" t="s">
        <v>734</v>
      </c>
      <c r="P602" s="250"/>
      <c r="Q602" s="388" t="s">
        <v>350</v>
      </c>
      <c r="R602" s="719">
        <f>IF(AD602&gt;0,AD602,AG602)</f>
        <v>3.69</v>
      </c>
      <c r="S602" s="458">
        <v>1.01</v>
      </c>
      <c r="T602" s="720">
        <f>R602*S602/1.13</f>
        <v>3.2981415929203544</v>
      </c>
      <c r="U602" s="721">
        <f>AH602/Y602+0.25</f>
        <v>0.6897210288024378</v>
      </c>
      <c r="V602" s="721">
        <f>AI602*AC602*AF602/1000000/1.13/Y602</f>
        <v>0.49118006318193713</v>
      </c>
      <c r="W602" s="721"/>
      <c r="X602" s="720">
        <f>(T602+U602+V602+W602)*Y602</f>
        <v>26.483861853203539</v>
      </c>
      <c r="Y602" s="721">
        <f>AK602*AJ602*AC602*Z606*2/1000000</f>
        <v>5.9128397999999995</v>
      </c>
      <c r="Z602" s="721">
        <f>Y602*AB602</f>
        <v>5.9128397999999995</v>
      </c>
      <c r="AA602" s="513" t="str">
        <f>D601</f>
        <v>B8050.15</v>
      </c>
      <c r="AB602" s="460">
        <v>1</v>
      </c>
      <c r="AC602" s="536">
        <f>E601</f>
        <v>1372</v>
      </c>
      <c r="AD602" s="471">
        <f>J602</f>
        <v>0</v>
      </c>
      <c r="AE602" s="514" t="str">
        <f>G601</f>
        <v>喷塑</v>
      </c>
      <c r="AF602" s="722">
        <f>IF(AE602="预镀锌",0,IF(AE602="喷塑",VLOOKUP(AA602,常规材料表!$1:$1048576,12,0),IF(AE602="热镀锌",VLOOKUP(AA602,常规材料表!$1:$1048576,13,0),IF(AE602="冷镀锌",VLOOKUP(AA602,常规材料表!$1:$1048576,15,0),0))))</f>
        <v>9.1999999999999993</v>
      </c>
      <c r="AG602" s="722">
        <f>VLOOKUP(AA602,常规材料表!$1:$1048576,10,0)</f>
        <v>3.69</v>
      </c>
      <c r="AH602" s="722">
        <f>IF(AE602="预镀锌",VLOOKUP(AA602,常规材料表!$1:$1048576,11,0)+VLOOKUP(AA602,常规材料表!$1:$1048576,14,0),VLOOKUP(AA602,常规材料表!$1:$1048576,11,0))+IF(AC602&lt;8000,0,VLOOKUP(AA602,常规材料表!$1:$1048576,16,0))</f>
        <v>2.6</v>
      </c>
      <c r="AI602" s="722">
        <f>(VLOOKUP(AA602,常规材料表!$1:$1048576,8,0)+VLOOKUP(AA602,常规材料表!$1:$1048576,9,0))*2</f>
        <v>260</v>
      </c>
      <c r="AJ602" s="722">
        <f>VLOOKUP(AA602,常规材料表!$1:$1048576,6,0)</f>
        <v>1.5</v>
      </c>
      <c r="AK602" s="719">
        <f>VLOOKUP(AA602,常规材料表!$1:$1048576,7,0)</f>
        <v>183</v>
      </c>
      <c r="AL602" s="719" t="s">
        <v>363</v>
      </c>
      <c r="AM602" s="719" t="str">
        <f>VLOOKUP(AA606,常规材料表!$1:$1048576,17,0)</f>
        <v>S.Pin.ø7.L38</v>
      </c>
      <c r="AN602" s="719">
        <f>VLOOKUP(AA606,常规材料表!$1:$1048576,18,0)</f>
        <v>2</v>
      </c>
      <c r="AO602" s="721">
        <f>VLOOKUP(AM602,标准件价格!$C:$D,2,0)</f>
        <v>0.18</v>
      </c>
      <c r="AP602" s="719">
        <f>AN602*AO602</f>
        <v>0.36</v>
      </c>
      <c r="AQ602" s="110"/>
      <c r="BZ602" t="s">
        <v>350</v>
      </c>
      <c r="CA602" s="112" t="s">
        <v>200</v>
      </c>
      <c r="CB602" t="s">
        <v>201</v>
      </c>
      <c r="CC602" t="s">
        <v>202</v>
      </c>
      <c r="CG602" s="122"/>
      <c r="CV602" s="388"/>
    </row>
    <row r="603" spans="1:100" customFormat="1" ht="30" customHeight="1" outlineLevel="1">
      <c r="A603" s="112"/>
      <c r="B603" s="418"/>
      <c r="C603" s="486" t="s">
        <v>367</v>
      </c>
      <c r="D603" s="418"/>
      <c r="E603" s="415"/>
      <c r="F603" s="418"/>
      <c r="G603" s="418"/>
      <c r="H603" s="418"/>
      <c r="I603" s="418"/>
      <c r="J603" s="610" t="s">
        <v>456</v>
      </c>
      <c r="K603" s="54" t="s">
        <v>237</v>
      </c>
      <c r="L603" s="54"/>
      <c r="O603" s="425" t="s">
        <v>734</v>
      </c>
      <c r="P603" s="250"/>
      <c r="Q603" t="s">
        <v>362</v>
      </c>
      <c r="R603" s="719">
        <f>AG606/Y603</f>
        <v>4.775539376576023</v>
      </c>
      <c r="S603" s="458">
        <v>1.01</v>
      </c>
      <c r="T603" s="720">
        <f>R603*S603/1.13</f>
        <v>4.2684024516298971</v>
      </c>
      <c r="U603" s="719">
        <v>0.25</v>
      </c>
      <c r="V603" s="721">
        <f>AH606*AF606/Y603</f>
        <v>0.6696997270245677</v>
      </c>
      <c r="W603" s="721">
        <f>SUM(AP602:AP602)/1.13/Y603</f>
        <v>0.25767592421106877</v>
      </c>
      <c r="X603" s="720">
        <f>(T603+U603+V603+W603)*Y603</f>
        <v>6.7330239019303733</v>
      </c>
      <c r="Y603" s="721">
        <f>VLOOKUP(AA606,常规材料表!$1:$1048576,3,0)</f>
        <v>1.236375</v>
      </c>
      <c r="Z603" s="721">
        <f>Y603*AB602</f>
        <v>1.236375</v>
      </c>
      <c r="AA603" s="506" t="s">
        <v>365</v>
      </c>
      <c r="AE603" s="418" t="s">
        <v>334</v>
      </c>
      <c r="AF603" s="717" t="s">
        <v>226</v>
      </c>
      <c r="AG603" s="719" t="s">
        <v>366</v>
      </c>
      <c r="AH603" s="719" t="s">
        <v>336</v>
      </c>
      <c r="AQ603" s="110"/>
      <c r="BZ603" t="s">
        <v>350</v>
      </c>
      <c r="CA603" s="112" t="s">
        <v>200</v>
      </c>
      <c r="CB603" t="s">
        <v>201</v>
      </c>
      <c r="CC603" t="s">
        <v>202</v>
      </c>
      <c r="CG603" s="122"/>
      <c r="CV603" s="388"/>
    </row>
    <row r="604" spans="1:100" customFormat="1" ht="30" customHeight="1" outlineLevel="1">
      <c r="A604" s="112"/>
      <c r="B604" s="418"/>
      <c r="C604" s="418" t="s">
        <v>481</v>
      </c>
      <c r="D604" s="640"/>
      <c r="E604" s="547">
        <f>4.24</f>
        <v>4.24</v>
      </c>
      <c r="F604" s="702">
        <f>IF(D604&gt;0,F600,0)</f>
        <v>0</v>
      </c>
      <c r="G604" s="418"/>
      <c r="H604" s="418">
        <f>IFERROR(D604*(E604*1.02+E605+D605*1.13)/1.13*F604/F600,0)</f>
        <v>0</v>
      </c>
      <c r="I604" s="418"/>
      <c r="J604" s="723"/>
      <c r="K604" s="54"/>
      <c r="L604" s="54"/>
      <c r="O604" s="425" t="s">
        <v>734</v>
      </c>
      <c r="P604" s="250"/>
      <c r="R604" s="719"/>
      <c r="S604" s="458"/>
      <c r="T604" s="720"/>
      <c r="U604" s="724"/>
      <c r="V604" s="725"/>
      <c r="W604" s="721"/>
      <c r="X604" s="720"/>
      <c r="Y604" s="721"/>
      <c r="Z604" s="721"/>
      <c r="AA604" s="506"/>
      <c r="AE604" s="418"/>
      <c r="AF604" s="717"/>
      <c r="AG604" s="719"/>
      <c r="AH604" s="719"/>
      <c r="AQ604" s="110"/>
      <c r="BZ604" t="s">
        <v>350</v>
      </c>
      <c r="CA604" s="112" t="s">
        <v>200</v>
      </c>
      <c r="CB604" t="s">
        <v>201</v>
      </c>
      <c r="CC604" t="s">
        <v>202</v>
      </c>
      <c r="CG604" s="122"/>
      <c r="CV604" s="388"/>
    </row>
    <row r="605" spans="1:100" customFormat="1" ht="30" customHeight="1" outlineLevel="1">
      <c r="A605" s="112"/>
      <c r="B605" s="418"/>
      <c r="C605" s="726">
        <v>1</v>
      </c>
      <c r="D605" s="460">
        <f>IFERROR(((0.8*C605+0.4)*D600/1000+0.4)/D604,0)</f>
        <v>0</v>
      </c>
      <c r="E605" s="460">
        <v>0.95</v>
      </c>
      <c r="F605" s="463"/>
      <c r="G605" s="418"/>
      <c r="H605" s="418"/>
      <c r="I605" s="418" t="s">
        <v>711</v>
      </c>
      <c r="J605" s="723"/>
      <c r="K605" s="54"/>
      <c r="L605" s="54"/>
      <c r="O605" s="425" t="s">
        <v>734</v>
      </c>
      <c r="P605" s="250"/>
      <c r="R605" s="719"/>
      <c r="S605" s="458"/>
      <c r="T605" s="720"/>
      <c r="U605" s="724"/>
      <c r="V605" s="725"/>
      <c r="W605" s="721"/>
      <c r="X605" s="720"/>
      <c r="Y605" s="721"/>
      <c r="Z605" s="721"/>
      <c r="AA605" s="506"/>
      <c r="AE605" s="418"/>
      <c r="AF605" s="717"/>
      <c r="AG605" s="719"/>
      <c r="AH605" s="719"/>
      <c r="AQ605" s="110"/>
      <c r="BZ605" t="s">
        <v>350</v>
      </c>
      <c r="CA605" s="112" t="s">
        <v>200</v>
      </c>
      <c r="CB605" t="s">
        <v>201</v>
      </c>
      <c r="CC605" t="s">
        <v>202</v>
      </c>
      <c r="CG605" s="122"/>
      <c r="CV605" s="388"/>
    </row>
    <row r="606" spans="1:100" customFormat="1" ht="30" customHeight="1" outlineLevel="1">
      <c r="A606" s="112"/>
      <c r="B606" s="414">
        <v>0</v>
      </c>
      <c r="C606" s="418" t="s">
        <v>728</v>
      </c>
      <c r="D606" s="651" t="s">
        <v>8</v>
      </c>
      <c r="E606" s="415"/>
      <c r="F606" s="418"/>
      <c r="G606" s="418"/>
      <c r="H606" s="418"/>
      <c r="I606" s="418"/>
      <c r="K606" s="54" t="s">
        <v>237</v>
      </c>
      <c r="L606" s="54"/>
      <c r="O606" s="425" t="s">
        <v>734</v>
      </c>
      <c r="P606" s="250"/>
      <c r="R606" s="428" t="s">
        <v>412</v>
      </c>
      <c r="S606" s="458">
        <v>1.25</v>
      </c>
      <c r="T606" s="428" t="s">
        <v>424</v>
      </c>
      <c r="U606" s="727">
        <v>7</v>
      </c>
      <c r="W606" s="414" t="s">
        <v>34</v>
      </c>
      <c r="X606" s="728">
        <f>X600*S606/U606</f>
        <v>5.9315867419881991</v>
      </c>
      <c r="Y606" s="717" t="s">
        <v>277</v>
      </c>
      <c r="Z606" s="458">
        <v>7.85</v>
      </c>
      <c r="AA606" s="513" t="str">
        <f>D602</f>
        <v>Bracket.NZ76-3H+pin</v>
      </c>
      <c r="AE606" s="514" t="str">
        <f>G602</f>
        <v>喷塑</v>
      </c>
      <c r="AF606" s="722">
        <f>IF(AE606="预镀锌",0,IF(AE606="喷塑",VLOOKUP(AA606,常规材料表!$1:$1048576,12,0),IF(AE606="热镀锌",VLOOKUP(AA606,常规材料表!$1:$1048576,13,0),IF(AE606="冷镀锌",VLOOKUP(AA606,常规材料表!$1:$1048576,15,0),0))))</f>
        <v>9.1999999999999993</v>
      </c>
      <c r="AG606" s="722">
        <f>VLOOKUP(AA606,常规材料表!$1:$1048576,10,0)</f>
        <v>5.9043574967141801</v>
      </c>
      <c r="AH606" s="719">
        <f>VLOOKUP(AA606,常规材料表!$1:$1048576,4,0)</f>
        <v>0.09</v>
      </c>
      <c r="AQ606" s="110"/>
      <c r="BZ606" t="s">
        <v>350</v>
      </c>
      <c r="CA606" s="112" t="s">
        <v>200</v>
      </c>
      <c r="CB606" t="s">
        <v>201</v>
      </c>
      <c r="CC606" t="s">
        <v>202</v>
      </c>
      <c r="CG606" s="122"/>
      <c r="CV606" s="388"/>
    </row>
    <row r="607" spans="1:100" s="379" customFormat="1" ht="30" customHeight="1">
      <c r="A607" s="709"/>
      <c r="B607" s="710"/>
      <c r="C607" s="710"/>
      <c r="D607" s="710"/>
      <c r="E607" s="711"/>
      <c r="F607" s="710"/>
      <c r="G607" s="710"/>
      <c r="H607" s="710"/>
      <c r="I607" s="710"/>
      <c r="J607" s="712"/>
      <c r="K607" s="712"/>
      <c r="L607" s="712"/>
      <c r="AQ607" s="713"/>
      <c r="BZ607" t="s">
        <v>350</v>
      </c>
      <c r="CA607" s="112" t="s">
        <v>200</v>
      </c>
      <c r="CB607" t="s">
        <v>201</v>
      </c>
      <c r="CC607" t="s">
        <v>202</v>
      </c>
      <c r="CD607"/>
      <c r="CE607"/>
      <c r="CF607"/>
      <c r="CG607" s="122"/>
    </row>
    <row r="608" spans="1:100" customFormat="1" ht="30" customHeight="1">
      <c r="A608" s="112" t="str">
        <f>IF($C$13=1,IF(K608="报价行",IF(F608&gt;0,1," ")," ")," ")</f>
        <v xml:space="preserve"> </v>
      </c>
      <c r="B608" s="414" t="str">
        <f>IF(A608=1,SUM($A$11:A608),"HS&amp;P&amp;C&amp;L型横梁")</f>
        <v>HS&amp;P&amp;C&amp;L型横梁</v>
      </c>
      <c r="C608" s="460" t="s">
        <v>376</v>
      </c>
      <c r="D608" s="714">
        <f>E609</f>
        <v>2743</v>
      </c>
      <c r="E608" s="715" t="str">
        <f>VLOOKUP(D609,常规材料表!$1:$1048576,28,0)&amp;VLOOKUP(D610,常规材料表!$1:$1048576,28,0)&amp;", "&amp;IF(E610&gt;0,E610&amp;" kg/level,"," ")</f>
        <v>P80*50*2 mm,pitch 76.2, 3 claws, H225, 688 kg/level,</v>
      </c>
      <c r="F608" s="460"/>
      <c r="G608" s="699" t="str">
        <f>IFERROR(Y608+D612*F612/F608,"-")</f>
        <v>-</v>
      </c>
      <c r="H608" s="699">
        <f>IFERROR(X608+H612,"-")</f>
        <v>59.459276596726831</v>
      </c>
      <c r="I608" s="460" t="s">
        <v>341</v>
      </c>
      <c r="J608" s="54"/>
      <c r="K608" s="423" t="s">
        <v>217</v>
      </c>
      <c r="L608" s="54"/>
      <c r="O608" s="425" t="s">
        <v>735</v>
      </c>
      <c r="P608" s="250"/>
      <c r="R608" t="s">
        <v>219</v>
      </c>
      <c r="S608" s="427" t="s">
        <v>21</v>
      </c>
      <c r="T608" s="716">
        <f>(T610*Y610+T611*Y611)/Y608</f>
        <v>3.8948575007586221</v>
      </c>
      <c r="U608" s="716">
        <f>(U610*Y610+U611*Y611)/Y608</f>
        <v>0.44853119672074104</v>
      </c>
      <c r="V608" s="716">
        <f>(V610*Y610+V611*Y611)/Y608</f>
        <v>0.54880816171494728</v>
      </c>
      <c r="W608" s="716">
        <f>AP610/Y608/1.13</f>
        <v>2.6353698679744395E-2</v>
      </c>
      <c r="X608" s="716">
        <f>SUM(T608:W608)*Y608</f>
        <v>59.459276596726831</v>
      </c>
      <c r="Y608" s="716">
        <f>SUM(Y610:Y611)</f>
        <v>12.0887802</v>
      </c>
      <c r="Z608" s="716"/>
      <c r="AA608" t="s">
        <v>325</v>
      </c>
      <c r="AQ608" s="110"/>
      <c r="AX608" t="str">
        <f>VLOOKUP(D609,常规材料表!$1:$1048576,28,0)</f>
        <v>P80*50*2 mm,</v>
      </c>
      <c r="AY608" s="494">
        <f>D608</f>
        <v>2743</v>
      </c>
      <c r="AZ608">
        <f>F608</f>
        <v>0</v>
      </c>
      <c r="BA608" s="256" t="str">
        <f>G608</f>
        <v>-</v>
      </c>
      <c r="BB608" t="e">
        <f>AZ608*BA608</f>
        <v>#VALUE!</v>
      </c>
      <c r="BC608" t="str">
        <f>VLOOKUP(D610,常规材料表!$1:$1048576,28,0)</f>
        <v>pitch 76.2, 3 claws, H225</v>
      </c>
      <c r="BE608" t="str">
        <f>"面宽"&amp;VLOOKUP(AA610,常规材料表!$1:$1048576,18,0)</f>
        <v>面宽60</v>
      </c>
      <c r="BR608" t="str">
        <f>I608</f>
        <v>Orange Ral2004</v>
      </c>
      <c r="BZ608" t="s">
        <v>369</v>
      </c>
      <c r="CA608" s="112" t="s">
        <v>200</v>
      </c>
      <c r="CB608" t="s">
        <v>201</v>
      </c>
      <c r="CC608" t="s">
        <v>202</v>
      </c>
      <c r="CD608" t="s">
        <v>203</v>
      </c>
      <c r="CG608" s="122"/>
      <c r="CV608" s="388"/>
    </row>
    <row r="609" spans="1:100" customFormat="1" ht="30" customHeight="1" outlineLevel="1">
      <c r="A609" s="112"/>
      <c r="B609" s="460" t="s">
        <v>369</v>
      </c>
      <c r="C609" s="418" t="s">
        <v>166</v>
      </c>
      <c r="D609" s="513" t="s">
        <v>736</v>
      </c>
      <c r="E609" s="636">
        <v>2743</v>
      </c>
      <c r="F609" s="418"/>
      <c r="G609" s="514" t="s">
        <v>236</v>
      </c>
      <c r="H609" s="418"/>
      <c r="I609" s="418"/>
      <c r="J609" s="54"/>
      <c r="K609" s="54" t="s">
        <v>237</v>
      </c>
      <c r="L609" s="54"/>
      <c r="O609" s="425" t="s">
        <v>735</v>
      </c>
      <c r="P609" s="250"/>
      <c r="R609" s="717" t="s">
        <v>238</v>
      </c>
      <c r="S609" s="699" t="s">
        <v>239</v>
      </c>
      <c r="T609" s="717" t="s">
        <v>240</v>
      </c>
      <c r="U609" s="717" t="s">
        <v>241</v>
      </c>
      <c r="V609" s="717" t="s">
        <v>242</v>
      </c>
      <c r="W609" s="699" t="s">
        <v>207</v>
      </c>
      <c r="X609" s="414" t="s">
        <v>243</v>
      </c>
      <c r="Y609" s="414" t="s">
        <v>244</v>
      </c>
      <c r="Z609" s="414" t="s">
        <v>159</v>
      </c>
      <c r="AA609" s="506" t="s">
        <v>353</v>
      </c>
      <c r="AB609" s="718" t="s">
        <v>354</v>
      </c>
      <c r="AC609" s="718" t="s">
        <v>355</v>
      </c>
      <c r="AD609" s="719"/>
      <c r="AE609" s="418" t="s">
        <v>318</v>
      </c>
      <c r="AF609" s="717" t="s">
        <v>226</v>
      </c>
      <c r="AG609" s="717" t="s">
        <v>356</v>
      </c>
      <c r="AH609" s="717" t="s">
        <v>357</v>
      </c>
      <c r="AI609" s="718" t="s">
        <v>358</v>
      </c>
      <c r="AJ609" s="718" t="s">
        <v>359</v>
      </c>
      <c r="AK609" s="719" t="s">
        <v>360</v>
      </c>
      <c r="AL609" s="717" t="s">
        <v>231</v>
      </c>
      <c r="AM609" s="717" t="s">
        <v>232</v>
      </c>
      <c r="AN609" s="717" t="s">
        <v>102</v>
      </c>
      <c r="AO609" s="717" t="s">
        <v>74</v>
      </c>
      <c r="AP609" s="717" t="s">
        <v>21</v>
      </c>
      <c r="AQ609" s="110"/>
      <c r="AW609">
        <f>IFERROR(Y610*F608,"-")</f>
        <v>0</v>
      </c>
      <c r="AX609" t="s">
        <v>156</v>
      </c>
      <c r="AY609" t="s">
        <v>246</v>
      </c>
      <c r="AZ609" t="s">
        <v>102</v>
      </c>
      <c r="BA609" t="s">
        <v>158</v>
      </c>
      <c r="BB609" t="s">
        <v>247</v>
      </c>
      <c r="BC609" t="s">
        <v>248</v>
      </c>
      <c r="BD609" t="s">
        <v>249</v>
      </c>
      <c r="BE609" t="s">
        <v>250</v>
      </c>
      <c r="BF609" t="s">
        <v>251</v>
      </c>
      <c r="BG609" t="s">
        <v>252</v>
      </c>
      <c r="BH609" t="s">
        <v>253</v>
      </c>
      <c r="BI609" t="s">
        <v>254</v>
      </c>
      <c r="BJ609" t="s">
        <v>255</v>
      </c>
      <c r="BK609" t="s">
        <v>256</v>
      </c>
      <c r="BL609" t="s">
        <v>257</v>
      </c>
      <c r="BM609" t="s">
        <v>258</v>
      </c>
      <c r="BZ609" t="s">
        <v>369</v>
      </c>
      <c r="CA609" s="112" t="s">
        <v>200</v>
      </c>
      <c r="CB609" t="s">
        <v>201</v>
      </c>
      <c r="CC609" t="s">
        <v>202</v>
      </c>
      <c r="CD609" t="s">
        <v>203</v>
      </c>
      <c r="CG609" s="122"/>
      <c r="CV609" s="388"/>
    </row>
    <row r="610" spans="1:100" customFormat="1" ht="30" customHeight="1" outlineLevel="1">
      <c r="A610" s="112"/>
      <c r="B610" s="460"/>
      <c r="C610" s="418" t="s">
        <v>362</v>
      </c>
      <c r="D610" s="667" t="s">
        <v>727</v>
      </c>
      <c r="E610" s="636">
        <v>688</v>
      </c>
      <c r="F610" s="418"/>
      <c r="G610" s="515" t="str">
        <f>G609</f>
        <v>喷塑</v>
      </c>
      <c r="H610" s="418"/>
      <c r="I610" s="418"/>
      <c r="J610" s="54"/>
      <c r="K610" s="54" t="s">
        <v>237</v>
      </c>
      <c r="L610" s="54"/>
      <c r="O610" s="425" t="s">
        <v>735</v>
      </c>
      <c r="P610" s="250"/>
      <c r="Q610" s="388" t="s">
        <v>330</v>
      </c>
      <c r="R610" s="719">
        <f>AG610</f>
        <v>4.3099999999999996</v>
      </c>
      <c r="S610" s="458">
        <v>1.01</v>
      </c>
      <c r="T610" s="720">
        <f>R610*S610/1.13</f>
        <v>3.8523008849557523</v>
      </c>
      <c r="U610" s="729">
        <f>AH610/Y610+0.25</f>
        <v>0.47114913291295091</v>
      </c>
      <c r="V610" s="729">
        <f>IF(AE610="喷塑",AI610*AC610*AF610/1000000/1.13/Y610,AF610/1.13)</f>
        <v>0.5350354259660387</v>
      </c>
      <c r="W610" s="729"/>
      <c r="X610" s="720">
        <f>(T610+U610+V610)*Y610</f>
        <v>52.726252694796464</v>
      </c>
      <c r="Y610" s="721">
        <f>AK610*AJ610*AC610*Z613/1000000</f>
        <v>10.8524052</v>
      </c>
      <c r="Z610" s="719">
        <f>Y610*AB610</f>
        <v>10.8524052</v>
      </c>
      <c r="AA610" s="513" t="str">
        <f>D609</f>
        <v>P8050/28.20</v>
      </c>
      <c r="AB610" s="460">
        <v>1</v>
      </c>
      <c r="AC610" s="460">
        <f>E609</f>
        <v>2743</v>
      </c>
      <c r="AD610" s="719"/>
      <c r="AE610" s="514" t="str">
        <f>G609</f>
        <v>喷塑</v>
      </c>
      <c r="AF610" s="722">
        <f>IF(AE610="预镀锌",0,IF(AE610="喷塑",VLOOKUP(AA610,常规材料表!$1:$1048576,12,0),IF(AE610="热镀锌",VLOOKUP(AA610,常规材料表!$1:$1048576,13,0),IF(AE610="冷镀锌",VLOOKUP(AA610,常规材料表!$1:$1048576,15,0),0))))</f>
        <v>9.1999999999999993</v>
      </c>
      <c r="AG610" s="722">
        <f>VLOOKUP(AA610,常规材料表!$1:$1048576,10,0)</f>
        <v>4.3099999999999996</v>
      </c>
      <c r="AH610" s="722">
        <f>IF(AE610="预镀锌",VLOOKUP(AA610,常规材料表!$1:$1048576,11,0)+VLOOKUP(AA610,常规材料表!$1:$1048576,14,0),VLOOKUP(AA610,常规材料表!$1:$1048576,11,0))+IF(AC610&lt;8000,0,VLOOKUP(AA610,常规材料表!$1:$1048576,16,0))+IF(AC610&gt;1200,VLOOKUP(AA610,常规材料表!$1:$1048576,16,0),0)</f>
        <v>2.4</v>
      </c>
      <c r="AI610" s="722">
        <f>2*IF(ISNUMBER(SEARCH("B",AA610)),AK610,(VLOOKUP(AA610,常规材料表!$1:$1048576,8,0)+VLOOKUP(AA610,常规材料表!$1:$1048576,9,0)))</f>
        <v>260</v>
      </c>
      <c r="AJ610" s="722">
        <f>VLOOKUP(AA610,常规材料表!$1:$1048576,6,0)</f>
        <v>2</v>
      </c>
      <c r="AK610" s="719">
        <f>VLOOKUP(AA610,常规材料表!$1:$1048576,7,0)</f>
        <v>252</v>
      </c>
      <c r="AL610" s="719" t="s">
        <v>363</v>
      </c>
      <c r="AM610" s="719" t="str">
        <f>VLOOKUP(AA613,常规材料表!$1:$1048576,17,0)</f>
        <v>S.Pin.ø7.L38</v>
      </c>
      <c r="AN610" s="719">
        <f>VLOOKUP(AA613,常规材料表!$1:$1048576,18,0)</f>
        <v>2</v>
      </c>
      <c r="AO610" s="719">
        <f>VLOOKUP(AM610,标准件价格!$C:$D,2,0)</f>
        <v>0.18</v>
      </c>
      <c r="AP610" s="719">
        <f>AN610*AO610</f>
        <v>0.36</v>
      </c>
      <c r="AQ610" s="110"/>
      <c r="BZ610" t="s">
        <v>369</v>
      </c>
      <c r="CA610" s="112" t="s">
        <v>200</v>
      </c>
      <c r="CB610" t="s">
        <v>201</v>
      </c>
      <c r="CC610" t="s">
        <v>202</v>
      </c>
      <c r="CD610" t="s">
        <v>203</v>
      </c>
      <c r="CG610" s="122"/>
      <c r="CV610" s="388"/>
    </row>
    <row r="611" spans="1:100" customFormat="1" ht="30" customHeight="1" outlineLevel="1">
      <c r="A611" s="112"/>
      <c r="B611" s="460"/>
      <c r="C611" s="112"/>
      <c r="D611" s="463" t="s">
        <v>580</v>
      </c>
      <c r="E611" s="415"/>
      <c r="F611" s="418"/>
      <c r="G611" s="418"/>
      <c r="H611" s="418"/>
      <c r="I611" s="418"/>
      <c r="J611" s="54"/>
      <c r="K611" s="54" t="s">
        <v>237</v>
      </c>
      <c r="L611" s="54"/>
      <c r="O611" s="425" t="s">
        <v>735</v>
      </c>
      <c r="P611" s="250"/>
      <c r="Q611" t="s">
        <v>362</v>
      </c>
      <c r="R611" s="721">
        <f>IFERROR(AG613/Y611,0)</f>
        <v>4.775539376576023</v>
      </c>
      <c r="S611" s="458">
        <v>1.01</v>
      </c>
      <c r="T611" s="720">
        <f>R611*S611/1.13</f>
        <v>4.2684024516298971</v>
      </c>
      <c r="U611" s="717">
        <v>0.25</v>
      </c>
      <c r="V611" s="729">
        <f>IFERROR(IF(AE613="喷塑",AH613*AF613/Y611,AF613/1.13),0)</f>
        <v>0.6696997270245677</v>
      </c>
      <c r="W611" s="729">
        <f>IFERROR(AP610/Y610/1.13,0)</f>
        <v>2.9356079590214731E-2</v>
      </c>
      <c r="X611" s="720">
        <f>IFERROR((T611+U611+V611+W611)*Y611,0)</f>
        <v>6.4507349540372649</v>
      </c>
      <c r="Y611" s="721">
        <f>IFERROR(VLOOKUP(AA613,常规材料表!$1:$1048576,3,0),0)</f>
        <v>1.236375</v>
      </c>
      <c r="Z611" s="719">
        <f>Y611*AB610</f>
        <v>1.236375</v>
      </c>
      <c r="AA611" s="506" t="s">
        <v>365</v>
      </c>
      <c r="AE611" s="418" t="s">
        <v>334</v>
      </c>
      <c r="AF611" s="717" t="s">
        <v>226</v>
      </c>
      <c r="AG611" s="719" t="s">
        <v>366</v>
      </c>
      <c r="AH611" s="719" t="s">
        <v>336</v>
      </c>
      <c r="AQ611" s="110"/>
      <c r="BZ611" t="s">
        <v>369</v>
      </c>
      <c r="CA611" s="112" t="s">
        <v>200</v>
      </c>
      <c r="CB611" t="s">
        <v>201</v>
      </c>
      <c r="CC611" t="s">
        <v>202</v>
      </c>
      <c r="CD611" t="s">
        <v>203</v>
      </c>
      <c r="CG611" s="122"/>
      <c r="CV611" s="388"/>
    </row>
    <row r="612" spans="1:100" customFormat="1" ht="30" customHeight="1" outlineLevel="1">
      <c r="A612" s="112"/>
      <c r="B612" s="460"/>
      <c r="C612" s="418" t="s">
        <v>481</v>
      </c>
      <c r="D612" s="640"/>
      <c r="E612" s="547">
        <f>4.24</f>
        <v>4.24</v>
      </c>
      <c r="F612" s="702">
        <f>IF(D612&gt;0,F608,0)</f>
        <v>0</v>
      </c>
      <c r="G612" s="112"/>
      <c r="H612" s="717">
        <f>IFERROR(D612*(E612*1.02+E613+D613*1.13)/1.13*F612/F608,0)</f>
        <v>0</v>
      </c>
      <c r="I612" s="418" t="s">
        <v>711</v>
      </c>
      <c r="J612" s="54"/>
      <c r="K612" s="54"/>
      <c r="L612" s="54"/>
      <c r="O612" s="425" t="s">
        <v>735</v>
      </c>
      <c r="P612" s="250"/>
      <c r="R612" s="721"/>
      <c r="S612" s="458"/>
      <c r="T612" s="720"/>
      <c r="U612" s="717"/>
      <c r="V612" s="730"/>
      <c r="W612" s="729"/>
      <c r="X612" s="720"/>
      <c r="Y612" s="721"/>
      <c r="Z612" s="719"/>
      <c r="AA612" s="506"/>
      <c r="AE612" s="418"/>
      <c r="AF612" s="717"/>
      <c r="AG612" s="719"/>
      <c r="AH612" s="719"/>
      <c r="AQ612" s="110"/>
      <c r="BZ612" t="s">
        <v>369</v>
      </c>
      <c r="CA612" s="112" t="s">
        <v>200</v>
      </c>
      <c r="CB612" t="s">
        <v>201</v>
      </c>
      <c r="CC612" t="s">
        <v>202</v>
      </c>
      <c r="CD612" t="s">
        <v>203</v>
      </c>
      <c r="CG612" s="122"/>
      <c r="CV612" s="388"/>
    </row>
    <row r="613" spans="1:100" customFormat="1" ht="30" customHeight="1" outlineLevel="1">
      <c r="A613" s="112"/>
      <c r="B613" s="414">
        <v>0</v>
      </c>
      <c r="C613" s="726">
        <v>1</v>
      </c>
      <c r="D613" s="460">
        <f>IFERROR(((0.8*C613+0.4)*D608/1000+0.4)/D612,0)</f>
        <v>0</v>
      </c>
      <c r="E613" s="460">
        <v>0.95</v>
      </c>
      <c r="F613" s="463"/>
      <c r="G613" s="418"/>
      <c r="H613" s="418"/>
      <c r="I613" s="418"/>
      <c r="J613" s="54"/>
      <c r="K613" s="54" t="s">
        <v>237</v>
      </c>
      <c r="L613" s="54"/>
      <c r="O613" s="425" t="s">
        <v>735</v>
      </c>
      <c r="P613" s="250"/>
      <c r="R613" s="418" t="s">
        <v>412</v>
      </c>
      <c r="S613" s="458">
        <v>1.41</v>
      </c>
      <c r="T613" s="418" t="s">
        <v>424</v>
      </c>
      <c r="U613" s="458">
        <v>7</v>
      </c>
      <c r="V613" s="731"/>
      <c r="W613" s="414" t="s">
        <v>34</v>
      </c>
      <c r="X613" s="728">
        <f>X608*S613/U613</f>
        <v>11.976797143054975</v>
      </c>
      <c r="Y613" s="717" t="s">
        <v>277</v>
      </c>
      <c r="Z613" s="458">
        <v>7.85</v>
      </c>
      <c r="AA613" s="513" t="str">
        <f>D610</f>
        <v>Bracket.NZ76-3H+pin</v>
      </c>
      <c r="AE613" s="514" t="str">
        <f>G610</f>
        <v>喷塑</v>
      </c>
      <c r="AF613" s="722">
        <f>IF(AE613="预镀锌",0,IF(AE613="喷塑",VLOOKUP(AA613,常规材料表!$1:$1048576,12,0),IF(AE613="热镀锌",VLOOKUP(AA613,常规材料表!$1:$1048576,13,0),IF(AE613="冷镀锌",VLOOKUP(AA613,常规材料表!$1:$1048576,15,0),0))))</f>
        <v>9.1999999999999993</v>
      </c>
      <c r="AG613" s="722">
        <f>VLOOKUP(AA613,常规材料表!$1:$1048576,10,0)</f>
        <v>5.9043574967141801</v>
      </c>
      <c r="AH613" s="719">
        <f>VLOOKUP(AA613,常规材料表!$1:$1048576,4,0)</f>
        <v>0.09</v>
      </c>
      <c r="AQ613" s="110"/>
      <c r="BZ613" t="s">
        <v>369</v>
      </c>
      <c r="CA613" s="112" t="s">
        <v>200</v>
      </c>
      <c r="CB613" t="s">
        <v>201</v>
      </c>
      <c r="CC613" t="s">
        <v>202</v>
      </c>
      <c r="CD613" t="s">
        <v>203</v>
      </c>
      <c r="CG613" s="122"/>
      <c r="CV613" s="388"/>
    </row>
    <row r="614" spans="1:100" s="379" customFormat="1" ht="30" customHeight="1">
      <c r="A614" s="709"/>
      <c r="B614" s="710"/>
      <c r="C614" s="710"/>
      <c r="D614" s="710"/>
      <c r="E614" s="711"/>
      <c r="F614" s="710"/>
      <c r="G614" s="710"/>
      <c r="H614" s="710"/>
      <c r="I614" s="710"/>
      <c r="J614" s="712"/>
      <c r="K614" s="712"/>
      <c r="L614" s="712"/>
      <c r="AQ614" s="713"/>
      <c r="BZ614" t="s">
        <v>369</v>
      </c>
      <c r="CA614" s="112" t="s">
        <v>200</v>
      </c>
      <c r="CB614" t="s">
        <v>201</v>
      </c>
      <c r="CC614" t="s">
        <v>202</v>
      </c>
      <c r="CD614" t="s">
        <v>203</v>
      </c>
      <c r="CE614"/>
      <c r="CF614"/>
      <c r="CG614" s="122"/>
    </row>
    <row r="615" spans="1:100" customFormat="1" ht="30" customHeight="1">
      <c r="A615" s="112" t="str">
        <f>IF($C$13=1,IF(K615="报价行",IF(F615&gt;0,1," ")," ")," ")</f>
        <v xml:space="preserve"> </v>
      </c>
      <c r="B615" s="414" t="str">
        <f>IF(A615=1,SUM($A$11:A615),"其他自制件")</f>
        <v>其他自制件</v>
      </c>
      <c r="C615" s="460" t="s">
        <v>737</v>
      </c>
      <c r="D615" s="645">
        <v>900</v>
      </c>
      <c r="E615" s="547" t="s">
        <v>738</v>
      </c>
      <c r="F615" s="460"/>
      <c r="G615" s="429">
        <f>C617</f>
        <v>1.1100000000000001</v>
      </c>
      <c r="H615" s="429">
        <f>H616</f>
        <v>6.4488053097345155</v>
      </c>
      <c r="I615" s="460" t="s">
        <v>396</v>
      </c>
      <c r="J615" s="54"/>
      <c r="K615" s="423" t="s">
        <v>217</v>
      </c>
      <c r="L615" s="54"/>
      <c r="O615" s="425" t="s">
        <v>739</v>
      </c>
      <c r="AQ615" s="110"/>
      <c r="AX615" t="str">
        <f>E615</f>
        <v>78*t1.8</v>
      </c>
      <c r="AY615" s="494">
        <f>D615</f>
        <v>900</v>
      </c>
      <c r="AZ615">
        <f>F615</f>
        <v>0</v>
      </c>
      <c r="BA615" s="256">
        <f>G615</f>
        <v>1.1100000000000001</v>
      </c>
      <c r="BB615">
        <f>AZ615*BA615</f>
        <v>0</v>
      </c>
      <c r="BC615" s="495"/>
      <c r="BR615" t="str">
        <f>I615</f>
        <v>Gal</v>
      </c>
      <c r="BZ615" t="s">
        <v>685</v>
      </c>
      <c r="CA615" s="112"/>
      <c r="CG615" s="122" t="s">
        <v>207</v>
      </c>
      <c r="CV615" s="388"/>
    </row>
    <row r="616" spans="1:100" customFormat="1" ht="30" customHeight="1" outlineLevel="1">
      <c r="A616" s="112"/>
      <c r="B616" s="418"/>
      <c r="C616" s="112" t="s">
        <v>559</v>
      </c>
      <c r="D616" s="460">
        <v>6.5</v>
      </c>
      <c r="E616" s="460"/>
      <c r="F616" s="418">
        <v>1</v>
      </c>
      <c r="G616" s="514" t="s">
        <v>740</v>
      </c>
      <c r="H616" s="418">
        <f>C617*(D616*1.01+E616*1.13+D617+E617)/1.13*F616</f>
        <v>6.4488053097345155</v>
      </c>
      <c r="I616" s="418"/>
      <c r="J616" s="54"/>
      <c r="K616" s="54" t="s">
        <v>237</v>
      </c>
      <c r="L616" s="54"/>
      <c r="O616" s="425" t="s">
        <v>739</v>
      </c>
      <c r="AQ616" s="110"/>
      <c r="AX616" t="s">
        <v>156</v>
      </c>
      <c r="AY616" t="s">
        <v>246</v>
      </c>
      <c r="AZ616" t="s">
        <v>102</v>
      </c>
      <c r="BA616" t="s">
        <v>158</v>
      </c>
      <c r="BB616" t="s">
        <v>247</v>
      </c>
      <c r="BD616" t="s">
        <v>249</v>
      </c>
      <c r="BE616" t="s">
        <v>250</v>
      </c>
      <c r="BF616" t="s">
        <v>251</v>
      </c>
      <c r="BZ616" t="s">
        <v>685</v>
      </c>
      <c r="CA616" s="112"/>
      <c r="CG616" s="122" t="s">
        <v>207</v>
      </c>
      <c r="CV616" s="388"/>
    </row>
    <row r="617" spans="1:100" customFormat="1" ht="30" customHeight="1" outlineLevel="1">
      <c r="A617" s="112"/>
      <c r="B617" s="418"/>
      <c r="C617" s="460">
        <v>1.1100000000000001</v>
      </c>
      <c r="D617" s="655"/>
      <c r="E617" s="655"/>
      <c r="F617" s="561"/>
      <c r="G617" s="418"/>
      <c r="H617" s="418"/>
      <c r="I617" s="418" t="s">
        <v>711</v>
      </c>
      <c r="J617" s="54"/>
      <c r="K617" s="54" t="s">
        <v>237</v>
      </c>
      <c r="L617" s="54"/>
      <c r="O617" s="425" t="s">
        <v>739</v>
      </c>
      <c r="AQ617" s="110"/>
      <c r="BZ617" t="s">
        <v>685</v>
      </c>
      <c r="CA617" s="112"/>
      <c r="CG617" s="122" t="s">
        <v>207</v>
      </c>
      <c r="CV617" s="388"/>
    </row>
    <row r="618" spans="1:100" customFormat="1" ht="30" customHeight="1" outlineLevel="1">
      <c r="A618" s="112"/>
      <c r="B618" s="414">
        <v>0</v>
      </c>
      <c r="C618" s="418"/>
      <c r="D618" s="564"/>
      <c r="E618" s="564"/>
      <c r="F618" s="561"/>
      <c r="G618" s="418"/>
      <c r="H618" s="418"/>
      <c r="I618" s="418"/>
      <c r="J618" s="54"/>
      <c r="K618" s="54" t="s">
        <v>237</v>
      </c>
      <c r="L618" s="54"/>
      <c r="O618" s="425" t="s">
        <v>739</v>
      </c>
      <c r="AQ618" s="110"/>
      <c r="BZ618" t="s">
        <v>685</v>
      </c>
      <c r="CA618" s="112"/>
      <c r="CG618" s="122" t="s">
        <v>207</v>
      </c>
      <c r="CV618" s="388"/>
    </row>
    <row r="619" spans="1:100" s="379" customFormat="1" ht="30" customHeight="1">
      <c r="A619" s="709"/>
      <c r="B619" s="710"/>
      <c r="C619" s="710"/>
      <c r="D619" s="710"/>
      <c r="E619" s="711"/>
      <c r="F619" s="710"/>
      <c r="G619" s="710"/>
      <c r="H619" s="710"/>
      <c r="I619" s="710"/>
      <c r="J619" s="712"/>
      <c r="K619" s="712"/>
      <c r="L619" s="712"/>
      <c r="AQ619" s="713"/>
      <c r="BZ619" t="s">
        <v>685</v>
      </c>
      <c r="CA619" s="112"/>
      <c r="CB619"/>
      <c r="CC619"/>
      <c r="CD619"/>
      <c r="CE619"/>
      <c r="CF619"/>
      <c r="CG619" s="122" t="s">
        <v>207</v>
      </c>
    </row>
    <row r="620" spans="1:100" customFormat="1" ht="30" customHeight="1">
      <c r="A620" s="112" t="str">
        <f>IF($C$13=1,IF(K620="报价行",IF(F620&gt;0,1," ")," ")," ")</f>
        <v xml:space="preserve"> </v>
      </c>
      <c r="B620" s="414" t="str">
        <f>IF(A620=1,SUM($A$11:A620),"其他自制件")</f>
        <v>其他自制件</v>
      </c>
      <c r="C620" s="460" t="s">
        <v>737</v>
      </c>
      <c r="D620" s="645">
        <v>1200</v>
      </c>
      <c r="E620" s="547" t="s">
        <v>738</v>
      </c>
      <c r="F620" s="460"/>
      <c r="G620" s="429">
        <f>C622</f>
        <v>1.46</v>
      </c>
      <c r="H620" s="429">
        <f>H621</f>
        <v>8.4822123893805319</v>
      </c>
      <c r="I620" s="460" t="s">
        <v>396</v>
      </c>
      <c r="J620" s="54"/>
      <c r="K620" s="423" t="s">
        <v>217</v>
      </c>
      <c r="L620" s="54"/>
      <c r="O620" s="425" t="s">
        <v>741</v>
      </c>
      <c r="AQ620" s="110"/>
      <c r="AX620" t="str">
        <f>E620</f>
        <v>78*t1.8</v>
      </c>
      <c r="AY620" s="494">
        <f>D620</f>
        <v>1200</v>
      </c>
      <c r="AZ620">
        <f>F620</f>
        <v>0</v>
      </c>
      <c r="BA620" s="256">
        <f>G620</f>
        <v>1.46</v>
      </c>
      <c r="BB620">
        <f>AZ620*BA620</f>
        <v>0</v>
      </c>
      <c r="BC620" s="495"/>
      <c r="BR620" t="str">
        <f>I620</f>
        <v>Gal</v>
      </c>
      <c r="BZ620" t="s">
        <v>685</v>
      </c>
      <c r="CA620" s="112"/>
      <c r="CG620" s="122" t="s">
        <v>207</v>
      </c>
      <c r="CV620" s="388"/>
    </row>
    <row r="621" spans="1:100" customFormat="1" ht="30" customHeight="1" outlineLevel="1">
      <c r="A621" s="112"/>
      <c r="B621" s="418"/>
      <c r="C621" s="112" t="s">
        <v>559</v>
      </c>
      <c r="D621" s="460">
        <v>6.5</v>
      </c>
      <c r="E621" s="460"/>
      <c r="F621" s="418">
        <v>1</v>
      </c>
      <c r="G621" s="514" t="s">
        <v>740</v>
      </c>
      <c r="H621" s="418">
        <f>C622*(D621*1.01+E621*1.13+D622+E622)/1.13*F621</f>
        <v>8.4822123893805319</v>
      </c>
      <c r="I621" s="418"/>
      <c r="J621" s="54"/>
      <c r="K621" s="54" t="s">
        <v>237</v>
      </c>
      <c r="L621" s="54"/>
      <c r="O621" s="425" t="s">
        <v>741</v>
      </c>
      <c r="AQ621" s="110"/>
      <c r="AX621" t="s">
        <v>156</v>
      </c>
      <c r="AY621" t="s">
        <v>246</v>
      </c>
      <c r="AZ621" t="s">
        <v>102</v>
      </c>
      <c r="BA621" t="s">
        <v>158</v>
      </c>
      <c r="BB621" t="s">
        <v>247</v>
      </c>
      <c r="BD621" t="s">
        <v>249</v>
      </c>
      <c r="BE621" t="s">
        <v>250</v>
      </c>
      <c r="BF621" t="s">
        <v>251</v>
      </c>
      <c r="BZ621" t="s">
        <v>685</v>
      </c>
      <c r="CA621" s="112"/>
      <c r="CG621" s="122" t="s">
        <v>207</v>
      </c>
      <c r="CV621" s="388"/>
    </row>
    <row r="622" spans="1:100" customFormat="1" ht="30" customHeight="1" outlineLevel="1">
      <c r="A622" s="112"/>
      <c r="B622" s="418"/>
      <c r="C622" s="460">
        <v>1.46</v>
      </c>
      <c r="D622" s="655"/>
      <c r="E622" s="655"/>
      <c r="F622" s="561"/>
      <c r="G622" s="418"/>
      <c r="H622" s="418"/>
      <c r="I622" s="418" t="s">
        <v>711</v>
      </c>
      <c r="J622" s="54"/>
      <c r="K622" s="54" t="s">
        <v>237</v>
      </c>
      <c r="L622" s="54"/>
      <c r="O622" s="425" t="s">
        <v>741</v>
      </c>
      <c r="AQ622" s="110"/>
      <c r="BZ622" t="s">
        <v>685</v>
      </c>
      <c r="CA622" s="112"/>
      <c r="CG622" s="122" t="s">
        <v>207</v>
      </c>
      <c r="CV622" s="388"/>
    </row>
    <row r="623" spans="1:100" customFormat="1" ht="30" customHeight="1" outlineLevel="1">
      <c r="A623" s="112"/>
      <c r="B623" s="414">
        <v>0</v>
      </c>
      <c r="C623" s="418"/>
      <c r="D623" s="564"/>
      <c r="E623" s="564"/>
      <c r="F623" s="561"/>
      <c r="G623" s="418"/>
      <c r="H623" s="418"/>
      <c r="I623" s="418"/>
      <c r="J623" s="54"/>
      <c r="K623" s="54" t="s">
        <v>237</v>
      </c>
      <c r="L623" s="54"/>
      <c r="O623" s="425" t="s">
        <v>741</v>
      </c>
      <c r="AQ623" s="110"/>
      <c r="BZ623" t="s">
        <v>685</v>
      </c>
      <c r="CA623" s="112"/>
      <c r="CG623" s="122" t="s">
        <v>207</v>
      </c>
      <c r="CV623" s="388"/>
    </row>
    <row r="624" spans="1:100" s="379" customFormat="1" ht="30" customHeight="1">
      <c r="A624" s="709"/>
      <c r="B624" s="710"/>
      <c r="C624" s="710"/>
      <c r="D624" s="710"/>
      <c r="E624" s="711"/>
      <c r="F624" s="710"/>
      <c r="G624" s="710"/>
      <c r="H624" s="710"/>
      <c r="I624" s="710"/>
      <c r="J624" s="712"/>
      <c r="K624" s="712"/>
      <c r="L624" s="712"/>
      <c r="AQ624" s="713"/>
      <c r="BZ624" t="s">
        <v>685</v>
      </c>
      <c r="CA624" s="112"/>
      <c r="CB624"/>
      <c r="CC624"/>
      <c r="CD624"/>
      <c r="CE624"/>
      <c r="CF624"/>
      <c r="CG624" s="122" t="s">
        <v>207</v>
      </c>
    </row>
    <row r="625" spans="1:100" customFormat="1" ht="30" customHeight="1">
      <c r="A625" s="112" t="str">
        <f>IF($C$13=1,IF(K625="报价行",IF(F625&gt;0,1," ")," ")," ")</f>
        <v xml:space="preserve"> </v>
      </c>
      <c r="B625" s="414" t="str">
        <f>IF(A625=1,SUM($A$11:A625),"悬臂-臂")</f>
        <v>悬臂-臂</v>
      </c>
      <c r="C625" s="509" t="s">
        <v>647</v>
      </c>
      <c r="D625" s="645">
        <v>900</v>
      </c>
      <c r="E625" s="732" t="str">
        <f>C626</f>
        <v>MC100/50xW60x3.0t</v>
      </c>
      <c r="F625" s="460"/>
      <c r="G625" s="429">
        <f>SUM(P626*N626,P631*N631,N627*P627,N628*P628,N629*P629,N630*P630)</f>
        <v>3.9651705000000002</v>
      </c>
      <c r="H625" s="429" t="e">
        <f>SUM(H626:H632)</f>
        <v>#DIV/0!</v>
      </c>
      <c r="I625" s="460" t="s">
        <v>341</v>
      </c>
      <c r="J625" s="54"/>
      <c r="K625" s="423" t="s">
        <v>217</v>
      </c>
      <c r="L625" s="54"/>
      <c r="M625" t="s">
        <v>608</v>
      </c>
      <c r="N625" t="s">
        <v>610</v>
      </c>
      <c r="O625" s="425" t="s">
        <v>742</v>
      </c>
      <c r="P625" t="s">
        <v>611</v>
      </c>
      <c r="Q625" t="s">
        <v>612</v>
      </c>
      <c r="R625" t="s">
        <v>613</v>
      </c>
      <c r="S625" t="s">
        <v>614</v>
      </c>
      <c r="T625" t="s">
        <v>615</v>
      </c>
      <c r="U625" t="str">
        <f>T625&amp;"数量"</f>
        <v>配件1数量</v>
      </c>
      <c r="V625" t="str">
        <f>T625&amp;"单价"</f>
        <v>配件1单价</v>
      </c>
      <c r="W625" t="str">
        <f>T625&amp;"总价"</f>
        <v>配件1总价</v>
      </c>
      <c r="X625" t="str">
        <f>T625&amp;"单重"</f>
        <v>配件1单重</v>
      </c>
      <c r="Y625" t="str">
        <f>T625&amp;"总重量"</f>
        <v>配件1总重量</v>
      </c>
      <c r="Z625" t="s">
        <v>616</v>
      </c>
      <c r="AA625" t="str">
        <f>Z625&amp;"数量"</f>
        <v>配件2数量</v>
      </c>
      <c r="AB625" t="str">
        <f>Z625&amp;"单价"</f>
        <v>配件2单价</v>
      </c>
      <c r="AC625" t="str">
        <f>Z625&amp;"总价"</f>
        <v>配件2总价</v>
      </c>
      <c r="AD625" t="str">
        <f>Z625&amp;"单重"</f>
        <v>配件2单重</v>
      </c>
      <c r="AE625" t="str">
        <f>Z625&amp;"总重量"</f>
        <v>配件2总重量</v>
      </c>
      <c r="AF625" t="s">
        <v>617</v>
      </c>
      <c r="AG625" t="str">
        <f>AF625&amp;"数量"</f>
        <v>配件3数量</v>
      </c>
      <c r="AH625" t="str">
        <f>AF625&amp;"单价"</f>
        <v>配件3单价</v>
      </c>
      <c r="AI625" t="str">
        <f>AF625&amp;"总价"</f>
        <v>配件3总价</v>
      </c>
      <c r="AJ625" t="str">
        <f>AF625&amp;"单重"</f>
        <v>配件3单重</v>
      </c>
      <c r="AK625" t="str">
        <f>AF625&amp;"总重量"</f>
        <v>配件3总重量</v>
      </c>
      <c r="AQ625" s="110"/>
      <c r="AX625" t="str">
        <f>E625</f>
        <v>MC100/50xW60x3.0t</v>
      </c>
      <c r="AY625" s="494">
        <f>D625</f>
        <v>900</v>
      </c>
      <c r="AZ625">
        <f>F625</f>
        <v>0</v>
      </c>
      <c r="BA625" s="256">
        <f>G625</f>
        <v>3.9651705000000002</v>
      </c>
      <c r="BB625">
        <f>AZ625*BA625</f>
        <v>0</v>
      </c>
      <c r="BC625" s="495"/>
      <c r="BR625" t="str">
        <f>I625</f>
        <v>Orange Ral2004</v>
      </c>
      <c r="BZ625" t="s">
        <v>646</v>
      </c>
      <c r="CA625" s="112"/>
      <c r="CE625" t="s">
        <v>204</v>
      </c>
      <c r="CG625" s="122"/>
      <c r="CV625" s="388"/>
    </row>
    <row r="626" spans="1:100" customFormat="1" ht="30" customHeight="1" outlineLevel="1">
      <c r="A626" s="112"/>
      <c r="B626" s="418" t="s">
        <v>648</v>
      </c>
      <c r="C626" s="460" t="s">
        <v>743</v>
      </c>
      <c r="D626" s="418">
        <f>IFERROR(IF(G626="预镀锌",VLOOKUP(C626,常规材料表!$1:$1048576,5,0),VLOOKUP(C626,常规材料表!$1:$1048576,10,0)),0)</f>
        <v>0</v>
      </c>
      <c r="E626" s="418">
        <f>IFERROR(IF(G626="喷塑",1,0)*VLOOKUP(C626,常规材料表!$1:$1048576,12,0)+IF(G626="热镀锌",1,0)*VLOOKUP(C626,常规材料表!$1:$1048576,13,0)+IF(G626="冷镀锌",1,0)*VLOOKUP(C626,常规材料表!$1:$1048576,15,0),0)</f>
        <v>0</v>
      </c>
      <c r="F626" s="418">
        <f>IFERROR(VLOOKUP(C626,常规材料表!$1:$1048576,11,0)/P626+D632,0)</f>
        <v>0</v>
      </c>
      <c r="G626" s="514" t="s">
        <v>236</v>
      </c>
      <c r="H626" s="418" t="e">
        <f t="shared" ref="H626:H631" si="44">P626*(D626+F626*1.13+E626+S626)/1.13*N626</f>
        <v>#DIV/0!</v>
      </c>
      <c r="I626" s="509">
        <f>F625*N626</f>
        <v>0</v>
      </c>
      <c r="J626" s="651">
        <v>84</v>
      </c>
      <c r="K626" s="54" t="s">
        <v>237</v>
      </c>
      <c r="L626" s="54"/>
      <c r="M626" s="418" t="e">
        <f>H625/G625</f>
        <v>#DIV/0!</v>
      </c>
      <c r="N626">
        <f>J626/J626</f>
        <v>1</v>
      </c>
      <c r="O626" s="425" t="s">
        <v>742</v>
      </c>
      <c r="P626" s="112">
        <f>IFERROR(VLOOKUP(C626,常规材料表!$1:$1048576,3,0)*(D625+12)/1000,0)</f>
        <v>0</v>
      </c>
      <c r="Q626" s="112">
        <f>IFERROR(VLOOKUP(C626,常规材料表!$1:$1048576,4,0)*D625/1000,0)</f>
        <v>0</v>
      </c>
      <c r="R626">
        <f t="shared" ref="R626:R631" si="45">W626+AC626+AI626</f>
        <v>0</v>
      </c>
      <c r="S626" t="e">
        <f t="shared" ref="S626:S631" si="46">R626/P626</f>
        <v>#DIV/0!</v>
      </c>
      <c r="T626">
        <f>IFERROR(VLOOKUP(C626,常规材料表!$1:$1048576,17,0),0)</f>
        <v>0</v>
      </c>
      <c r="U626">
        <f>IFERROR(VLOOKUP(C626,常规材料表!$1:$1048576,18,0),0)</f>
        <v>0</v>
      </c>
      <c r="V626">
        <f>IFERROR(VLOOKUP(T626,常规材料表!$1:$1048576,5,0),0)*X626</f>
        <v>0</v>
      </c>
      <c r="W626">
        <f t="shared" ref="W626:W631" si="47">V626*U626</f>
        <v>0</v>
      </c>
      <c r="X626">
        <f>IFERROR(VLOOKUP(T626,常规材料表!$1:$1048576,3,0),0)</f>
        <v>0</v>
      </c>
      <c r="Y626">
        <f t="shared" ref="Y626:Y631" si="48">X626*U626</f>
        <v>0</v>
      </c>
      <c r="Z626">
        <f>IFERROR(VLOOKUP(C626,常规材料表!$1:$1048576,19,0),0)</f>
        <v>0</v>
      </c>
      <c r="AA626">
        <f>IFERROR(VLOOKUP(C626,常规材料表!$1:$1048576,20,0),0)</f>
        <v>0</v>
      </c>
      <c r="AB626">
        <f>IFERROR(VLOOKUP(Z626,常规材料表!$1:$1048576,5,0),0)*AD626</f>
        <v>0</v>
      </c>
      <c r="AC626">
        <f t="shared" ref="AC626:AC631" si="49">AB626*AA626</f>
        <v>0</v>
      </c>
      <c r="AD626">
        <f>IFERROR(VLOOKUP(Z626,常规材料表!$1:$1048576,3,0),0)</f>
        <v>0</v>
      </c>
      <c r="AE626">
        <f t="shared" ref="AE626:AE631" si="50">AD626*AA626</f>
        <v>0</v>
      </c>
      <c r="AF626">
        <f>IFERROR(VLOOKUP(C626,常规材料表!$1:$1048576,21,0),0)</f>
        <v>0</v>
      </c>
      <c r="AG626">
        <f>IFERROR(VLOOKUP(C626,常规材料表!$1:$1048576,22,0),0)</f>
        <v>0</v>
      </c>
      <c r="AH626">
        <f>IFERROR(VLOOKUP(AF626,常规材料表!$1:$1048576,5,0),0)*AJ626</f>
        <v>0</v>
      </c>
      <c r="AI626">
        <f t="shared" ref="AI626:AI631" si="51">AH626*AG626</f>
        <v>0</v>
      </c>
      <c r="AJ626">
        <f>IFERROR(VLOOKUP(AF626,常规材料表!$1:$1048576,3,0),0)</f>
        <v>0</v>
      </c>
      <c r="AK626">
        <f t="shared" ref="AK626:AK631" si="52">AJ626*AG626</f>
        <v>0</v>
      </c>
      <c r="AQ626" s="110"/>
      <c r="AX626" t="s">
        <v>156</v>
      </c>
      <c r="AY626" t="s">
        <v>246</v>
      </c>
      <c r="AZ626" t="s">
        <v>102</v>
      </c>
      <c r="BA626" t="s">
        <v>158</v>
      </c>
      <c r="BB626" t="s">
        <v>247</v>
      </c>
      <c r="BC626" t="s">
        <v>248</v>
      </c>
      <c r="BD626" t="s">
        <v>249</v>
      </c>
      <c r="BE626" t="s">
        <v>250</v>
      </c>
      <c r="BF626" t="s">
        <v>251</v>
      </c>
      <c r="BZ626" t="s">
        <v>646</v>
      </c>
      <c r="CA626" s="112"/>
      <c r="CE626" t="s">
        <v>204</v>
      </c>
      <c r="CG626" s="122"/>
      <c r="CV626" s="388"/>
    </row>
    <row r="627" spans="1:100" customFormat="1" ht="30" customHeight="1" outlineLevel="1">
      <c r="A627" s="112"/>
      <c r="B627" s="418" t="s">
        <v>362</v>
      </c>
      <c r="C627" s="460" t="s">
        <v>744</v>
      </c>
      <c r="D627" s="418">
        <f>IFERROR(IF(G627="预镀锌",VLOOKUP(C627,常规材料表!$1:$1048576,5,0),VLOOKUP(C627,常规材料表!$1:$1048576,10,0)),0)</f>
        <v>6.6889632107023402</v>
      </c>
      <c r="E627" s="418">
        <f>IFERROR(IF(G627="喷塑",1,0)*VLOOKUP(C627,常规材料表!$1:$1048576,12,0)+IF(G627="热镀锌",1,0)*VLOOKUP(C627,常规材料表!$1:$1048576,13,0)+IF(G627="冷镀锌",1,0)*VLOOKUP(C627,常规材料表!$1:$1048576,15,0),0)</f>
        <v>0.95</v>
      </c>
      <c r="F627" s="418">
        <f>IFERROR(VLOOKUP(C627,常规材料表!$1:$1048576,11,0)/P627+D632,0)</f>
        <v>0.3</v>
      </c>
      <c r="G627" s="514" t="str">
        <f>G626</f>
        <v>喷塑</v>
      </c>
      <c r="H627" s="418">
        <f t="shared" si="44"/>
        <v>27.630076786929884</v>
      </c>
      <c r="I627" s="509">
        <f>F625*N627</f>
        <v>0</v>
      </c>
      <c r="J627" s="651">
        <v>84</v>
      </c>
      <c r="K627" s="54" t="s">
        <v>237</v>
      </c>
      <c r="L627" s="54"/>
      <c r="N627">
        <f>J627/J626</f>
        <v>1</v>
      </c>
      <c r="O627" s="425" t="s">
        <v>742</v>
      </c>
      <c r="P627" s="112">
        <f>IFERROR(VLOOKUP(C627,常规材料表!$1:$1048576,3,0)+Y627+AE627,0)</f>
        <v>3.4039999999999999</v>
      </c>
      <c r="Q627" s="112">
        <f>IFERROR(VLOOKUP(C627,常规材料表!$1:$1048576,4,0),0)</f>
        <v>0.152</v>
      </c>
      <c r="R627">
        <f t="shared" si="45"/>
        <v>4.0650000000000004</v>
      </c>
      <c r="S627">
        <f t="shared" si="46"/>
        <v>1.1941833137485314</v>
      </c>
      <c r="T627" t="str">
        <f>IFERROR(VLOOKUP(C627,常规材料表!$1:$1048576,17,0),0)</f>
        <v>ø20*120  8.8G</v>
      </c>
      <c r="U627">
        <f>IFERROR(VLOOKUP(C627,常规材料表!$1:$1048576,18,0),0)</f>
        <v>1</v>
      </c>
      <c r="V627">
        <f>IFERROR(VLOOKUP(T627,常规材料表!$1:$1048576,5,0),0)*X627</f>
        <v>3.85</v>
      </c>
      <c r="W627">
        <f t="shared" si="47"/>
        <v>3.85</v>
      </c>
      <c r="X627">
        <f>IFERROR(VLOOKUP(T627,常规材料表!$1:$1048576,3,0),0)</f>
        <v>0.4</v>
      </c>
      <c r="Y627">
        <f t="shared" si="48"/>
        <v>0.4</v>
      </c>
      <c r="Z627" t="str">
        <f>IFERROR(VLOOKUP(C627,常规材料表!$1:$1048576,19,0),0)</f>
        <v>ø3.5*76</v>
      </c>
      <c r="AA627">
        <f>IFERROR(VLOOKUP(C627,常规材料表!$1:$1048576,20,0),0)</f>
        <v>1</v>
      </c>
      <c r="AB627">
        <f>IFERROR(VLOOKUP(Z627,常规材料表!$1:$1048576,5,0),0)*AD627</f>
        <v>0.21500000000000061</v>
      </c>
      <c r="AC627">
        <f t="shared" si="49"/>
        <v>0.21500000000000061</v>
      </c>
      <c r="AD627">
        <f>IFERROR(VLOOKUP(Z627,常规材料表!$1:$1048576,3,0),0)</f>
        <v>1.4E-2</v>
      </c>
      <c r="AE627">
        <f t="shared" si="50"/>
        <v>1.4E-2</v>
      </c>
      <c r="AF627">
        <f>IFERROR(VLOOKUP(C627,常规材料表!$1:$1048576,21,0),0)</f>
        <v>0</v>
      </c>
      <c r="AG627">
        <f>IFERROR(VLOOKUP(C627,常规材料表!$1:$1048576,22,0),0)</f>
        <v>0</v>
      </c>
      <c r="AH627">
        <f>IFERROR(VLOOKUP(AF627,常规材料表!$1:$1048576,5,0),0)*AJ627</f>
        <v>0</v>
      </c>
      <c r="AI627">
        <f t="shared" si="51"/>
        <v>0</v>
      </c>
      <c r="AJ627">
        <f>IFERROR(VLOOKUP(AF627,常规材料表!$1:$1048576,3,0),0)</f>
        <v>0</v>
      </c>
      <c r="AK627">
        <f t="shared" si="52"/>
        <v>0</v>
      </c>
      <c r="AQ627" s="110"/>
      <c r="BZ627" t="s">
        <v>646</v>
      </c>
      <c r="CA627" s="112"/>
      <c r="CE627" t="s">
        <v>204</v>
      </c>
      <c r="CG627" s="122"/>
      <c r="CV627" s="388"/>
    </row>
    <row r="628" spans="1:100" customFormat="1" ht="30" customHeight="1" outlineLevel="1">
      <c r="A628" s="112"/>
      <c r="B628" s="418" t="s">
        <v>652</v>
      </c>
      <c r="C628" s="460" t="s">
        <v>745</v>
      </c>
      <c r="D628" s="418">
        <f>IFERROR(IF(G628="预镀锌",VLOOKUP(C628,常规材料表!$1:$1048576,5,0),VLOOKUP(C628,常规材料表!$1:$1048576,10,0)),0)</f>
        <v>6.5</v>
      </c>
      <c r="E628" s="418">
        <f>IFERROR(IF(G628="喷塑",1,0)*VLOOKUP(C628,常规材料表!$1:$1048576,12,0)+IF(G628="热镀锌",1,0)*VLOOKUP(C628,常规材料表!$1:$1048576,13,0)+IF(G628="冷镀锌",1,0)*VLOOKUP(C628,常规材料表!$1:$1048576,15,0),0)</f>
        <v>0.95</v>
      </c>
      <c r="F628" s="418">
        <f>IFERROR(VLOOKUP(C628,常规材料表!$1:$1048576,11,0)/P628+D632,0)</f>
        <v>0.3</v>
      </c>
      <c r="G628" s="514" t="str">
        <f>G626</f>
        <v>喷塑</v>
      </c>
      <c r="H628" s="418">
        <f t="shared" si="44"/>
        <v>2.1173017915929209</v>
      </c>
      <c r="I628" s="509">
        <f>F625*N628</f>
        <v>0</v>
      </c>
      <c r="J628" s="651">
        <v>84</v>
      </c>
      <c r="K628" s="54" t="s">
        <v>237</v>
      </c>
      <c r="L628" s="54"/>
      <c r="N628">
        <f>J628/J626</f>
        <v>1</v>
      </c>
      <c r="O628" s="425" t="s">
        <v>742</v>
      </c>
      <c r="P628" s="112">
        <f>IFERROR(VLOOKUP(C628,常规材料表!$1:$1048576,3,0),0)</f>
        <v>0.30717050000000001</v>
      </c>
      <c r="Q628" s="112">
        <f>IFERROR(VLOOKUP(C628,常规材料表!$1:$1048576,4,0),0)</f>
        <v>0</v>
      </c>
      <c r="R628">
        <f t="shared" si="45"/>
        <v>0</v>
      </c>
      <c r="S628">
        <f t="shared" si="46"/>
        <v>0</v>
      </c>
      <c r="T628">
        <f>IFERROR(VLOOKUP(C628,常规材料表!$1:$1048576,17,0),0)</f>
        <v>0</v>
      </c>
      <c r="U628">
        <f>IFERROR(VLOOKUP(C628,常规材料表!$1:$1048576,18,0),0)</f>
        <v>0</v>
      </c>
      <c r="V628">
        <f>IFERROR(VLOOKUP(T628,常规材料表!$1:$1048576,5,0),0)*X628</f>
        <v>0</v>
      </c>
      <c r="W628">
        <f t="shared" si="47"/>
        <v>0</v>
      </c>
      <c r="X628">
        <f>IFERROR(VLOOKUP(T628,常规材料表!$1:$1048576,3,0),0)</f>
        <v>0</v>
      </c>
      <c r="Y628">
        <f t="shared" si="48"/>
        <v>0</v>
      </c>
      <c r="Z628">
        <f>IFERROR(VLOOKUP(C628,常规材料表!$1:$1048576,19,0),0)</f>
        <v>0</v>
      </c>
      <c r="AA628">
        <f>IFERROR(VLOOKUP(C628,常规材料表!$1:$1048576,20,0),0)</f>
        <v>0</v>
      </c>
      <c r="AB628">
        <f>IFERROR(VLOOKUP(Z628,常规材料表!$1:$1048576,5,0),0)*AD628</f>
        <v>0</v>
      </c>
      <c r="AC628">
        <f t="shared" si="49"/>
        <v>0</v>
      </c>
      <c r="AD628">
        <f>IFERROR(VLOOKUP(Z628,常规材料表!$1:$1048576,3,0),0)</f>
        <v>0</v>
      </c>
      <c r="AE628">
        <f t="shared" si="50"/>
        <v>0</v>
      </c>
      <c r="AF628">
        <f>IFERROR(VLOOKUP(C628,常规材料表!$1:$1048576,21,0),0)</f>
        <v>0</v>
      </c>
      <c r="AG628">
        <f>IFERROR(VLOOKUP(C628,常规材料表!$1:$1048576,22,0),0)</f>
        <v>0</v>
      </c>
      <c r="AH628">
        <f>IFERROR(VLOOKUP(AF628,常规材料表!$1:$1048576,5,0),0)*AJ628</f>
        <v>0</v>
      </c>
      <c r="AI628">
        <f t="shared" si="51"/>
        <v>0</v>
      </c>
      <c r="AJ628">
        <f>IFERROR(VLOOKUP(AF628,常规材料表!$1:$1048576,3,0),0)</f>
        <v>0</v>
      </c>
      <c r="AK628">
        <f t="shared" si="52"/>
        <v>0</v>
      </c>
      <c r="AQ628" s="110"/>
      <c r="BZ628" t="s">
        <v>646</v>
      </c>
      <c r="CA628" s="112"/>
      <c r="CE628" t="s">
        <v>204</v>
      </c>
      <c r="CG628" s="122"/>
      <c r="CV628" s="388"/>
    </row>
    <row r="629" spans="1:100" customFormat="1" ht="30" customHeight="1" outlineLevel="1">
      <c r="A629" s="112"/>
      <c r="B629" s="418" t="s">
        <v>654</v>
      </c>
      <c r="C629" s="460" t="s">
        <v>746</v>
      </c>
      <c r="D629" s="418">
        <f>IFERROR(IF(G629="预镀锌",VLOOKUP(C629,常规材料表!$1:$1048576,5,0),VLOOKUP(C629,常规材料表!$1:$1048576,10,0)),0)</f>
        <v>6.5</v>
      </c>
      <c r="E629" s="418">
        <f>IFERROR(IF(G629="喷塑",1,0)*VLOOKUP(C629,常规材料表!$1:$1048576,12,0)+IF(G629="热镀锌",1,0)*VLOOKUP(C629,常规材料表!$1:$1048576,13,0)+IF(G629="冷镀锌",1,0)*VLOOKUP(C629,常规材料表!$1:$1048576,15,0),0)</f>
        <v>0.95</v>
      </c>
      <c r="F629" s="418">
        <f>IFERROR(VLOOKUP(C629,常规材料表!$1:$1048576,11,0)/P629+D632,0)</f>
        <v>0.3</v>
      </c>
      <c r="G629" s="514" t="str">
        <f>G626</f>
        <v>喷塑</v>
      </c>
      <c r="H629" s="418">
        <f t="shared" si="44"/>
        <v>0</v>
      </c>
      <c r="I629" s="509">
        <f>F625*N629</f>
        <v>0</v>
      </c>
      <c r="J629" s="651"/>
      <c r="K629" s="54" t="s">
        <v>237</v>
      </c>
      <c r="L629" s="54"/>
      <c r="N629">
        <f>J629/J626</f>
        <v>0</v>
      </c>
      <c r="O629" s="425" t="s">
        <v>742</v>
      </c>
      <c r="P629" s="112">
        <f>IFERROR(VLOOKUP(C629,常规材料表!$1:$1048576,3,0),0)</f>
        <v>0.2288589</v>
      </c>
      <c r="Q629" s="112">
        <f>IFERROR(VLOOKUP(C629,常规材料表!$1:$1048576,4,0),0)</f>
        <v>9.4599999999999997E-3</v>
      </c>
      <c r="R629">
        <f t="shared" si="45"/>
        <v>0</v>
      </c>
      <c r="S629">
        <f t="shared" si="46"/>
        <v>0</v>
      </c>
      <c r="T629">
        <f>IFERROR(VLOOKUP(C629,常规材料表!$1:$1048576,17,0),0)</f>
        <v>0</v>
      </c>
      <c r="U629">
        <f>IFERROR(VLOOKUP(C629,常规材料表!$1:$1048576,18,0),0)</f>
        <v>0</v>
      </c>
      <c r="V629">
        <f>IFERROR(VLOOKUP(T629,常规材料表!$1:$1048576,5,0),0)*X629</f>
        <v>0</v>
      </c>
      <c r="W629">
        <f t="shared" si="47"/>
        <v>0</v>
      </c>
      <c r="X629">
        <f>IFERROR(VLOOKUP(T629,常规材料表!$1:$1048576,3,0),0)</f>
        <v>0</v>
      </c>
      <c r="Y629">
        <f t="shared" si="48"/>
        <v>0</v>
      </c>
      <c r="Z629">
        <f>IFERROR(VLOOKUP(C629,常规材料表!$1:$1048576,19,0),0)</f>
        <v>0</v>
      </c>
      <c r="AA629">
        <f>IFERROR(VLOOKUP(C629,常规材料表!$1:$1048576,20,0),0)</f>
        <v>0</v>
      </c>
      <c r="AB629">
        <f>IFERROR(VLOOKUP(Z629,常规材料表!$1:$1048576,5,0),0)*AD629</f>
        <v>0</v>
      </c>
      <c r="AC629">
        <f t="shared" si="49"/>
        <v>0</v>
      </c>
      <c r="AD629">
        <f>IFERROR(VLOOKUP(Z629,常规材料表!$1:$1048576,3,0),0)</f>
        <v>0</v>
      </c>
      <c r="AE629">
        <f t="shared" si="50"/>
        <v>0</v>
      </c>
      <c r="AF629">
        <f>IFERROR(VLOOKUP(C629,常规材料表!$1:$1048576,21,0),0)</f>
        <v>0</v>
      </c>
      <c r="AG629">
        <f>IFERROR(VLOOKUP(C629,常规材料表!$1:$1048576,22,0),0)</f>
        <v>0</v>
      </c>
      <c r="AH629">
        <f>IFERROR(VLOOKUP(AF629,常规材料表!$1:$1048576,5,0),0)*AJ629</f>
        <v>0</v>
      </c>
      <c r="AI629">
        <f t="shared" si="51"/>
        <v>0</v>
      </c>
      <c r="AJ629">
        <f>IFERROR(VLOOKUP(AF629,常规材料表!$1:$1048576,3,0),0)</f>
        <v>0</v>
      </c>
      <c r="AK629">
        <f t="shared" si="52"/>
        <v>0</v>
      </c>
      <c r="AQ629" s="110"/>
      <c r="BZ629" t="s">
        <v>646</v>
      </c>
      <c r="CA629" s="112"/>
      <c r="CE629" t="s">
        <v>204</v>
      </c>
      <c r="CG629" s="122"/>
      <c r="CV629" s="388"/>
    </row>
    <row r="630" spans="1:100" customFormat="1" ht="30" customHeight="1" outlineLevel="1">
      <c r="A630" s="112"/>
      <c r="B630" s="418" t="s">
        <v>656</v>
      </c>
      <c r="C630" s="460" t="s">
        <v>747</v>
      </c>
      <c r="D630" s="418">
        <f>IFERROR(IF(G630="预镀锌",VLOOKUP(C630,常规材料表!$1:$1048576,5,0),VLOOKUP(C630,常规材料表!$1:$1048576,10,0)),0)</f>
        <v>8.25</v>
      </c>
      <c r="E630" s="418">
        <f>IFERROR(IF(G630="喷塑",1,0)*VLOOKUP(C630,常规材料表!$1:$1048576,12,0)+IF(G630="热镀锌",1,0)*VLOOKUP(C630,常规材料表!$1:$1048576,13,0)+IF(G630="冷镀锌",1,0)*VLOOKUP(C630,常规材料表!$1:$1048576,15,0),0)</f>
        <v>0.95</v>
      </c>
      <c r="F630" s="418">
        <f>IFERROR(VLOOKUP(C630,常规材料表!$1:$1048576,11,0)/P630+D632,0)</f>
        <v>27.005122042407724</v>
      </c>
      <c r="G630" s="514" t="str">
        <f>G626</f>
        <v>喷塑</v>
      </c>
      <c r="H630" s="418">
        <f t="shared" si="44"/>
        <v>8.329771446174524</v>
      </c>
      <c r="I630" s="509">
        <f>F625*N630</f>
        <v>0</v>
      </c>
      <c r="J630" s="460">
        <f>J628</f>
        <v>84</v>
      </c>
      <c r="K630" s="54" t="s">
        <v>237</v>
      </c>
      <c r="L630" s="54"/>
      <c r="N630">
        <f>J630/J626</f>
        <v>1</v>
      </c>
      <c r="O630" s="425" t="s">
        <v>742</v>
      </c>
      <c r="P630" s="112">
        <f>IFERROR(VLOOKUP(C630,常规材料表!$1:$1048576,3,0),0)</f>
        <v>0.23699999999999999</v>
      </c>
      <c r="Q630" s="112">
        <f>IFERROR(VLOOKUP(C630,常规材料表!$1:$1048576,4,0),0)</f>
        <v>0</v>
      </c>
      <c r="R630">
        <f t="shared" si="45"/>
        <v>0</v>
      </c>
      <c r="S630">
        <f t="shared" si="46"/>
        <v>0</v>
      </c>
      <c r="T630">
        <f>IFERROR(VLOOKUP(C630,常规材料表!$1:$1048576,17,0),0)</f>
        <v>0</v>
      </c>
      <c r="U630">
        <f>IFERROR(VLOOKUP(C630,常规材料表!$1:$1048576,18,0),0)</f>
        <v>0</v>
      </c>
      <c r="V630">
        <f>IFERROR(VLOOKUP(T630,常规材料表!$1:$1048576,5,0),0)*X630</f>
        <v>0</v>
      </c>
      <c r="W630">
        <f t="shared" si="47"/>
        <v>0</v>
      </c>
      <c r="X630">
        <f>IFERROR(VLOOKUP(T630,常规材料表!$1:$1048576,3,0),0)</f>
        <v>0</v>
      </c>
      <c r="Y630">
        <f t="shared" si="48"/>
        <v>0</v>
      </c>
      <c r="Z630">
        <f>IFERROR(VLOOKUP(C630,常规材料表!$1:$1048576,19,0),0)</f>
        <v>0</v>
      </c>
      <c r="AA630">
        <f>IFERROR(VLOOKUP(C630,常规材料表!$1:$1048576,20,0),0)</f>
        <v>0</v>
      </c>
      <c r="AB630">
        <f>IFERROR(VLOOKUP(Z630,常规材料表!$1:$1048576,5,0),0)*AD630</f>
        <v>0</v>
      </c>
      <c r="AC630">
        <f t="shared" si="49"/>
        <v>0</v>
      </c>
      <c r="AD630">
        <f>IFERROR(VLOOKUP(Z630,常规材料表!$1:$1048576,3,0),0)</f>
        <v>0</v>
      </c>
      <c r="AE630">
        <f t="shared" si="50"/>
        <v>0</v>
      </c>
      <c r="AF630">
        <f>IFERROR(VLOOKUP(C630,常规材料表!$1:$1048576,21,0),0)</f>
        <v>0</v>
      </c>
      <c r="AG630">
        <f>IFERROR(VLOOKUP(C630,常规材料表!$1:$1048576,22,0),0)</f>
        <v>0</v>
      </c>
      <c r="AH630">
        <f>IFERROR(VLOOKUP(AF630,常规材料表!$1:$1048576,5,0),0)*AJ630</f>
        <v>0</v>
      </c>
      <c r="AI630">
        <f t="shared" si="51"/>
        <v>0</v>
      </c>
      <c r="AJ630">
        <f>IFERROR(VLOOKUP(AF630,常规材料表!$1:$1048576,3,0),0)</f>
        <v>0</v>
      </c>
      <c r="AK630">
        <f t="shared" si="52"/>
        <v>0</v>
      </c>
      <c r="AQ630" s="110"/>
      <c r="BZ630" t="s">
        <v>646</v>
      </c>
      <c r="CA630" s="112"/>
      <c r="CE630" t="s">
        <v>204</v>
      </c>
      <c r="CG630" s="122"/>
      <c r="CV630" s="388"/>
    </row>
    <row r="631" spans="1:100" customFormat="1" ht="30" customHeight="1" outlineLevel="1">
      <c r="A631" s="112"/>
      <c r="B631" s="418" t="s">
        <v>658</v>
      </c>
      <c r="C631" s="460" t="s">
        <v>748</v>
      </c>
      <c r="D631" s="418">
        <f>IFERROR(VLOOKUP(C631,常规材料表!$1:$1048576,5,0),0)</f>
        <v>11.764705882352899</v>
      </c>
      <c r="E631" s="418">
        <f>IFERROR(IF(G631="喷塑",1,0)*VLOOKUP(C631,常规材料表!$1:$1048576,12,0)+IF(G631="热镀锌",1,0)*VLOOKUP(C631,常规材料表!$1:$1048576,13,0)+IF(G631="冷镀锌",1,0)*VLOOKUP(C631,常规材料表!$1:$1048576,15,0),0)</f>
        <v>0</v>
      </c>
      <c r="F631" s="418">
        <f>IFERROR(VLOOKUP(C631,常规材料表!$1:$1048576,11,0)/P631+D632,0)</f>
        <v>0.3</v>
      </c>
      <c r="G631" s="514" t="str">
        <f>G626</f>
        <v>喷塑</v>
      </c>
      <c r="H631" s="418">
        <f t="shared" si="44"/>
        <v>0.18209115044247728</v>
      </c>
      <c r="I631" s="509">
        <f>F625*N631</f>
        <v>0</v>
      </c>
      <c r="J631" s="460">
        <f>J628</f>
        <v>84</v>
      </c>
      <c r="K631" s="54" t="s">
        <v>237</v>
      </c>
      <c r="L631" s="54"/>
      <c r="N631">
        <f>J631/J626</f>
        <v>1</v>
      </c>
      <c r="O631" s="425" t="s">
        <v>742</v>
      </c>
      <c r="P631" s="112">
        <f>IFERROR(VLOOKUP(C631,常规材料表!$1:$1048576,3,0),0)</f>
        <v>1.7000000000000001E-2</v>
      </c>
      <c r="Q631" s="112">
        <f>IFERROR(VLOOKUP(C631,常规材料表!$1:$1048576,4,0),0)</f>
        <v>0</v>
      </c>
      <c r="R631">
        <f t="shared" si="45"/>
        <v>0</v>
      </c>
      <c r="S631">
        <f t="shared" si="46"/>
        <v>0</v>
      </c>
      <c r="T631">
        <f>IFERROR(VLOOKUP(C631,常规材料表!$1:$1048576,17,0),0)</f>
        <v>0</v>
      </c>
      <c r="U631">
        <f>IFERROR(VLOOKUP(C631,常规材料表!$1:$1048576,18,0),0)</f>
        <v>0</v>
      </c>
      <c r="V631">
        <f>IFERROR(VLOOKUP(T631,常规材料表!$1:$1048576,5,0),0)*X631</f>
        <v>0</v>
      </c>
      <c r="W631">
        <f t="shared" si="47"/>
        <v>0</v>
      </c>
      <c r="X631">
        <f>IFERROR(VLOOKUP(T631,常规材料表!$1:$1048576,3,0),0)</f>
        <v>0</v>
      </c>
      <c r="Y631">
        <f t="shared" si="48"/>
        <v>0</v>
      </c>
      <c r="Z631">
        <f>IFERROR(VLOOKUP(C631,常规材料表!$1:$1048576,19,0),0)</f>
        <v>0</v>
      </c>
      <c r="AA631">
        <f>IFERROR(VLOOKUP(C631,常规材料表!$1:$1048576,20,0),0)</f>
        <v>0</v>
      </c>
      <c r="AB631">
        <f>IFERROR(VLOOKUP(Z631,常规材料表!$1:$1048576,5,0),0)*AD631</f>
        <v>0</v>
      </c>
      <c r="AC631">
        <f t="shared" si="49"/>
        <v>0</v>
      </c>
      <c r="AD631">
        <f>IFERROR(VLOOKUP(Z631,常规材料表!$1:$1048576,3,0),0)</f>
        <v>0</v>
      </c>
      <c r="AE631">
        <f t="shared" si="50"/>
        <v>0</v>
      </c>
      <c r="AF631">
        <f>IFERROR(VLOOKUP(C631,常规材料表!$1:$1048576,21,0),0)</f>
        <v>0</v>
      </c>
      <c r="AG631">
        <f>IFERROR(VLOOKUP(C631,常规材料表!$1:$1048576,22,0),0)</f>
        <v>0</v>
      </c>
      <c r="AH631">
        <f>IFERROR(VLOOKUP(AF631,常规材料表!$1:$1048576,5,0),0)*AJ631</f>
        <v>0</v>
      </c>
      <c r="AI631">
        <f t="shared" si="51"/>
        <v>0</v>
      </c>
      <c r="AJ631">
        <f>IFERROR(VLOOKUP(AF631,常规材料表!$1:$1048576,3,0),0)</f>
        <v>0</v>
      </c>
      <c r="AK631">
        <f t="shared" si="52"/>
        <v>0</v>
      </c>
      <c r="AQ631" s="110"/>
      <c r="BZ631" t="s">
        <v>646</v>
      </c>
      <c r="CA631" s="112"/>
      <c r="CE631" t="s">
        <v>204</v>
      </c>
      <c r="CG631" s="122"/>
      <c r="CV631" s="388"/>
    </row>
    <row r="632" spans="1:100" customFormat="1" ht="30" customHeight="1" outlineLevel="1">
      <c r="A632" s="112"/>
      <c r="B632" s="414">
        <v>0</v>
      </c>
      <c r="C632" s="418" t="s">
        <v>622</v>
      </c>
      <c r="D632" s="655">
        <v>0.3</v>
      </c>
      <c r="E632" s="564"/>
      <c r="F632" s="561"/>
      <c r="G632" s="418"/>
      <c r="H632" s="418" t="s">
        <v>711</v>
      </c>
      <c r="I632" s="418" t="s">
        <v>102</v>
      </c>
      <c r="J632" s="418" t="s">
        <v>623</v>
      </c>
      <c r="K632" s="54" t="s">
        <v>237</v>
      </c>
      <c r="L632" s="54"/>
      <c r="O632" s="425" t="s">
        <v>742</v>
      </c>
      <c r="AQ632" s="110"/>
      <c r="BZ632" t="s">
        <v>646</v>
      </c>
      <c r="CA632" s="112"/>
      <c r="CE632" t="s">
        <v>204</v>
      </c>
      <c r="CG632" s="122"/>
      <c r="CV632" s="388"/>
    </row>
    <row r="633" spans="1:100" s="379" customFormat="1" ht="30" customHeight="1">
      <c r="A633" s="709"/>
      <c r="B633" s="710"/>
      <c r="C633" s="710"/>
      <c r="D633" s="710"/>
      <c r="E633" s="711"/>
      <c r="F633" s="710"/>
      <c r="G633" s="710"/>
      <c r="H633" s="710"/>
      <c r="I633" s="710"/>
      <c r="J633" s="712"/>
      <c r="K633" s="712"/>
      <c r="L633" s="712"/>
      <c r="AQ633" s="713"/>
      <c r="BZ633" t="s">
        <v>646</v>
      </c>
      <c r="CA633" s="112"/>
      <c r="CB633"/>
      <c r="CC633"/>
      <c r="CD633"/>
      <c r="CE633" t="s">
        <v>204</v>
      </c>
      <c r="CF633"/>
      <c r="CG633" s="122"/>
    </row>
    <row r="634" spans="1:100" customFormat="1" ht="30" customHeight="1">
      <c r="A634" s="112" t="str">
        <f>IF($C$13=1,IF(K634="报价行",IF(F634&gt;0,1," ")," ")," ")</f>
        <v xml:space="preserve"> </v>
      </c>
      <c r="B634" s="414" t="str">
        <f>IF(A634=1,SUM($A$11:A634),"悬臂-臂")</f>
        <v>悬臂-臂</v>
      </c>
      <c r="C634" s="509" t="s">
        <v>647</v>
      </c>
      <c r="D634" s="645">
        <v>1200</v>
      </c>
      <c r="E634" s="732" t="str">
        <f>C635</f>
        <v>MC100/50xW60x3.0t</v>
      </c>
      <c r="F634" s="460"/>
      <c r="G634" s="429">
        <f>SUM(P635*N635,P640*N640,N636*P636,N637*P637,N638*P638,N639*P639)</f>
        <v>3.9651705000000002</v>
      </c>
      <c r="H634" s="429" t="e">
        <f>SUM(H635:H641)</f>
        <v>#DIV/0!</v>
      </c>
      <c r="I634" s="460" t="s">
        <v>341</v>
      </c>
      <c r="J634" s="54"/>
      <c r="K634" s="423" t="s">
        <v>217</v>
      </c>
      <c r="L634" s="54"/>
      <c r="M634" t="s">
        <v>608</v>
      </c>
      <c r="N634" t="s">
        <v>610</v>
      </c>
      <c r="O634" s="425" t="s">
        <v>749</v>
      </c>
      <c r="P634" t="s">
        <v>611</v>
      </c>
      <c r="Q634" t="s">
        <v>612</v>
      </c>
      <c r="R634" t="s">
        <v>613</v>
      </c>
      <c r="S634" t="s">
        <v>614</v>
      </c>
      <c r="T634" t="s">
        <v>615</v>
      </c>
      <c r="U634" t="str">
        <f>T634&amp;"数量"</f>
        <v>配件1数量</v>
      </c>
      <c r="V634" t="str">
        <f>T634&amp;"单价"</f>
        <v>配件1单价</v>
      </c>
      <c r="W634" t="str">
        <f>T634&amp;"总价"</f>
        <v>配件1总价</v>
      </c>
      <c r="X634" t="str">
        <f>T634&amp;"单重"</f>
        <v>配件1单重</v>
      </c>
      <c r="Y634" t="str">
        <f>T634&amp;"总重量"</f>
        <v>配件1总重量</v>
      </c>
      <c r="Z634" t="s">
        <v>616</v>
      </c>
      <c r="AA634" t="str">
        <f>Z634&amp;"数量"</f>
        <v>配件2数量</v>
      </c>
      <c r="AB634" t="str">
        <f>Z634&amp;"单价"</f>
        <v>配件2单价</v>
      </c>
      <c r="AC634" t="str">
        <f>Z634&amp;"总价"</f>
        <v>配件2总价</v>
      </c>
      <c r="AD634" t="str">
        <f>Z634&amp;"单重"</f>
        <v>配件2单重</v>
      </c>
      <c r="AE634" t="str">
        <f>Z634&amp;"总重量"</f>
        <v>配件2总重量</v>
      </c>
      <c r="AF634" t="s">
        <v>617</v>
      </c>
      <c r="AG634" t="str">
        <f>AF634&amp;"数量"</f>
        <v>配件3数量</v>
      </c>
      <c r="AH634" t="str">
        <f>AF634&amp;"单价"</f>
        <v>配件3单价</v>
      </c>
      <c r="AI634" t="str">
        <f>AF634&amp;"总价"</f>
        <v>配件3总价</v>
      </c>
      <c r="AJ634" t="str">
        <f>AF634&amp;"单重"</f>
        <v>配件3单重</v>
      </c>
      <c r="AK634" t="str">
        <f>AF634&amp;"总重量"</f>
        <v>配件3总重量</v>
      </c>
      <c r="AQ634" s="110"/>
      <c r="AX634" t="str">
        <f>E634</f>
        <v>MC100/50xW60x3.0t</v>
      </c>
      <c r="AY634" s="494">
        <f>D634</f>
        <v>1200</v>
      </c>
      <c r="AZ634">
        <f>F634</f>
        <v>0</v>
      </c>
      <c r="BA634" s="256">
        <f>G634</f>
        <v>3.9651705000000002</v>
      </c>
      <c r="BB634">
        <f>AZ634*BA634</f>
        <v>0</v>
      </c>
      <c r="BC634" s="495"/>
      <c r="BR634" t="str">
        <f>I634</f>
        <v>Orange Ral2004</v>
      </c>
      <c r="BZ634" t="s">
        <v>646</v>
      </c>
      <c r="CA634" s="112"/>
      <c r="CE634" t="s">
        <v>204</v>
      </c>
      <c r="CG634" s="122"/>
      <c r="CV634" s="388"/>
    </row>
    <row r="635" spans="1:100" customFormat="1" ht="30" customHeight="1" outlineLevel="1">
      <c r="A635" s="112"/>
      <c r="B635" s="418" t="s">
        <v>648</v>
      </c>
      <c r="C635" s="460" t="s">
        <v>743</v>
      </c>
      <c r="D635" s="418">
        <f>IFERROR(IF(G635="预镀锌",VLOOKUP(C635,常规材料表!$1:$1048576,5,0),VLOOKUP(C635,常规材料表!$1:$1048576,10,0)),0)</f>
        <v>0</v>
      </c>
      <c r="E635" s="418">
        <f>IFERROR(IF(G635="喷塑",1,0)*VLOOKUP(C635,常规材料表!$1:$1048576,12,0)+IF(G635="热镀锌",1,0)*VLOOKUP(C635,常规材料表!$1:$1048576,13,0)+IF(G635="冷镀锌",1,0)*VLOOKUP(C635,常规材料表!$1:$1048576,15,0),0)</f>
        <v>0</v>
      </c>
      <c r="F635" s="418">
        <f>IFERROR(VLOOKUP(C635,常规材料表!$1:$1048576,11,0)/P635+D641,0)</f>
        <v>0</v>
      </c>
      <c r="G635" s="514" t="s">
        <v>236</v>
      </c>
      <c r="H635" s="418" t="e">
        <f t="shared" ref="H635:H640" si="53">P635*(D635+F635*1.13+E635+S635)/1.13*N635</f>
        <v>#DIV/0!</v>
      </c>
      <c r="I635" s="509">
        <f>F634*N635</f>
        <v>0</v>
      </c>
      <c r="J635" s="651">
        <v>84</v>
      </c>
      <c r="K635" s="54" t="s">
        <v>237</v>
      </c>
      <c r="L635" s="54"/>
      <c r="M635" s="418" t="e">
        <f>H634/G634</f>
        <v>#DIV/0!</v>
      </c>
      <c r="N635">
        <f>J635/J635</f>
        <v>1</v>
      </c>
      <c r="O635" s="425" t="s">
        <v>749</v>
      </c>
      <c r="P635" s="112">
        <f>IFERROR(VLOOKUP(C635,常规材料表!$1:$1048576,3,0)*(D634+12)/1000,0)</f>
        <v>0</v>
      </c>
      <c r="Q635" s="112">
        <f>IFERROR(VLOOKUP(C635,常规材料表!$1:$1048576,4,0)*D634/1000,0)</f>
        <v>0</v>
      </c>
      <c r="R635">
        <f t="shared" ref="R635:R640" si="54">W635+AC635+AI635</f>
        <v>0</v>
      </c>
      <c r="S635" t="e">
        <f t="shared" ref="S635:S640" si="55">R635/P635</f>
        <v>#DIV/0!</v>
      </c>
      <c r="T635">
        <f>IFERROR(VLOOKUP(C635,常规材料表!$1:$1048576,17,0),0)</f>
        <v>0</v>
      </c>
      <c r="U635">
        <f>IFERROR(VLOOKUP(C635,常规材料表!$1:$1048576,18,0),0)</f>
        <v>0</v>
      </c>
      <c r="V635">
        <f>IFERROR(VLOOKUP(T635,常规材料表!$1:$1048576,5,0),0)*X635</f>
        <v>0</v>
      </c>
      <c r="W635">
        <f t="shared" ref="W635:W640" si="56">V635*U635</f>
        <v>0</v>
      </c>
      <c r="X635">
        <f>IFERROR(VLOOKUP(T635,常规材料表!$1:$1048576,3,0),0)</f>
        <v>0</v>
      </c>
      <c r="Y635">
        <f t="shared" ref="Y635:Y640" si="57">X635*U635</f>
        <v>0</v>
      </c>
      <c r="Z635">
        <f>IFERROR(VLOOKUP(C635,常规材料表!$1:$1048576,19,0),0)</f>
        <v>0</v>
      </c>
      <c r="AA635">
        <f>IFERROR(VLOOKUP(C635,常规材料表!$1:$1048576,20,0),0)</f>
        <v>0</v>
      </c>
      <c r="AB635">
        <f>IFERROR(VLOOKUP(Z635,常规材料表!$1:$1048576,5,0),0)*AD635</f>
        <v>0</v>
      </c>
      <c r="AC635">
        <f t="shared" ref="AC635:AC640" si="58">AB635*AA635</f>
        <v>0</v>
      </c>
      <c r="AD635">
        <f>IFERROR(VLOOKUP(Z635,常规材料表!$1:$1048576,3,0),0)</f>
        <v>0</v>
      </c>
      <c r="AE635">
        <f t="shared" ref="AE635:AE640" si="59">AD635*AA635</f>
        <v>0</v>
      </c>
      <c r="AF635">
        <f>IFERROR(VLOOKUP(C635,常规材料表!$1:$1048576,21,0),0)</f>
        <v>0</v>
      </c>
      <c r="AG635">
        <f>IFERROR(VLOOKUP(C635,常规材料表!$1:$1048576,22,0),0)</f>
        <v>0</v>
      </c>
      <c r="AH635">
        <f>IFERROR(VLOOKUP(AF635,常规材料表!$1:$1048576,5,0),0)*AJ635</f>
        <v>0</v>
      </c>
      <c r="AI635">
        <f t="shared" ref="AI635:AI640" si="60">AH635*AG635</f>
        <v>0</v>
      </c>
      <c r="AJ635">
        <f>IFERROR(VLOOKUP(AF635,常规材料表!$1:$1048576,3,0),0)</f>
        <v>0</v>
      </c>
      <c r="AK635">
        <f t="shared" ref="AK635:AK640" si="61">AJ635*AG635</f>
        <v>0</v>
      </c>
      <c r="AQ635" s="110"/>
      <c r="AX635" t="s">
        <v>156</v>
      </c>
      <c r="AY635" t="s">
        <v>246</v>
      </c>
      <c r="AZ635" t="s">
        <v>102</v>
      </c>
      <c r="BA635" t="s">
        <v>158</v>
      </c>
      <c r="BB635" t="s">
        <v>247</v>
      </c>
      <c r="BC635" t="s">
        <v>248</v>
      </c>
      <c r="BD635" t="s">
        <v>249</v>
      </c>
      <c r="BE635" t="s">
        <v>250</v>
      </c>
      <c r="BF635" t="s">
        <v>251</v>
      </c>
      <c r="BZ635" t="s">
        <v>646</v>
      </c>
      <c r="CA635" s="112"/>
      <c r="CE635" t="s">
        <v>204</v>
      </c>
      <c r="CG635" s="122"/>
      <c r="CV635" s="388"/>
    </row>
    <row r="636" spans="1:100" customFormat="1" ht="30" customHeight="1" outlineLevel="1">
      <c r="A636" s="112"/>
      <c r="B636" s="418" t="s">
        <v>362</v>
      </c>
      <c r="C636" s="460" t="s">
        <v>744</v>
      </c>
      <c r="D636" s="418">
        <f>IFERROR(IF(G636="预镀锌",VLOOKUP(C636,常规材料表!$1:$1048576,5,0),VLOOKUP(C636,常规材料表!$1:$1048576,10,0)),0)</f>
        <v>6.6889632107023402</v>
      </c>
      <c r="E636" s="418">
        <f>IFERROR(IF(G636="喷塑",1,0)*VLOOKUP(C636,常规材料表!$1:$1048576,12,0)+IF(G636="热镀锌",1,0)*VLOOKUP(C636,常规材料表!$1:$1048576,13,0)+IF(G636="冷镀锌",1,0)*VLOOKUP(C636,常规材料表!$1:$1048576,15,0),0)</f>
        <v>0.95</v>
      </c>
      <c r="F636" s="418">
        <f>IFERROR(VLOOKUP(C636,常规材料表!$1:$1048576,11,0)/P636+D641,0)</f>
        <v>0.3</v>
      </c>
      <c r="G636" s="514" t="str">
        <f>G635</f>
        <v>喷塑</v>
      </c>
      <c r="H636" s="418">
        <f t="shared" si="53"/>
        <v>27.630076786929884</v>
      </c>
      <c r="I636" s="509">
        <f>F634*N636</f>
        <v>0</v>
      </c>
      <c r="J636" s="651">
        <v>84</v>
      </c>
      <c r="K636" s="54" t="s">
        <v>237</v>
      </c>
      <c r="L636" s="54"/>
      <c r="N636">
        <f>J636/J635</f>
        <v>1</v>
      </c>
      <c r="O636" s="425" t="s">
        <v>749</v>
      </c>
      <c r="P636" s="112">
        <f>IFERROR(VLOOKUP(C636,常规材料表!$1:$1048576,3,0)+Y636+AE636,0)</f>
        <v>3.4039999999999999</v>
      </c>
      <c r="Q636" s="112">
        <f>IFERROR(VLOOKUP(C636,常规材料表!$1:$1048576,4,0),0)</f>
        <v>0.152</v>
      </c>
      <c r="R636">
        <f t="shared" si="54"/>
        <v>4.0650000000000004</v>
      </c>
      <c r="S636">
        <f t="shared" si="55"/>
        <v>1.1941833137485314</v>
      </c>
      <c r="T636" t="str">
        <f>IFERROR(VLOOKUP(C636,常规材料表!$1:$1048576,17,0),0)</f>
        <v>ø20*120  8.8G</v>
      </c>
      <c r="U636">
        <f>IFERROR(VLOOKUP(C636,常规材料表!$1:$1048576,18,0),0)</f>
        <v>1</v>
      </c>
      <c r="V636">
        <f>IFERROR(VLOOKUP(T636,常规材料表!$1:$1048576,5,0),0)*X636</f>
        <v>3.85</v>
      </c>
      <c r="W636">
        <f t="shared" si="56"/>
        <v>3.85</v>
      </c>
      <c r="X636">
        <f>IFERROR(VLOOKUP(T636,常规材料表!$1:$1048576,3,0),0)</f>
        <v>0.4</v>
      </c>
      <c r="Y636">
        <f t="shared" si="57"/>
        <v>0.4</v>
      </c>
      <c r="Z636" t="str">
        <f>IFERROR(VLOOKUP(C636,常规材料表!$1:$1048576,19,0),0)</f>
        <v>ø3.5*76</v>
      </c>
      <c r="AA636">
        <f>IFERROR(VLOOKUP(C636,常规材料表!$1:$1048576,20,0),0)</f>
        <v>1</v>
      </c>
      <c r="AB636">
        <f>IFERROR(VLOOKUP(Z636,常规材料表!$1:$1048576,5,0),0)*AD636</f>
        <v>0.21500000000000061</v>
      </c>
      <c r="AC636">
        <f t="shared" si="58"/>
        <v>0.21500000000000061</v>
      </c>
      <c r="AD636">
        <f>IFERROR(VLOOKUP(Z636,常规材料表!$1:$1048576,3,0),0)</f>
        <v>1.4E-2</v>
      </c>
      <c r="AE636">
        <f t="shared" si="59"/>
        <v>1.4E-2</v>
      </c>
      <c r="AF636">
        <f>IFERROR(VLOOKUP(C636,常规材料表!$1:$1048576,21,0),0)</f>
        <v>0</v>
      </c>
      <c r="AG636">
        <f>IFERROR(VLOOKUP(C636,常规材料表!$1:$1048576,22,0),0)</f>
        <v>0</v>
      </c>
      <c r="AH636">
        <f>IFERROR(VLOOKUP(AF636,常规材料表!$1:$1048576,5,0),0)*AJ636</f>
        <v>0</v>
      </c>
      <c r="AI636">
        <f t="shared" si="60"/>
        <v>0</v>
      </c>
      <c r="AJ636">
        <f>IFERROR(VLOOKUP(AF636,常规材料表!$1:$1048576,3,0),0)</f>
        <v>0</v>
      </c>
      <c r="AK636">
        <f t="shared" si="61"/>
        <v>0</v>
      </c>
      <c r="AQ636" s="110"/>
      <c r="BZ636" t="s">
        <v>646</v>
      </c>
      <c r="CA636" s="112"/>
      <c r="CE636" t="s">
        <v>204</v>
      </c>
      <c r="CG636" s="122"/>
      <c r="CV636" s="388"/>
    </row>
    <row r="637" spans="1:100" customFormat="1" ht="30" customHeight="1" outlineLevel="1">
      <c r="A637" s="112"/>
      <c r="B637" s="418" t="s">
        <v>652</v>
      </c>
      <c r="C637" s="460" t="s">
        <v>745</v>
      </c>
      <c r="D637" s="418">
        <f>IFERROR(IF(G637="预镀锌",VLOOKUP(C637,常规材料表!$1:$1048576,5,0),VLOOKUP(C637,常规材料表!$1:$1048576,10,0)),0)</f>
        <v>6.5</v>
      </c>
      <c r="E637" s="418">
        <f>IFERROR(IF(G637="喷塑",1,0)*VLOOKUP(C637,常规材料表!$1:$1048576,12,0)+IF(G637="热镀锌",1,0)*VLOOKUP(C637,常规材料表!$1:$1048576,13,0)+IF(G637="冷镀锌",1,0)*VLOOKUP(C637,常规材料表!$1:$1048576,15,0),0)</f>
        <v>0.95</v>
      </c>
      <c r="F637" s="418">
        <f>IFERROR(VLOOKUP(C637,常规材料表!$1:$1048576,11,0)/P637+D641,0)</f>
        <v>0.3</v>
      </c>
      <c r="G637" s="514" t="str">
        <f>G635</f>
        <v>喷塑</v>
      </c>
      <c r="H637" s="418">
        <f t="shared" si="53"/>
        <v>2.1173017915929209</v>
      </c>
      <c r="I637" s="509">
        <f>F634*N637</f>
        <v>0</v>
      </c>
      <c r="J637" s="651">
        <v>84</v>
      </c>
      <c r="K637" s="54" t="s">
        <v>237</v>
      </c>
      <c r="L637" s="54"/>
      <c r="N637">
        <f>J637/J635</f>
        <v>1</v>
      </c>
      <c r="O637" s="425" t="s">
        <v>749</v>
      </c>
      <c r="P637" s="112">
        <f>IFERROR(VLOOKUP(C637,常规材料表!$1:$1048576,3,0),0)</f>
        <v>0.30717050000000001</v>
      </c>
      <c r="Q637" s="112">
        <f>IFERROR(VLOOKUP(C637,常规材料表!$1:$1048576,4,0),0)</f>
        <v>0</v>
      </c>
      <c r="R637">
        <f t="shared" si="54"/>
        <v>0</v>
      </c>
      <c r="S637">
        <f t="shared" si="55"/>
        <v>0</v>
      </c>
      <c r="T637">
        <f>IFERROR(VLOOKUP(C637,常规材料表!$1:$1048576,17,0),0)</f>
        <v>0</v>
      </c>
      <c r="U637">
        <f>IFERROR(VLOOKUP(C637,常规材料表!$1:$1048576,18,0),0)</f>
        <v>0</v>
      </c>
      <c r="V637">
        <f>IFERROR(VLOOKUP(T637,常规材料表!$1:$1048576,5,0),0)*X637</f>
        <v>0</v>
      </c>
      <c r="W637">
        <f t="shared" si="56"/>
        <v>0</v>
      </c>
      <c r="X637">
        <f>IFERROR(VLOOKUP(T637,常规材料表!$1:$1048576,3,0),0)</f>
        <v>0</v>
      </c>
      <c r="Y637">
        <f t="shared" si="57"/>
        <v>0</v>
      </c>
      <c r="Z637">
        <f>IFERROR(VLOOKUP(C637,常规材料表!$1:$1048576,19,0),0)</f>
        <v>0</v>
      </c>
      <c r="AA637">
        <f>IFERROR(VLOOKUP(C637,常规材料表!$1:$1048576,20,0),0)</f>
        <v>0</v>
      </c>
      <c r="AB637">
        <f>IFERROR(VLOOKUP(Z637,常规材料表!$1:$1048576,5,0),0)*AD637</f>
        <v>0</v>
      </c>
      <c r="AC637">
        <f t="shared" si="58"/>
        <v>0</v>
      </c>
      <c r="AD637">
        <f>IFERROR(VLOOKUP(Z637,常规材料表!$1:$1048576,3,0),0)</f>
        <v>0</v>
      </c>
      <c r="AE637">
        <f t="shared" si="59"/>
        <v>0</v>
      </c>
      <c r="AF637">
        <f>IFERROR(VLOOKUP(C637,常规材料表!$1:$1048576,21,0),0)</f>
        <v>0</v>
      </c>
      <c r="AG637">
        <f>IFERROR(VLOOKUP(C637,常规材料表!$1:$1048576,22,0),0)</f>
        <v>0</v>
      </c>
      <c r="AH637">
        <f>IFERROR(VLOOKUP(AF637,常规材料表!$1:$1048576,5,0),0)*AJ637</f>
        <v>0</v>
      </c>
      <c r="AI637">
        <f t="shared" si="60"/>
        <v>0</v>
      </c>
      <c r="AJ637">
        <f>IFERROR(VLOOKUP(AF637,常规材料表!$1:$1048576,3,0),0)</f>
        <v>0</v>
      </c>
      <c r="AK637">
        <f t="shared" si="61"/>
        <v>0</v>
      </c>
      <c r="AQ637" s="110"/>
      <c r="BZ637" t="s">
        <v>646</v>
      </c>
      <c r="CA637" s="112"/>
      <c r="CE637" t="s">
        <v>204</v>
      </c>
      <c r="CG637" s="122"/>
      <c r="CV637" s="388"/>
    </row>
    <row r="638" spans="1:100" customFormat="1" ht="30" customHeight="1" outlineLevel="1">
      <c r="A638" s="112"/>
      <c r="B638" s="418" t="s">
        <v>654</v>
      </c>
      <c r="C638" s="460" t="s">
        <v>746</v>
      </c>
      <c r="D638" s="418">
        <f>IFERROR(IF(G638="预镀锌",VLOOKUP(C638,常规材料表!$1:$1048576,5,0),VLOOKUP(C638,常规材料表!$1:$1048576,10,0)),0)</f>
        <v>6.5</v>
      </c>
      <c r="E638" s="418">
        <f>IFERROR(IF(G638="喷塑",1,0)*VLOOKUP(C638,常规材料表!$1:$1048576,12,0)+IF(G638="热镀锌",1,0)*VLOOKUP(C638,常规材料表!$1:$1048576,13,0)+IF(G638="冷镀锌",1,0)*VLOOKUP(C638,常规材料表!$1:$1048576,15,0),0)</f>
        <v>0.95</v>
      </c>
      <c r="F638" s="418">
        <f>IFERROR(VLOOKUP(C638,常规材料表!$1:$1048576,11,0)/P638+D641,0)</f>
        <v>0.3</v>
      </c>
      <c r="G638" s="514" t="str">
        <f>G635</f>
        <v>喷塑</v>
      </c>
      <c r="H638" s="418">
        <f t="shared" si="53"/>
        <v>0</v>
      </c>
      <c r="I638" s="509">
        <f>F634*N638</f>
        <v>0</v>
      </c>
      <c r="J638" s="651"/>
      <c r="K638" s="54" t="s">
        <v>237</v>
      </c>
      <c r="L638" s="54"/>
      <c r="N638">
        <f>J638/J635</f>
        <v>0</v>
      </c>
      <c r="O638" s="425" t="s">
        <v>749</v>
      </c>
      <c r="P638" s="112">
        <f>IFERROR(VLOOKUP(C638,常规材料表!$1:$1048576,3,0),0)</f>
        <v>0.2288589</v>
      </c>
      <c r="Q638" s="112">
        <f>IFERROR(VLOOKUP(C638,常规材料表!$1:$1048576,4,0),0)</f>
        <v>9.4599999999999997E-3</v>
      </c>
      <c r="R638">
        <f t="shared" si="54"/>
        <v>0</v>
      </c>
      <c r="S638">
        <f t="shared" si="55"/>
        <v>0</v>
      </c>
      <c r="T638">
        <f>IFERROR(VLOOKUP(C638,常规材料表!$1:$1048576,17,0),0)</f>
        <v>0</v>
      </c>
      <c r="U638">
        <f>IFERROR(VLOOKUP(C638,常规材料表!$1:$1048576,18,0),0)</f>
        <v>0</v>
      </c>
      <c r="V638">
        <f>IFERROR(VLOOKUP(T638,常规材料表!$1:$1048576,5,0),0)*X638</f>
        <v>0</v>
      </c>
      <c r="W638">
        <f t="shared" si="56"/>
        <v>0</v>
      </c>
      <c r="X638">
        <f>IFERROR(VLOOKUP(T638,常规材料表!$1:$1048576,3,0),0)</f>
        <v>0</v>
      </c>
      <c r="Y638">
        <f t="shared" si="57"/>
        <v>0</v>
      </c>
      <c r="Z638">
        <f>IFERROR(VLOOKUP(C638,常规材料表!$1:$1048576,19,0),0)</f>
        <v>0</v>
      </c>
      <c r="AA638">
        <f>IFERROR(VLOOKUP(C638,常规材料表!$1:$1048576,20,0),0)</f>
        <v>0</v>
      </c>
      <c r="AB638">
        <f>IFERROR(VLOOKUP(Z638,常规材料表!$1:$1048576,5,0),0)*AD638</f>
        <v>0</v>
      </c>
      <c r="AC638">
        <f t="shared" si="58"/>
        <v>0</v>
      </c>
      <c r="AD638">
        <f>IFERROR(VLOOKUP(Z638,常规材料表!$1:$1048576,3,0),0)</f>
        <v>0</v>
      </c>
      <c r="AE638">
        <f t="shared" si="59"/>
        <v>0</v>
      </c>
      <c r="AF638">
        <f>IFERROR(VLOOKUP(C638,常规材料表!$1:$1048576,21,0),0)</f>
        <v>0</v>
      </c>
      <c r="AG638">
        <f>IFERROR(VLOOKUP(C638,常规材料表!$1:$1048576,22,0),0)</f>
        <v>0</v>
      </c>
      <c r="AH638">
        <f>IFERROR(VLOOKUP(AF638,常规材料表!$1:$1048576,5,0),0)*AJ638</f>
        <v>0</v>
      </c>
      <c r="AI638">
        <f t="shared" si="60"/>
        <v>0</v>
      </c>
      <c r="AJ638">
        <f>IFERROR(VLOOKUP(AF638,常规材料表!$1:$1048576,3,0),0)</f>
        <v>0</v>
      </c>
      <c r="AK638">
        <f t="shared" si="61"/>
        <v>0</v>
      </c>
      <c r="AQ638" s="110"/>
      <c r="BZ638" t="s">
        <v>646</v>
      </c>
      <c r="CA638" s="112"/>
      <c r="CE638" t="s">
        <v>204</v>
      </c>
      <c r="CG638" s="122"/>
      <c r="CV638" s="388"/>
    </row>
    <row r="639" spans="1:100" customFormat="1" ht="30" customHeight="1" outlineLevel="1">
      <c r="A639" s="112"/>
      <c r="B639" s="418" t="s">
        <v>656</v>
      </c>
      <c r="C639" s="460" t="s">
        <v>747</v>
      </c>
      <c r="D639" s="418">
        <f>IFERROR(IF(G639="预镀锌",VLOOKUP(C639,常规材料表!$1:$1048576,5,0),VLOOKUP(C639,常规材料表!$1:$1048576,10,0)),0)</f>
        <v>8.25</v>
      </c>
      <c r="E639" s="418">
        <f>IFERROR(IF(G639="喷塑",1,0)*VLOOKUP(C639,常规材料表!$1:$1048576,12,0)+IF(G639="热镀锌",1,0)*VLOOKUP(C639,常规材料表!$1:$1048576,13,0)+IF(G639="冷镀锌",1,0)*VLOOKUP(C639,常规材料表!$1:$1048576,15,0),0)</f>
        <v>0.95</v>
      </c>
      <c r="F639" s="418">
        <f>IFERROR(VLOOKUP(C639,常规材料表!$1:$1048576,11,0)/P639+D641,0)</f>
        <v>27.005122042407724</v>
      </c>
      <c r="G639" s="514" t="str">
        <f>G635</f>
        <v>喷塑</v>
      </c>
      <c r="H639" s="418">
        <f t="shared" si="53"/>
        <v>8.329771446174524</v>
      </c>
      <c r="I639" s="509">
        <f>F634*N639</f>
        <v>0</v>
      </c>
      <c r="J639" s="460">
        <f>J637</f>
        <v>84</v>
      </c>
      <c r="K639" s="54" t="s">
        <v>237</v>
      </c>
      <c r="L639" s="54"/>
      <c r="N639">
        <f>J639/J635</f>
        <v>1</v>
      </c>
      <c r="O639" s="425" t="s">
        <v>749</v>
      </c>
      <c r="P639" s="112">
        <f>IFERROR(VLOOKUP(C639,常规材料表!$1:$1048576,3,0),0)</f>
        <v>0.23699999999999999</v>
      </c>
      <c r="Q639" s="112">
        <f>IFERROR(VLOOKUP(C639,常规材料表!$1:$1048576,4,0),0)</f>
        <v>0</v>
      </c>
      <c r="R639">
        <f t="shared" si="54"/>
        <v>0</v>
      </c>
      <c r="S639">
        <f t="shared" si="55"/>
        <v>0</v>
      </c>
      <c r="T639">
        <f>IFERROR(VLOOKUP(C639,常规材料表!$1:$1048576,17,0),0)</f>
        <v>0</v>
      </c>
      <c r="U639">
        <f>IFERROR(VLOOKUP(C639,常规材料表!$1:$1048576,18,0),0)</f>
        <v>0</v>
      </c>
      <c r="V639">
        <f>IFERROR(VLOOKUP(T639,常规材料表!$1:$1048576,5,0),0)*X639</f>
        <v>0</v>
      </c>
      <c r="W639">
        <f t="shared" si="56"/>
        <v>0</v>
      </c>
      <c r="X639">
        <f>IFERROR(VLOOKUP(T639,常规材料表!$1:$1048576,3,0),0)</f>
        <v>0</v>
      </c>
      <c r="Y639">
        <f t="shared" si="57"/>
        <v>0</v>
      </c>
      <c r="Z639">
        <f>IFERROR(VLOOKUP(C639,常规材料表!$1:$1048576,19,0),0)</f>
        <v>0</v>
      </c>
      <c r="AA639">
        <f>IFERROR(VLOOKUP(C639,常规材料表!$1:$1048576,20,0),0)</f>
        <v>0</v>
      </c>
      <c r="AB639">
        <f>IFERROR(VLOOKUP(Z639,常规材料表!$1:$1048576,5,0),0)*AD639</f>
        <v>0</v>
      </c>
      <c r="AC639">
        <f t="shared" si="58"/>
        <v>0</v>
      </c>
      <c r="AD639">
        <f>IFERROR(VLOOKUP(Z639,常规材料表!$1:$1048576,3,0),0)</f>
        <v>0</v>
      </c>
      <c r="AE639">
        <f t="shared" si="59"/>
        <v>0</v>
      </c>
      <c r="AF639">
        <f>IFERROR(VLOOKUP(C639,常规材料表!$1:$1048576,21,0),0)</f>
        <v>0</v>
      </c>
      <c r="AG639">
        <f>IFERROR(VLOOKUP(C639,常规材料表!$1:$1048576,22,0),0)</f>
        <v>0</v>
      </c>
      <c r="AH639">
        <f>IFERROR(VLOOKUP(AF639,常规材料表!$1:$1048576,5,0),0)*AJ639</f>
        <v>0</v>
      </c>
      <c r="AI639">
        <f t="shared" si="60"/>
        <v>0</v>
      </c>
      <c r="AJ639">
        <f>IFERROR(VLOOKUP(AF639,常规材料表!$1:$1048576,3,0),0)</f>
        <v>0</v>
      </c>
      <c r="AK639">
        <f t="shared" si="61"/>
        <v>0</v>
      </c>
      <c r="AQ639" s="110"/>
      <c r="BZ639" t="s">
        <v>646</v>
      </c>
      <c r="CA639" s="112"/>
      <c r="CE639" t="s">
        <v>204</v>
      </c>
      <c r="CG639" s="122"/>
      <c r="CV639" s="388"/>
    </row>
    <row r="640" spans="1:100" customFormat="1" ht="30" customHeight="1" outlineLevel="1">
      <c r="A640" s="112"/>
      <c r="B640" s="418" t="s">
        <v>658</v>
      </c>
      <c r="C640" s="460" t="s">
        <v>748</v>
      </c>
      <c r="D640" s="418">
        <f>IFERROR(VLOOKUP(C640,常规材料表!$1:$1048576,5,0),0)</f>
        <v>11.764705882352899</v>
      </c>
      <c r="E640" s="418">
        <f>IFERROR(IF(G640="喷塑",1,0)*VLOOKUP(C640,常规材料表!$1:$1048576,12,0)+IF(G640="热镀锌",1,0)*VLOOKUP(C640,常规材料表!$1:$1048576,13,0)+IF(G640="冷镀锌",1,0)*VLOOKUP(C640,常规材料表!$1:$1048576,15,0),0)</f>
        <v>0</v>
      </c>
      <c r="F640" s="418">
        <f>IFERROR(VLOOKUP(C640,常规材料表!$1:$1048576,11,0)/P640+D641,0)</f>
        <v>0.3</v>
      </c>
      <c r="G640" s="514" t="str">
        <f>G635</f>
        <v>喷塑</v>
      </c>
      <c r="H640" s="418">
        <f t="shared" si="53"/>
        <v>0.18209115044247728</v>
      </c>
      <c r="I640" s="509">
        <f>F634*N640</f>
        <v>0</v>
      </c>
      <c r="J640" s="460">
        <f>J637</f>
        <v>84</v>
      </c>
      <c r="K640" s="54" t="s">
        <v>237</v>
      </c>
      <c r="L640" s="54"/>
      <c r="N640">
        <f>J640/J635</f>
        <v>1</v>
      </c>
      <c r="O640" s="425" t="s">
        <v>749</v>
      </c>
      <c r="P640" s="112">
        <f>IFERROR(VLOOKUP(C640,常规材料表!$1:$1048576,3,0),0)</f>
        <v>1.7000000000000001E-2</v>
      </c>
      <c r="Q640" s="112">
        <f>IFERROR(VLOOKUP(C640,常规材料表!$1:$1048576,4,0),0)</f>
        <v>0</v>
      </c>
      <c r="R640">
        <f t="shared" si="54"/>
        <v>0</v>
      </c>
      <c r="S640">
        <f t="shared" si="55"/>
        <v>0</v>
      </c>
      <c r="T640">
        <f>IFERROR(VLOOKUP(C640,常规材料表!$1:$1048576,17,0),0)</f>
        <v>0</v>
      </c>
      <c r="U640">
        <f>IFERROR(VLOOKUP(C640,常规材料表!$1:$1048576,18,0),0)</f>
        <v>0</v>
      </c>
      <c r="V640">
        <f>IFERROR(VLOOKUP(T640,常规材料表!$1:$1048576,5,0),0)*X640</f>
        <v>0</v>
      </c>
      <c r="W640">
        <f t="shared" si="56"/>
        <v>0</v>
      </c>
      <c r="X640">
        <f>IFERROR(VLOOKUP(T640,常规材料表!$1:$1048576,3,0),0)</f>
        <v>0</v>
      </c>
      <c r="Y640">
        <f t="shared" si="57"/>
        <v>0</v>
      </c>
      <c r="Z640">
        <f>IFERROR(VLOOKUP(C640,常规材料表!$1:$1048576,19,0),0)</f>
        <v>0</v>
      </c>
      <c r="AA640">
        <f>IFERROR(VLOOKUP(C640,常规材料表!$1:$1048576,20,0),0)</f>
        <v>0</v>
      </c>
      <c r="AB640">
        <f>IFERROR(VLOOKUP(Z640,常规材料表!$1:$1048576,5,0),0)*AD640</f>
        <v>0</v>
      </c>
      <c r="AC640">
        <f t="shared" si="58"/>
        <v>0</v>
      </c>
      <c r="AD640">
        <f>IFERROR(VLOOKUP(Z640,常规材料表!$1:$1048576,3,0),0)</f>
        <v>0</v>
      </c>
      <c r="AE640">
        <f t="shared" si="59"/>
        <v>0</v>
      </c>
      <c r="AF640">
        <f>IFERROR(VLOOKUP(C640,常规材料表!$1:$1048576,21,0),0)</f>
        <v>0</v>
      </c>
      <c r="AG640">
        <f>IFERROR(VLOOKUP(C640,常规材料表!$1:$1048576,22,0),0)</f>
        <v>0</v>
      </c>
      <c r="AH640">
        <f>IFERROR(VLOOKUP(AF640,常规材料表!$1:$1048576,5,0),0)*AJ640</f>
        <v>0</v>
      </c>
      <c r="AI640">
        <f t="shared" si="60"/>
        <v>0</v>
      </c>
      <c r="AJ640">
        <f>IFERROR(VLOOKUP(AF640,常规材料表!$1:$1048576,3,0),0)</f>
        <v>0</v>
      </c>
      <c r="AK640">
        <f t="shared" si="61"/>
        <v>0</v>
      </c>
      <c r="AQ640" s="110"/>
      <c r="BZ640" t="s">
        <v>646</v>
      </c>
      <c r="CA640" s="112"/>
      <c r="CE640" t="s">
        <v>204</v>
      </c>
      <c r="CG640" s="122"/>
      <c r="CV640" s="388"/>
    </row>
    <row r="641" spans="1:100" customFormat="1" ht="30" customHeight="1" outlineLevel="1">
      <c r="A641" s="112"/>
      <c r="B641" s="414">
        <v>0</v>
      </c>
      <c r="C641" s="418" t="s">
        <v>622</v>
      </c>
      <c r="D641" s="655">
        <v>0.3</v>
      </c>
      <c r="E641" s="564"/>
      <c r="F641" s="561"/>
      <c r="G641" s="418"/>
      <c r="H641" s="418" t="s">
        <v>711</v>
      </c>
      <c r="I641" s="418" t="s">
        <v>102</v>
      </c>
      <c r="J641" s="418" t="s">
        <v>623</v>
      </c>
      <c r="K641" s="54" t="s">
        <v>237</v>
      </c>
      <c r="L641" s="54"/>
      <c r="O641" s="425" t="s">
        <v>749</v>
      </c>
      <c r="AQ641" s="110"/>
      <c r="BZ641" t="s">
        <v>646</v>
      </c>
      <c r="CA641" s="112"/>
      <c r="CE641" t="s">
        <v>204</v>
      </c>
      <c r="CG641" s="122"/>
      <c r="CV641" s="388"/>
    </row>
    <row r="642" spans="1:100" s="379" customFormat="1" ht="30" customHeight="1">
      <c r="A642" s="709"/>
      <c r="B642" s="710"/>
      <c r="C642" s="710"/>
      <c r="D642" s="710"/>
      <c r="E642" s="711"/>
      <c r="F642" s="710"/>
      <c r="G642" s="710"/>
      <c r="H642" s="710"/>
      <c r="I642" s="710"/>
      <c r="J642" s="712"/>
      <c r="K642" s="712"/>
      <c r="L642" s="712"/>
      <c r="AQ642" s="713"/>
      <c r="BZ642" t="s">
        <v>646</v>
      </c>
      <c r="CA642" s="112"/>
      <c r="CB642"/>
      <c r="CC642"/>
      <c r="CD642"/>
      <c r="CE642" t="s">
        <v>204</v>
      </c>
      <c r="CF642"/>
      <c r="CG642" s="122"/>
    </row>
    <row r="643" spans="1:100" customFormat="1" ht="24.95" customHeight="1" collapsed="1">
      <c r="A643" s="112" t="str">
        <f>IF($C$13=1,IF(K643="报价行",IF(F643&gt;0,1," ")," ")," ")</f>
        <v xml:space="preserve"> </v>
      </c>
      <c r="B643" s="414" t="str">
        <f>IF(A643=1,SUM($A$11:A643),"网层板")</f>
        <v>网层板</v>
      </c>
      <c r="C643" s="547" t="s">
        <v>408</v>
      </c>
      <c r="D643" s="634" t="str">
        <f>"D"&amp;E644&amp;"*W"&amp;F644</f>
        <v>D1210*W1335</v>
      </c>
      <c r="E643" s="635" t="str">
        <f>IF(G645&gt;1,"divide to "&amp;G645&amp;" pcs, "," ")&amp;"Mesh 50*100, dia "&amp;D645&amp;"mm, "&amp;E645&amp;" ribs"&amp;"*"&amp;F645&amp;"mm/pc, "&amp;IF(H646&gt;0,"load "&amp;H646&amp;" kg/pc"," ")</f>
        <v xml:space="preserve"> Mesh 50*100, dia 4.8mm, 5 ribs*2mm/pc, load 1000 kg/pc</v>
      </c>
      <c r="F643" s="460">
        <v>200</v>
      </c>
      <c r="G643" s="419">
        <f>IFERROR(Y644,"-")</f>
        <v>15.6794897712</v>
      </c>
      <c r="H643" s="420">
        <f>IFERROR(X644,"-")</f>
        <v>80.274596728287634</v>
      </c>
      <c r="I643" s="421" t="s">
        <v>396</v>
      </c>
      <c r="J643" s="634" t="s">
        <v>750</v>
      </c>
      <c r="K643" s="423" t="s">
        <v>217</v>
      </c>
      <c r="L643" s="54"/>
      <c r="O643" s="572" t="s">
        <v>751</v>
      </c>
      <c r="P643" s="572"/>
      <c r="Q643" t="s">
        <v>219</v>
      </c>
      <c r="R643" s="421" t="s">
        <v>238</v>
      </c>
      <c r="S643" s="420" t="s">
        <v>239</v>
      </c>
      <c r="T643" s="421" t="s">
        <v>240</v>
      </c>
      <c r="U643" s="421" t="s">
        <v>398</v>
      </c>
      <c r="V643" s="421" t="s">
        <v>226</v>
      </c>
      <c r="W643" s="420" t="s">
        <v>207</v>
      </c>
      <c r="X643" s="421" t="s">
        <v>243</v>
      </c>
      <c r="Y643" s="414" t="s">
        <v>244</v>
      </c>
      <c r="Z643" s="414" t="s">
        <v>159</v>
      </c>
      <c r="AA643" s="460" t="s">
        <v>399</v>
      </c>
      <c r="AB643" s="460" t="s">
        <v>400</v>
      </c>
      <c r="AC643" s="460" t="s">
        <v>401</v>
      </c>
      <c r="AD643" s="460" t="s">
        <v>402</v>
      </c>
      <c r="AE643" s="460" t="s">
        <v>155</v>
      </c>
      <c r="AF643" s="509" t="s">
        <v>226</v>
      </c>
      <c r="AG643" s="509" t="s">
        <v>403</v>
      </c>
      <c r="AH643" s="429" t="s">
        <v>404</v>
      </c>
      <c r="AI643" s="573" t="s">
        <v>405</v>
      </c>
      <c r="AJ643" s="573" t="s">
        <v>406</v>
      </c>
      <c r="AK643" s="573" t="s">
        <v>407</v>
      </c>
      <c r="AQ643" s="110"/>
      <c r="AX643" t="str">
        <f>E643</f>
        <v xml:space="preserve"> Mesh 50*100, dia 4.8mm, 5 ribs*2mm/pc, load 1000 kg/pc</v>
      </c>
      <c r="AY643" s="494" t="str">
        <f>D643</f>
        <v>D1210*W1335</v>
      </c>
      <c r="AZ643">
        <f>F643</f>
        <v>200</v>
      </c>
      <c r="BA643" s="256">
        <f>G643</f>
        <v>15.6794897712</v>
      </c>
      <c r="BB643">
        <f>AZ643*BA643</f>
        <v>3135.8979542400002</v>
      </c>
      <c r="BC643" s="495">
        <f>G646</f>
        <v>40</v>
      </c>
      <c r="BR643" t="str">
        <f>I643</f>
        <v>Gal</v>
      </c>
      <c r="BZ643" t="s">
        <v>397</v>
      </c>
      <c r="CA643" s="112" t="s">
        <v>200</v>
      </c>
      <c r="CG643" s="122" t="s">
        <v>207</v>
      </c>
      <c r="CV643" s="388"/>
    </row>
    <row r="644" spans="1:100" customFormat="1" ht="24.95" customHeight="1" outlineLevel="1">
      <c r="A644" s="112"/>
      <c r="B644" s="418"/>
      <c r="C644" s="418" t="s">
        <v>397</v>
      </c>
      <c r="D644" s="460" t="s">
        <v>409</v>
      </c>
      <c r="E644" s="547">
        <v>1210</v>
      </c>
      <c r="F644" s="547">
        <v>1335</v>
      </c>
      <c r="G644" s="438" t="s">
        <v>410</v>
      </c>
      <c r="H644" s="420"/>
      <c r="I644" s="421"/>
      <c r="J644" s="422"/>
      <c r="K644" s="54" t="s">
        <v>237</v>
      </c>
      <c r="L644" s="54"/>
      <c r="O644" s="572" t="s">
        <v>751</v>
      </c>
      <c r="P644" s="572"/>
      <c r="R644" s="422">
        <f>IF(D646&gt;0,D646,IF(AE644="喷塑",VLOOKUP(AA644&amp;AC644,常规材料表!$1:$1048576,10,0),VLOOKUP(AA644&amp;AC644,常规材料表!$1:$1048576,15,0)))</f>
        <v>5.66</v>
      </c>
      <c r="S644" s="420">
        <v>1.01</v>
      </c>
      <c r="T644" s="519">
        <f>R644*S644/1.13</f>
        <v>5.0589380530973465</v>
      </c>
      <c r="U644" s="422">
        <f>(AI644+AJ644/AK644)/Y644/1.13</f>
        <v>6.078190588598497E-2</v>
      </c>
      <c r="V644" s="422">
        <f>AF644*AG644/Y644</f>
        <v>0</v>
      </c>
      <c r="W644" s="520"/>
      <c r="X644" s="422">
        <f>(T644+U644+V644+W644)*Y644</f>
        <v>80.274596728287634</v>
      </c>
      <c r="Y644" s="508">
        <f>AC646*SUM((AA646-AH646)/AC646*(ROUND((AB646+AI646)/AJ646,0)+2)*3.14*(AC644/2)^2*U645/1000/1000+IF(ISNUMBER(SEARCH("非",AA644)),AB646,(AB646+AI646+AF646))*(ROUND((AA646-AH646)/AC646/AK646,0)+1)*3.14*(AC644/2)^2*U645/1000/1000+(AB646+AI646+AG646)*AD644*U645*AD646*AH644/1000/1000)</f>
        <v>15.6794897712</v>
      </c>
      <c r="Z644" s="508">
        <f>Y644*AB644</f>
        <v>15.6794897712</v>
      </c>
      <c r="AA644" s="460" t="str">
        <f>D644</f>
        <v>定制折弯式网层板</v>
      </c>
      <c r="AB644" s="460">
        <v>1</v>
      </c>
      <c r="AC644" s="460">
        <f>D645</f>
        <v>4.8</v>
      </c>
      <c r="AD644" s="460">
        <f>E645</f>
        <v>5</v>
      </c>
      <c r="AE644" s="514" t="str">
        <f>G644</f>
        <v>镀锌</v>
      </c>
      <c r="AF644" s="515">
        <f>IF(AE644="预镀锌",0,IF(AE644="喷塑",VLOOKUP(AA644,常规材料表!$1:$1048576,12,0),IF(AE644="热镀锌",VLOOKUP(AA644,常规材料表!$1:$1048576,13,0),IF(AE644="冷镀锌",VLOOKUP(AC644,常规材料表!$1:$1048576,15,0),0))))</f>
        <v>0</v>
      </c>
      <c r="AG644" s="508">
        <f>((AA646-AH646)/AC646*IF(AA644="折弯式网层板",(AB646+AI646+AF646),AB646)/1000000+AH644*2/1000*(AB646+AI646+AG646)/1000*AD644)</f>
        <v>2.6608499999999999</v>
      </c>
      <c r="AH644" s="429">
        <v>85</v>
      </c>
      <c r="AI644" s="458">
        <v>1</v>
      </c>
      <c r="AJ644" s="458">
        <v>8</v>
      </c>
      <c r="AK644" s="458">
        <v>104</v>
      </c>
      <c r="AQ644" s="110"/>
      <c r="AX644" t="s">
        <v>156</v>
      </c>
      <c r="AY644" t="s">
        <v>246</v>
      </c>
      <c r="AZ644" t="s">
        <v>102</v>
      </c>
      <c r="BA644" t="s">
        <v>158</v>
      </c>
      <c r="BB644" t="s">
        <v>247</v>
      </c>
      <c r="BC644" t="s">
        <v>248</v>
      </c>
      <c r="BD644" t="s">
        <v>249</v>
      </c>
      <c r="BE644" t="s">
        <v>250</v>
      </c>
      <c r="BF644" t="s">
        <v>251</v>
      </c>
      <c r="BZ644" t="s">
        <v>397</v>
      </c>
      <c r="CA644" s="112" t="s">
        <v>200</v>
      </c>
      <c r="CG644" s="122" t="s">
        <v>207</v>
      </c>
      <c r="CV644" s="388"/>
    </row>
    <row r="645" spans="1:100" customFormat="1" ht="24.95" customHeight="1" outlineLevel="1">
      <c r="A645" s="112"/>
      <c r="B645" s="418"/>
      <c r="C645" s="418" t="s">
        <v>411</v>
      </c>
      <c r="D645" s="547">
        <v>4.8</v>
      </c>
      <c r="E645" s="547">
        <v>5</v>
      </c>
      <c r="F645" s="547">
        <v>2</v>
      </c>
      <c r="G645" s="460">
        <v>1</v>
      </c>
      <c r="H645" s="421"/>
      <c r="I645" s="421"/>
      <c r="J645" s="422"/>
      <c r="K645" s="54" t="s">
        <v>237</v>
      </c>
      <c r="L645" s="54"/>
      <c r="O645" s="572" t="s">
        <v>751</v>
      </c>
      <c r="P645" s="572"/>
      <c r="R645" s="421" t="s">
        <v>412</v>
      </c>
      <c r="S645" s="420">
        <v>1.2</v>
      </c>
      <c r="T645" s="421" t="s">
        <v>277</v>
      </c>
      <c r="U645" s="420">
        <v>7.85</v>
      </c>
      <c r="V645" s="387"/>
      <c r="W645" s="387"/>
      <c r="X645" s="387"/>
      <c r="AA645" s="581" t="s">
        <v>413</v>
      </c>
      <c r="AB645" s="582" t="s">
        <v>414</v>
      </c>
      <c r="AC645" s="460" t="s">
        <v>415</v>
      </c>
      <c r="AD645" s="460" t="s">
        <v>416</v>
      </c>
      <c r="AE645" s="458" t="s">
        <v>417</v>
      </c>
      <c r="AF645" s="458" t="s">
        <v>418</v>
      </c>
      <c r="AG645" s="458" t="s">
        <v>419</v>
      </c>
      <c r="AH645" s="458" t="s">
        <v>420</v>
      </c>
      <c r="AI645" s="573" t="s">
        <v>421</v>
      </c>
      <c r="AJ645" s="458" t="s">
        <v>422</v>
      </c>
      <c r="AK645" s="458" t="s">
        <v>423</v>
      </c>
      <c r="AQ645" s="110"/>
      <c r="BZ645" t="s">
        <v>397</v>
      </c>
      <c r="CA645" s="112" t="s">
        <v>200</v>
      </c>
      <c r="CG645" s="122" t="s">
        <v>207</v>
      </c>
      <c r="CV645" s="388"/>
    </row>
    <row r="646" spans="1:100" customFormat="1" ht="24.95" customHeight="1" outlineLevel="1">
      <c r="A646" s="112"/>
      <c r="B646" s="414">
        <v>0</v>
      </c>
      <c r="C646" s="418">
        <f>报价辅助计算!$E$13</f>
        <v>0</v>
      </c>
      <c r="D646" s="460"/>
      <c r="E646" s="418" t="s">
        <v>752</v>
      </c>
      <c r="F646" s="418" t="s">
        <v>753</v>
      </c>
      <c r="G646" s="558">
        <v>40</v>
      </c>
      <c r="H646" s="421">
        <v>1000</v>
      </c>
      <c r="I646" s="421" t="s">
        <v>754</v>
      </c>
      <c r="J646" s="422"/>
      <c r="K646" s="54" t="s">
        <v>237</v>
      </c>
      <c r="L646" s="54"/>
      <c r="O646" s="572" t="s">
        <v>751</v>
      </c>
      <c r="P646" s="572"/>
      <c r="R646" s="421" t="s">
        <v>424</v>
      </c>
      <c r="S646" s="420">
        <v>7</v>
      </c>
      <c r="T646" s="387"/>
      <c r="U646" s="387"/>
      <c r="V646" s="387"/>
      <c r="W646" s="421" t="s">
        <v>34</v>
      </c>
      <c r="X646" s="422">
        <f>X644/S646*S645</f>
        <v>13.761359439135022</v>
      </c>
      <c r="AA646" s="585">
        <f>F644</f>
        <v>1335</v>
      </c>
      <c r="AB646" s="586">
        <f>E644</f>
        <v>1210</v>
      </c>
      <c r="AC646" s="460">
        <f>G645</f>
        <v>1</v>
      </c>
      <c r="AD646" s="460">
        <f>F645</f>
        <v>2</v>
      </c>
      <c r="AE646" s="458">
        <v>0</v>
      </c>
      <c r="AF646" s="458">
        <v>65</v>
      </c>
      <c r="AG646" s="458">
        <v>15</v>
      </c>
      <c r="AH646" s="458">
        <f>IF(ISNUMBER(SEARCH("定制",AA644)),0,40)</f>
        <v>0</v>
      </c>
      <c r="AI646" s="573">
        <v>5</v>
      </c>
      <c r="AJ646" s="458">
        <v>50</v>
      </c>
      <c r="AK646" s="458">
        <v>100</v>
      </c>
      <c r="AQ646" s="110"/>
      <c r="BZ646" t="s">
        <v>397</v>
      </c>
      <c r="CA646" s="112" t="s">
        <v>200</v>
      </c>
      <c r="CG646" s="122" t="s">
        <v>207</v>
      </c>
      <c r="CV646" s="388"/>
    </row>
    <row r="647" spans="1:100" s="376" customFormat="1" ht="24.95" customHeight="1">
      <c r="A647" s="472"/>
      <c r="B647" s="473"/>
      <c r="C647" s="473"/>
      <c r="D647" s="473"/>
      <c r="E647" s="474"/>
      <c r="F647" s="473"/>
      <c r="G647" s="473"/>
      <c r="H647" s="421"/>
      <c r="I647" s="421"/>
      <c r="J647" s="422"/>
      <c r="K647" s="475"/>
      <c r="L647" s="475"/>
      <c r="R647" s="387"/>
      <c r="S647" s="387"/>
      <c r="T647" s="387"/>
      <c r="U647" s="387"/>
      <c r="V647" s="387"/>
      <c r="W647" s="387"/>
      <c r="X647" s="387"/>
      <c r="AQ647" s="476"/>
      <c r="BZ647" t="s">
        <v>397</v>
      </c>
      <c r="CA647" s="112" t="s">
        <v>200</v>
      </c>
      <c r="CB647"/>
      <c r="CC647"/>
      <c r="CD647"/>
      <c r="CE647"/>
      <c r="CF647"/>
      <c r="CG647" s="122" t="s">
        <v>207</v>
      </c>
    </row>
    <row r="648" spans="1:100" customFormat="1" ht="24.95" customHeight="1">
      <c r="A648" s="112" t="str">
        <f>IF($C$13=1,IF(K648="报价行",IF(F648&gt;0,1," ")," ")," ")</f>
        <v xml:space="preserve"> </v>
      </c>
      <c r="B648" s="414" t="str">
        <f>IF(A648=1,SUM($A$11:A648),"网层板")</f>
        <v>网层板</v>
      </c>
      <c r="C648" s="547" t="s">
        <v>408</v>
      </c>
      <c r="D648" s="634" t="str">
        <f>"D"&amp;E649&amp;"*W"&amp;F649</f>
        <v>D910*W1335</v>
      </c>
      <c r="E648" s="635" t="str">
        <f>IF(G650&gt;1,"divide to "&amp;G650&amp;" pcs, "," ")&amp;"Mesh 50*100, dia "&amp;D650&amp;"mm, "&amp;E650&amp;" ribs"&amp;"*"&amp;F650&amp;"mm/pc, "&amp;IF(H651&gt;0,"load "&amp;H651&amp;" kg/pc"," ")</f>
        <v xml:space="preserve"> Mesh 50*100, dia 4.8mm, 4 ribs*1.5mm/pc, load 1000 kg/pc</v>
      </c>
      <c r="F648" s="460">
        <f>4*104</f>
        <v>416</v>
      </c>
      <c r="G648" s="419">
        <f>IFERROR(Y649,"-")</f>
        <v>9.4620154608</v>
      </c>
      <c r="H648" s="420">
        <f>IFERROR(X649,"-")</f>
        <v>48.820779345249882</v>
      </c>
      <c r="I648" s="421" t="s">
        <v>396</v>
      </c>
      <c r="J648" s="634" t="s">
        <v>755</v>
      </c>
      <c r="K648" s="423" t="s">
        <v>217</v>
      </c>
      <c r="L648" s="54"/>
      <c r="O648" s="572" t="s">
        <v>756</v>
      </c>
      <c r="P648" s="572"/>
      <c r="Q648" t="s">
        <v>219</v>
      </c>
      <c r="R648" s="421" t="s">
        <v>238</v>
      </c>
      <c r="S648" s="420" t="s">
        <v>239</v>
      </c>
      <c r="T648" s="421" t="s">
        <v>240</v>
      </c>
      <c r="U648" s="421" t="s">
        <v>398</v>
      </c>
      <c r="V648" s="421" t="s">
        <v>226</v>
      </c>
      <c r="W648" s="420" t="s">
        <v>207</v>
      </c>
      <c r="X648" s="421" t="s">
        <v>243</v>
      </c>
      <c r="Y648" s="414" t="s">
        <v>244</v>
      </c>
      <c r="Z648" s="414" t="s">
        <v>159</v>
      </c>
      <c r="AA648" s="460" t="s">
        <v>399</v>
      </c>
      <c r="AB648" s="460" t="s">
        <v>400</v>
      </c>
      <c r="AC648" s="460" t="s">
        <v>401</v>
      </c>
      <c r="AD648" s="460" t="s">
        <v>402</v>
      </c>
      <c r="AE648" s="460" t="s">
        <v>155</v>
      </c>
      <c r="AF648" s="509" t="s">
        <v>226</v>
      </c>
      <c r="AG648" s="509" t="s">
        <v>403</v>
      </c>
      <c r="AH648" s="429" t="s">
        <v>404</v>
      </c>
      <c r="AI648" s="573" t="s">
        <v>405</v>
      </c>
      <c r="AJ648" s="573" t="s">
        <v>406</v>
      </c>
      <c r="AK648" s="573" t="s">
        <v>407</v>
      </c>
      <c r="AQ648" s="110"/>
      <c r="AX648" t="str">
        <f>E648</f>
        <v xml:space="preserve"> Mesh 50*100, dia 4.8mm, 4 ribs*1.5mm/pc, load 1000 kg/pc</v>
      </c>
      <c r="AY648" s="494" t="str">
        <f>D648</f>
        <v>D910*W1335</v>
      </c>
      <c r="AZ648">
        <f>F648</f>
        <v>416</v>
      </c>
      <c r="BA648" s="256">
        <f>G648</f>
        <v>9.4620154608</v>
      </c>
      <c r="BB648">
        <f>AZ648*BA648</f>
        <v>3936.1984316928001</v>
      </c>
      <c r="BC648" s="495">
        <f>G651</f>
        <v>40</v>
      </c>
      <c r="BR648" t="str">
        <f>I648</f>
        <v>Gal</v>
      </c>
      <c r="BZ648" t="s">
        <v>397</v>
      </c>
      <c r="CA648" s="112" t="s">
        <v>200</v>
      </c>
      <c r="CG648" s="122" t="s">
        <v>207</v>
      </c>
      <c r="CV648" s="388"/>
    </row>
    <row r="649" spans="1:100" customFormat="1" ht="24.95" customHeight="1" outlineLevel="1">
      <c r="A649" s="112"/>
      <c r="B649" s="418"/>
      <c r="C649" s="418" t="s">
        <v>397</v>
      </c>
      <c r="D649" s="460" t="s">
        <v>409</v>
      </c>
      <c r="E649" s="547">
        <v>910</v>
      </c>
      <c r="F649" s="547">
        <v>1335</v>
      </c>
      <c r="G649" s="438" t="s">
        <v>410</v>
      </c>
      <c r="H649" s="420"/>
      <c r="I649" s="421"/>
      <c r="J649" s="422"/>
      <c r="K649" s="54" t="s">
        <v>237</v>
      </c>
      <c r="L649" s="54"/>
      <c r="O649" s="572" t="s">
        <v>756</v>
      </c>
      <c r="P649" s="572"/>
      <c r="R649" s="422">
        <f>IF(D651&gt;0,D651,IF(AE649="喷塑",VLOOKUP(AA649&amp;AC649,常规材料表!$1:$1048576,10,0),VLOOKUP(AA649&amp;AC649,常规材料表!$1:$1048576,15,0)))</f>
        <v>5.66</v>
      </c>
      <c r="S649" s="420">
        <v>1.01</v>
      </c>
      <c r="T649" s="519">
        <f>R649*S649/1.13</f>
        <v>5.0589380530973465</v>
      </c>
      <c r="U649" s="422">
        <f>(AI649+AJ649/AK649)/Y649/1.13</f>
        <v>0.10072159314911595</v>
      </c>
      <c r="V649" s="422">
        <f>AF649*AG649/Y649</f>
        <v>0</v>
      </c>
      <c r="W649" s="520"/>
      <c r="X649" s="422">
        <f>(T649+U649+V649+W649)*Y649</f>
        <v>48.820779345249882</v>
      </c>
      <c r="Y649" s="508">
        <f>AC651*SUM((AA651-AH651)/AC651*(ROUND((AB651+AI651)/AJ651,0)+2)*3.14*(AC649/2)^2*U650/1000/1000+IF(ISNUMBER(SEARCH("非",AA649)),AB651,(AB651+AI651+AF651))*(ROUND((AA651-AH651)/AC651/AK651,0)+1)*3.14*(AC649/2)^2*U650/1000/1000+(AB651+AI651+AG651)*AD649*U650*AD651*AH649/1000/1000)</f>
        <v>9.4620154608</v>
      </c>
      <c r="Z649" s="508">
        <f>Y649*AB649</f>
        <v>9.4620154608</v>
      </c>
      <c r="AA649" s="460" t="str">
        <f>D649</f>
        <v>定制折弯式网层板</v>
      </c>
      <c r="AB649" s="460">
        <v>1</v>
      </c>
      <c r="AC649" s="460">
        <f>D650</f>
        <v>4.8</v>
      </c>
      <c r="AD649" s="460">
        <f>E650</f>
        <v>4</v>
      </c>
      <c r="AE649" s="514" t="str">
        <f>G649</f>
        <v>镀锌</v>
      </c>
      <c r="AF649" s="515">
        <f>IF(AE649="预镀锌",0,IF(AE649="喷塑",VLOOKUP(AA649,常规材料表!$1:$1048576,12,0),IF(AE649="热镀锌",VLOOKUP(AA649,常规材料表!$1:$1048576,13,0),IF(AE649="冷镀锌",VLOOKUP(AC649,常规材料表!$1:$1048576,15,0),0))))</f>
        <v>0</v>
      </c>
      <c r="AG649" s="508">
        <f>((AA651-AH651)/AC651*IF(AA649="折弯式网层板",(AB651+AI651+AF651),AB651)/1000000+AH649*2/1000*(AB651+AI651+AG651)/1000*AD649)</f>
        <v>1.8472500000000001</v>
      </c>
      <c r="AH649" s="429">
        <v>85</v>
      </c>
      <c r="AI649" s="458">
        <v>1</v>
      </c>
      <c r="AJ649" s="458">
        <v>8</v>
      </c>
      <c r="AK649" s="458">
        <v>104</v>
      </c>
      <c r="AQ649" s="110"/>
      <c r="AX649" t="s">
        <v>156</v>
      </c>
      <c r="AY649" t="s">
        <v>246</v>
      </c>
      <c r="AZ649" t="s">
        <v>102</v>
      </c>
      <c r="BA649" t="s">
        <v>158</v>
      </c>
      <c r="BB649" t="s">
        <v>247</v>
      </c>
      <c r="BC649" t="s">
        <v>248</v>
      </c>
      <c r="BD649" t="s">
        <v>249</v>
      </c>
      <c r="BE649" t="s">
        <v>250</v>
      </c>
      <c r="BF649" t="s">
        <v>251</v>
      </c>
      <c r="BZ649" t="s">
        <v>397</v>
      </c>
      <c r="CA649" s="112" t="s">
        <v>200</v>
      </c>
      <c r="CG649" s="122" t="s">
        <v>207</v>
      </c>
      <c r="CV649" s="388"/>
    </row>
    <row r="650" spans="1:100" customFormat="1" ht="24.95" customHeight="1" outlineLevel="1">
      <c r="A650" s="112"/>
      <c r="B650" s="418"/>
      <c r="C650" s="418" t="s">
        <v>411</v>
      </c>
      <c r="D650" s="547">
        <v>4.8</v>
      </c>
      <c r="E650" s="547">
        <v>4</v>
      </c>
      <c r="F650" s="547">
        <v>1.5</v>
      </c>
      <c r="G650" s="460">
        <v>1</v>
      </c>
      <c r="H650" s="421"/>
      <c r="I650" s="421"/>
      <c r="J650" s="422"/>
      <c r="K650" s="54" t="s">
        <v>237</v>
      </c>
      <c r="L650" s="54"/>
      <c r="O650" s="572" t="s">
        <v>756</v>
      </c>
      <c r="P650" s="572"/>
      <c r="R650" s="421" t="s">
        <v>412</v>
      </c>
      <c r="S650" s="420">
        <v>1.2</v>
      </c>
      <c r="T650" s="421" t="s">
        <v>277</v>
      </c>
      <c r="U650" s="420">
        <v>7.85</v>
      </c>
      <c r="V650" s="387"/>
      <c r="W650" s="387"/>
      <c r="X650" s="387"/>
      <c r="AA650" s="581" t="s">
        <v>413</v>
      </c>
      <c r="AB650" s="582" t="s">
        <v>414</v>
      </c>
      <c r="AC650" s="460" t="s">
        <v>415</v>
      </c>
      <c r="AD650" s="460" t="s">
        <v>416</v>
      </c>
      <c r="AE650" s="458" t="s">
        <v>417</v>
      </c>
      <c r="AF650" s="458" t="s">
        <v>418</v>
      </c>
      <c r="AG650" s="458" t="s">
        <v>419</v>
      </c>
      <c r="AH650" s="458" t="s">
        <v>420</v>
      </c>
      <c r="AI650" s="573" t="s">
        <v>421</v>
      </c>
      <c r="AJ650" s="458" t="s">
        <v>422</v>
      </c>
      <c r="AK650" s="458" t="s">
        <v>423</v>
      </c>
      <c r="AQ650" s="110"/>
      <c r="BZ650" t="s">
        <v>397</v>
      </c>
      <c r="CA650" s="112" t="s">
        <v>200</v>
      </c>
      <c r="CG650" s="122" t="s">
        <v>207</v>
      </c>
      <c r="CV650" s="388"/>
    </row>
    <row r="651" spans="1:100" customFormat="1" ht="24.95" customHeight="1" outlineLevel="1">
      <c r="A651" s="112"/>
      <c r="B651" s="414">
        <v>0</v>
      </c>
      <c r="C651" s="418">
        <f>报价辅助计算!$E$13</f>
        <v>0</v>
      </c>
      <c r="D651" s="460"/>
      <c r="E651" s="418" t="s">
        <v>752</v>
      </c>
      <c r="F651" s="418" t="s">
        <v>753</v>
      </c>
      <c r="G651" s="558">
        <v>40</v>
      </c>
      <c r="H651" s="421">
        <v>1000</v>
      </c>
      <c r="I651" s="421" t="s">
        <v>754</v>
      </c>
      <c r="J651" s="422"/>
      <c r="K651" s="54" t="s">
        <v>237</v>
      </c>
      <c r="L651" s="54"/>
      <c r="O651" s="572" t="s">
        <v>756</v>
      </c>
      <c r="P651" s="572"/>
      <c r="R651" s="421" t="s">
        <v>424</v>
      </c>
      <c r="S651" s="420">
        <v>7</v>
      </c>
      <c r="T651" s="387"/>
      <c r="U651" s="387"/>
      <c r="V651" s="387"/>
      <c r="W651" s="421" t="s">
        <v>34</v>
      </c>
      <c r="X651" s="422">
        <f>X649/S651*S650</f>
        <v>8.3692764591856932</v>
      </c>
      <c r="AA651" s="585">
        <f>F649</f>
        <v>1335</v>
      </c>
      <c r="AB651" s="586">
        <f>E649</f>
        <v>910</v>
      </c>
      <c r="AC651" s="460">
        <f>G650</f>
        <v>1</v>
      </c>
      <c r="AD651" s="460">
        <f>F650</f>
        <v>1.5</v>
      </c>
      <c r="AE651" s="458">
        <v>0</v>
      </c>
      <c r="AF651" s="458">
        <v>65</v>
      </c>
      <c r="AG651" s="458">
        <v>15</v>
      </c>
      <c r="AH651" s="458">
        <f>IF(ISNUMBER(SEARCH("定制",AA649)),0,40)</f>
        <v>0</v>
      </c>
      <c r="AI651" s="573">
        <v>5</v>
      </c>
      <c r="AJ651" s="458">
        <v>50</v>
      </c>
      <c r="AK651" s="458">
        <v>100</v>
      </c>
      <c r="AQ651" s="110"/>
      <c r="BZ651" t="s">
        <v>397</v>
      </c>
      <c r="CA651" s="112" t="s">
        <v>200</v>
      </c>
      <c r="CG651" s="122" t="s">
        <v>207</v>
      </c>
      <c r="CV651" s="388"/>
    </row>
    <row r="652" spans="1:100" s="376" customFormat="1" ht="24.95" customHeight="1">
      <c r="A652" s="472"/>
      <c r="B652" s="473"/>
      <c r="C652" s="473"/>
      <c r="D652" s="473"/>
      <c r="E652" s="474"/>
      <c r="F652" s="473"/>
      <c r="G652" s="473"/>
      <c r="H652" s="421"/>
      <c r="I652" s="421"/>
      <c r="J652" s="422"/>
      <c r="K652" s="475"/>
      <c r="L652" s="475"/>
      <c r="R652" s="387"/>
      <c r="S652" s="387"/>
      <c r="T652" s="387"/>
      <c r="U652" s="387"/>
      <c r="V652" s="387"/>
      <c r="W652" s="387"/>
      <c r="X652" s="387"/>
      <c r="AQ652" s="476"/>
      <c r="BZ652" t="s">
        <v>397</v>
      </c>
      <c r="CA652" s="112" t="s">
        <v>200</v>
      </c>
      <c r="CB652"/>
      <c r="CC652"/>
      <c r="CD652"/>
      <c r="CE652"/>
      <c r="CF652"/>
      <c r="CG652" s="122" t="s">
        <v>207</v>
      </c>
    </row>
    <row r="653" spans="1:100" customFormat="1" ht="24.95" customHeight="1">
      <c r="A653" s="112" t="str">
        <f>IF($C$13=1,IF(K653="报价行",IF(F653&gt;0,1," ")," ")," ")</f>
        <v xml:space="preserve"> </v>
      </c>
      <c r="B653" s="414" t="str">
        <f>IF(A653=1,SUM($A$11:A653),"驶入式护脚")</f>
        <v>驶入式护脚</v>
      </c>
      <c r="C653" s="460" t="s">
        <v>507</v>
      </c>
      <c r="D653" s="650"/>
      <c r="E653" s="547" t="str">
        <f>C654</f>
        <v>H400×4.5t CPJA</v>
      </c>
      <c r="F653" s="460">
        <v>400</v>
      </c>
      <c r="G653" s="419">
        <f>C655</f>
        <v>6.3935777250000001</v>
      </c>
      <c r="H653" s="420">
        <f>H654</f>
        <v>49.322034370575224</v>
      </c>
      <c r="I653" s="421" t="s">
        <v>387</v>
      </c>
      <c r="J653" s="422"/>
      <c r="K653" s="423" t="s">
        <v>217</v>
      </c>
      <c r="L653" s="54"/>
      <c r="O653" s="572" t="s">
        <v>757</v>
      </c>
      <c r="R653" s="387"/>
      <c r="S653" s="387"/>
      <c r="T653" s="387"/>
      <c r="U653" s="387"/>
      <c r="V653" s="387"/>
      <c r="W653" s="387"/>
      <c r="X653" s="387"/>
      <c r="AQ653" s="110"/>
      <c r="AX653" t="str">
        <f>E653</f>
        <v>H400×4.5t CPJA</v>
      </c>
      <c r="AY653" s="494">
        <f>D653</f>
        <v>0</v>
      </c>
      <c r="AZ653">
        <f>F653</f>
        <v>400</v>
      </c>
      <c r="BA653" s="256">
        <f>G653</f>
        <v>6.3935777250000001</v>
      </c>
      <c r="BB653">
        <f>AZ653*BA653</f>
        <v>2557.43109</v>
      </c>
      <c r="BC653" s="495"/>
      <c r="BR653" t="str">
        <f>I653</f>
        <v>Yellow Ral1023</v>
      </c>
      <c r="BZ653" t="s">
        <v>389</v>
      </c>
      <c r="CA653" s="112" t="s">
        <v>200</v>
      </c>
      <c r="CB653" t="s">
        <v>201</v>
      </c>
      <c r="CG653" s="122" t="s">
        <v>207</v>
      </c>
      <c r="CV653" s="388"/>
    </row>
    <row r="654" spans="1:100" customFormat="1" ht="24.95" customHeight="1" outlineLevel="1">
      <c r="A654" s="112"/>
      <c r="B654" s="418"/>
      <c r="C654" s="651" t="s">
        <v>758</v>
      </c>
      <c r="D654" s="418">
        <f>VLOOKUP(C654,常规材料表!$1:$1048576,10,0)</f>
        <v>7.1947197607580504</v>
      </c>
      <c r="E654" s="418"/>
      <c r="F654" s="418">
        <v>1</v>
      </c>
      <c r="G654" s="514" t="s">
        <v>236</v>
      </c>
      <c r="H654" s="421">
        <f>C655*(D654*1.01+E654*1.13+D655+E655)/1.13*F654</f>
        <v>49.322034370575224</v>
      </c>
      <c r="I654" s="421"/>
      <c r="J654" s="422"/>
      <c r="K654" s="54" t="s">
        <v>237</v>
      </c>
      <c r="L654" s="54"/>
      <c r="O654" s="572" t="s">
        <v>757</v>
      </c>
      <c r="R654" s="387"/>
      <c r="S654" s="387"/>
      <c r="T654" s="387"/>
      <c r="U654" s="387"/>
      <c r="V654" s="387"/>
      <c r="W654" s="387"/>
      <c r="X654" s="387"/>
      <c r="AQ654" s="110"/>
      <c r="AX654" t="s">
        <v>156</v>
      </c>
      <c r="AY654" t="s">
        <v>246</v>
      </c>
      <c r="AZ654" t="s">
        <v>102</v>
      </c>
      <c r="BA654" t="s">
        <v>158</v>
      </c>
      <c r="BB654" t="s">
        <v>247</v>
      </c>
      <c r="BD654" t="s">
        <v>249</v>
      </c>
      <c r="BE654" t="s">
        <v>250</v>
      </c>
      <c r="BF654" t="s">
        <v>251</v>
      </c>
      <c r="BZ654" t="s">
        <v>389</v>
      </c>
      <c r="CA654" s="112" t="s">
        <v>200</v>
      </c>
      <c r="CB654" t="s">
        <v>201</v>
      </c>
      <c r="CG654" s="122" t="s">
        <v>207</v>
      </c>
      <c r="CV654" s="388"/>
    </row>
    <row r="655" spans="1:100" customFormat="1" ht="24.95" customHeight="1" outlineLevel="1">
      <c r="A655" s="112"/>
      <c r="B655" s="418"/>
      <c r="C655" s="623">
        <f>VLOOKUP(C654,常规材料表!$1:$1048576,3,0)</f>
        <v>6.3935777250000001</v>
      </c>
      <c r="D655" s="564">
        <v>0.95</v>
      </c>
      <c r="E655" s="564">
        <f>0.8*4/C655</f>
        <v>0.50050224422664702</v>
      </c>
      <c r="F655" s="561"/>
      <c r="G655" s="418"/>
      <c r="H655" s="421"/>
      <c r="I655" s="421"/>
      <c r="J655" s="422"/>
      <c r="K655" s="54" t="s">
        <v>237</v>
      </c>
      <c r="L655" s="54"/>
      <c r="O655" s="572" t="s">
        <v>757</v>
      </c>
      <c r="R655" s="387"/>
      <c r="S655" s="387"/>
      <c r="T655" s="387"/>
      <c r="U655" s="387"/>
      <c r="V655" s="387"/>
      <c r="W655" s="387"/>
      <c r="X655" s="387"/>
      <c r="AQ655" s="110"/>
      <c r="BZ655" t="s">
        <v>389</v>
      </c>
      <c r="CA655" s="112" t="s">
        <v>200</v>
      </c>
      <c r="CB655" t="s">
        <v>201</v>
      </c>
      <c r="CG655" s="122" t="s">
        <v>207</v>
      </c>
      <c r="CV655" s="388"/>
    </row>
    <row r="656" spans="1:100" customFormat="1" ht="24.95" customHeight="1" outlineLevel="1">
      <c r="A656" s="112"/>
      <c r="B656" s="414">
        <v>0</v>
      </c>
      <c r="C656" s="418"/>
      <c r="D656" s="564"/>
      <c r="E656" s="564"/>
      <c r="F656" s="561"/>
      <c r="G656" s="418"/>
      <c r="H656" s="421"/>
      <c r="I656" s="421" t="s">
        <v>754</v>
      </c>
      <c r="J656" s="422"/>
      <c r="K656" s="54" t="s">
        <v>237</v>
      </c>
      <c r="L656" s="54"/>
      <c r="O656" s="572" t="s">
        <v>757</v>
      </c>
      <c r="R656" s="387"/>
      <c r="S656" s="387"/>
      <c r="T656" s="387"/>
      <c r="U656" s="387"/>
      <c r="V656" s="387"/>
      <c r="W656" s="387"/>
      <c r="X656" s="387"/>
      <c r="AQ656" s="110"/>
      <c r="BZ656" t="s">
        <v>389</v>
      </c>
      <c r="CA656" s="112" t="s">
        <v>200</v>
      </c>
      <c r="CB656" t="s">
        <v>201</v>
      </c>
      <c r="CG656" s="122" t="s">
        <v>207</v>
      </c>
      <c r="CV656" s="388"/>
    </row>
    <row r="657" spans="1:100" s="376" customFormat="1" ht="24.95" customHeight="1">
      <c r="A657" s="472"/>
      <c r="B657" s="473"/>
      <c r="C657" s="473"/>
      <c r="D657" s="473"/>
      <c r="E657" s="474"/>
      <c r="F657" s="473"/>
      <c r="G657" s="473"/>
      <c r="H657" s="421"/>
      <c r="I657" s="421"/>
      <c r="J657" s="422"/>
      <c r="K657" s="475"/>
      <c r="L657" s="475"/>
      <c r="R657" s="387"/>
      <c r="S657" s="387"/>
      <c r="T657" s="387"/>
      <c r="U657" s="387"/>
      <c r="V657" s="387"/>
      <c r="W657" s="387"/>
      <c r="X657" s="387"/>
      <c r="AQ657" s="476"/>
      <c r="BZ657" t="s">
        <v>389</v>
      </c>
      <c r="CA657" s="112" t="s">
        <v>200</v>
      </c>
      <c r="CB657" t="s">
        <v>201</v>
      </c>
      <c r="CC657"/>
      <c r="CD657"/>
      <c r="CE657"/>
      <c r="CF657"/>
      <c r="CG657" s="122" t="s">
        <v>207</v>
      </c>
    </row>
    <row r="658" spans="1:100" customFormat="1" ht="30" customHeight="1">
      <c r="A658" s="112" t="str">
        <f>IF($C$13=1,IF(K658="报价行",IF(F658&gt;0,1," ")," ")," ")</f>
        <v xml:space="preserve"> </v>
      </c>
      <c r="B658" s="414" t="str">
        <f>IF(A658=1,SUM($A$11:A658),"其他自制件")</f>
        <v>其他自制件</v>
      </c>
      <c r="C658" s="460" t="s">
        <v>759</v>
      </c>
      <c r="D658" s="645" t="s">
        <v>760</v>
      </c>
      <c r="E658" s="547" t="s">
        <v>761</v>
      </c>
      <c r="F658" s="460">
        <v>20</v>
      </c>
      <c r="G658" s="419">
        <f>C660</f>
        <v>16.217075000000001</v>
      </c>
      <c r="H658" s="419">
        <f>H659</f>
        <v>129.44957212389383</v>
      </c>
      <c r="I658" s="460" t="s">
        <v>341</v>
      </c>
      <c r="J658" s="54"/>
      <c r="K658" s="423" t="s">
        <v>217</v>
      </c>
      <c r="L658" s="54"/>
      <c r="O658" s="572" t="s">
        <v>762</v>
      </c>
      <c r="AQ658" s="110"/>
      <c r="AX658" t="str">
        <f>E658</f>
        <v>L100x63x6.0t+L63x40x3.0</v>
      </c>
      <c r="AY658" s="494" t="str">
        <f>D658</f>
        <v>D900*W600</v>
      </c>
      <c r="AZ658">
        <f>F658</f>
        <v>20</v>
      </c>
      <c r="BA658" s="256">
        <f>G658</f>
        <v>16.217075000000001</v>
      </c>
      <c r="BB658">
        <f>AZ658*BA658</f>
        <v>324.3415</v>
      </c>
      <c r="BC658" s="495"/>
      <c r="BR658" t="str">
        <f>I658</f>
        <v>Orange Ral2004</v>
      </c>
      <c r="BZ658" t="s">
        <v>685</v>
      </c>
      <c r="CA658" s="112"/>
      <c r="CG658" s="122" t="s">
        <v>207</v>
      </c>
      <c r="CV658" s="388"/>
    </row>
    <row r="659" spans="1:100" customFormat="1" ht="30" customHeight="1" outlineLevel="1">
      <c r="A659" s="112"/>
      <c r="B659" s="418"/>
      <c r="C659" s="112" t="s">
        <v>559</v>
      </c>
      <c r="D659" s="460">
        <v>7</v>
      </c>
      <c r="E659" s="460"/>
      <c r="F659" s="418">
        <v>1</v>
      </c>
      <c r="G659" s="514" t="s">
        <v>236</v>
      </c>
      <c r="H659" s="418">
        <f>C660*(D659*1.01+E659*1.13+D660+E660)/1.13*F659</f>
        <v>129.44957212389383</v>
      </c>
      <c r="I659" s="418"/>
      <c r="J659" s="54"/>
      <c r="K659" s="54" t="s">
        <v>237</v>
      </c>
      <c r="L659" s="54"/>
      <c r="O659" s="572" t="s">
        <v>762</v>
      </c>
      <c r="AQ659" s="110"/>
      <c r="AX659" t="s">
        <v>156</v>
      </c>
      <c r="AY659" t="s">
        <v>246</v>
      </c>
      <c r="AZ659" t="s">
        <v>102</v>
      </c>
      <c r="BA659" t="s">
        <v>158</v>
      </c>
      <c r="BB659" t="s">
        <v>247</v>
      </c>
      <c r="BD659" t="s">
        <v>249</v>
      </c>
      <c r="BE659" t="s">
        <v>250</v>
      </c>
      <c r="BF659" t="s">
        <v>251</v>
      </c>
      <c r="BZ659" t="s">
        <v>685</v>
      </c>
      <c r="CA659" s="112"/>
      <c r="CG659" s="122" t="s">
        <v>207</v>
      </c>
      <c r="CV659" s="388"/>
    </row>
    <row r="660" spans="1:100" customFormat="1" ht="30" customHeight="1" outlineLevel="1">
      <c r="A660" s="112"/>
      <c r="B660" s="418"/>
      <c r="C660" s="460">
        <v>16.217075000000001</v>
      </c>
      <c r="D660" s="655">
        <v>0.95</v>
      </c>
      <c r="E660" s="655">
        <v>1</v>
      </c>
      <c r="F660" s="561"/>
      <c r="G660" s="418"/>
      <c r="H660" s="418"/>
      <c r="I660" s="418"/>
      <c r="J660" s="54"/>
      <c r="K660" s="54" t="s">
        <v>237</v>
      </c>
      <c r="L660" s="54"/>
      <c r="O660" s="572" t="s">
        <v>762</v>
      </c>
      <c r="AQ660" s="110"/>
      <c r="BZ660" t="s">
        <v>685</v>
      </c>
      <c r="CA660" s="112"/>
      <c r="CG660" s="122" t="s">
        <v>207</v>
      </c>
      <c r="CV660" s="388"/>
    </row>
    <row r="661" spans="1:100" customFormat="1" ht="30" customHeight="1" outlineLevel="1">
      <c r="A661" s="112"/>
      <c r="B661" s="414">
        <v>0</v>
      </c>
      <c r="C661" s="418"/>
      <c r="D661" s="564"/>
      <c r="E661" s="564"/>
      <c r="F661" s="561"/>
      <c r="G661" s="418"/>
      <c r="H661" s="418" t="s">
        <v>763</v>
      </c>
      <c r="I661" s="418"/>
      <c r="J661" s="54"/>
      <c r="K661" s="54" t="s">
        <v>237</v>
      </c>
      <c r="L661" s="54"/>
      <c r="O661" s="572" t="s">
        <v>762</v>
      </c>
      <c r="AQ661" s="110"/>
      <c r="BZ661" t="s">
        <v>685</v>
      </c>
      <c r="CA661" s="112"/>
      <c r="CG661" s="122" t="s">
        <v>207</v>
      </c>
      <c r="CV661" s="388"/>
    </row>
    <row r="662" spans="1:100" s="376" customFormat="1" ht="30" customHeight="1">
      <c r="A662" s="472"/>
      <c r="B662" s="473"/>
      <c r="C662" s="473"/>
      <c r="D662" s="473"/>
      <c r="E662" s="474"/>
      <c r="F662" s="473"/>
      <c r="G662" s="473"/>
      <c r="H662" s="473"/>
      <c r="I662" s="473"/>
      <c r="J662" s="475"/>
      <c r="K662" s="475"/>
      <c r="L662" s="475"/>
      <c r="AQ662" s="476"/>
      <c r="BZ662" t="s">
        <v>685</v>
      </c>
      <c r="CA662" s="112"/>
      <c r="CB662"/>
      <c r="CC662"/>
      <c r="CD662"/>
      <c r="CE662"/>
      <c r="CF662"/>
      <c r="CG662" s="122" t="s">
        <v>207</v>
      </c>
    </row>
    <row r="663" spans="1:100" customFormat="1" ht="30" customHeight="1">
      <c r="A663" s="112" t="str">
        <f>IF($C$13=1,IF(K663="报价行",IF(F663&gt;0,1," ")," ")," ")</f>
        <v xml:space="preserve"> </v>
      </c>
      <c r="B663" s="414" t="str">
        <f>IF(A663=1,SUM($A$11:A663),"其他自制件")</f>
        <v>其他自制件</v>
      </c>
      <c r="C663" s="460" t="s">
        <v>759</v>
      </c>
      <c r="D663" s="645" t="s">
        <v>764</v>
      </c>
      <c r="E663" s="547" t="s">
        <v>765</v>
      </c>
      <c r="F663" s="460">
        <v>20</v>
      </c>
      <c r="G663" s="419">
        <f>C665</f>
        <v>12.093866999999999</v>
      </c>
      <c r="H663" s="419">
        <f>H664</f>
        <v>98.698797764601764</v>
      </c>
      <c r="I663" s="460" t="s">
        <v>341</v>
      </c>
      <c r="J663" s="54"/>
      <c r="K663" s="423" t="s">
        <v>217</v>
      </c>
      <c r="L663" s="54"/>
      <c r="O663" s="572" t="s">
        <v>766</v>
      </c>
      <c r="AQ663" s="110"/>
      <c r="AX663" t="str">
        <f>E663</f>
        <v>C50/100*800*3.0t，load capacity 500kg，include 2 x brackets, without pipe</v>
      </c>
      <c r="AY663" s="494" t="str">
        <f>D663</f>
        <v>D900</v>
      </c>
      <c r="AZ663">
        <f>F663</f>
        <v>20</v>
      </c>
      <c r="BA663" s="256">
        <f>G663</f>
        <v>12.093866999999999</v>
      </c>
      <c r="BB663">
        <f>AZ663*BA663</f>
        <v>241.87734</v>
      </c>
      <c r="BC663" s="495"/>
      <c r="BR663" t="str">
        <f>I663</f>
        <v>Orange Ral2004</v>
      </c>
      <c r="BZ663" t="s">
        <v>685</v>
      </c>
      <c r="CA663" s="112"/>
      <c r="CG663" s="122" t="s">
        <v>207</v>
      </c>
      <c r="CV663" s="388"/>
    </row>
    <row r="664" spans="1:100" customFormat="1" ht="30" customHeight="1" outlineLevel="1">
      <c r="A664" s="112"/>
      <c r="B664" s="418"/>
      <c r="C664" s="112" t="s">
        <v>559</v>
      </c>
      <c r="D664" s="460">
        <v>7.2</v>
      </c>
      <c r="E664" s="460"/>
      <c r="F664" s="418">
        <v>1</v>
      </c>
      <c r="G664" s="514" t="s">
        <v>236</v>
      </c>
      <c r="H664" s="418">
        <f>C665*(D664*1.01+E664*1.13+D665+E665)/1.13*F664</f>
        <v>98.698797764601764</v>
      </c>
      <c r="I664" s="418"/>
      <c r="J664" s="54"/>
      <c r="K664" s="54" t="s">
        <v>237</v>
      </c>
      <c r="L664" s="54"/>
      <c r="O664" s="572" t="s">
        <v>766</v>
      </c>
      <c r="AQ664" s="110"/>
      <c r="AX664" t="s">
        <v>156</v>
      </c>
      <c r="AY664" t="s">
        <v>246</v>
      </c>
      <c r="AZ664" t="s">
        <v>102</v>
      </c>
      <c r="BA664" t="s">
        <v>158</v>
      </c>
      <c r="BB664" t="s">
        <v>247</v>
      </c>
      <c r="BD664" t="s">
        <v>249</v>
      </c>
      <c r="BE664" t="s">
        <v>250</v>
      </c>
      <c r="BF664" t="s">
        <v>251</v>
      </c>
      <c r="BZ664" t="s">
        <v>685</v>
      </c>
      <c r="CA664" s="112"/>
      <c r="CG664" s="122" t="s">
        <v>207</v>
      </c>
      <c r="CV664" s="388"/>
    </row>
    <row r="665" spans="1:100" customFormat="1" ht="30" customHeight="1" outlineLevel="1">
      <c r="A665" s="112"/>
      <c r="B665" s="418"/>
      <c r="C665" s="460">
        <v>12.093866999999999</v>
      </c>
      <c r="D665" s="655">
        <v>0.95</v>
      </c>
      <c r="E665" s="655">
        <v>1</v>
      </c>
      <c r="F665" s="561"/>
      <c r="G665" s="418"/>
      <c r="H665" s="418"/>
      <c r="I665" s="418"/>
      <c r="J665" s="54"/>
      <c r="K665" s="54" t="s">
        <v>237</v>
      </c>
      <c r="L665" s="54"/>
      <c r="O665" s="572" t="s">
        <v>766</v>
      </c>
      <c r="AQ665" s="110"/>
      <c r="BZ665" t="s">
        <v>685</v>
      </c>
      <c r="CA665" s="112"/>
      <c r="CG665" s="122" t="s">
        <v>207</v>
      </c>
      <c r="CV665" s="388"/>
    </row>
    <row r="666" spans="1:100" customFormat="1" ht="30" customHeight="1" outlineLevel="1">
      <c r="A666" s="112"/>
      <c r="B666" s="414">
        <v>0</v>
      </c>
      <c r="C666" s="418"/>
      <c r="D666" s="564"/>
      <c r="E666" s="564"/>
      <c r="F666" s="561"/>
      <c r="G666" s="418"/>
      <c r="H666" s="418" t="s">
        <v>763</v>
      </c>
      <c r="I666" s="418"/>
      <c r="J666" s="54"/>
      <c r="K666" s="54" t="s">
        <v>237</v>
      </c>
      <c r="L666" s="54"/>
      <c r="O666" s="572" t="s">
        <v>766</v>
      </c>
      <c r="AQ666" s="110"/>
      <c r="BZ666" t="s">
        <v>685</v>
      </c>
      <c r="CA666" s="112"/>
      <c r="CG666" s="122" t="s">
        <v>207</v>
      </c>
      <c r="CV666" s="388"/>
    </row>
    <row r="667" spans="1:100" s="376" customFormat="1" ht="30" customHeight="1">
      <c r="A667" s="472"/>
      <c r="B667" s="473"/>
      <c r="C667" s="473"/>
      <c r="D667" s="473"/>
      <c r="E667" s="474"/>
      <c r="F667" s="473"/>
      <c r="G667" s="473"/>
      <c r="H667" s="473"/>
      <c r="I667" s="473"/>
      <c r="J667" s="475"/>
      <c r="K667" s="475"/>
      <c r="L667" s="475"/>
      <c r="AQ667" s="476"/>
      <c r="BZ667" t="s">
        <v>685</v>
      </c>
      <c r="CA667" s="112"/>
      <c r="CB667"/>
      <c r="CC667"/>
      <c r="CD667"/>
      <c r="CE667"/>
      <c r="CF667"/>
      <c r="CG667" s="122" t="s">
        <v>207</v>
      </c>
    </row>
    <row r="668" spans="1:100" customFormat="1" ht="30" customHeight="1">
      <c r="A668" s="112" t="str">
        <f>IF($C$13=1,IF(K668="报价行",IF(F668&gt;0,1," ")," ")," ")</f>
        <v xml:space="preserve"> </v>
      </c>
      <c r="B668" s="414" t="str">
        <f>IF(A668=1,SUM($A$11:A668),"硬边网片")</f>
        <v>硬边网片</v>
      </c>
      <c r="C668" s="460" t="s">
        <v>695</v>
      </c>
      <c r="D668" s="645" t="str">
        <f>"L"&amp;D669&amp;"*L"&amp;E669</f>
        <v>L1372*L1000</v>
      </c>
      <c r="E668" s="547" t="s">
        <v>696</v>
      </c>
      <c r="F668" s="460">
        <v>100</v>
      </c>
      <c r="G668" s="419">
        <f>C670</f>
        <v>12.72</v>
      </c>
      <c r="H668" s="419">
        <f>H669</f>
        <v>115.81592920353985</v>
      </c>
      <c r="I668" s="460" t="s">
        <v>396</v>
      </c>
      <c r="J668" s="54"/>
      <c r="K668" s="423" t="s">
        <v>217</v>
      </c>
      <c r="L668" s="54"/>
      <c r="O668" s="572" t="s">
        <v>767</v>
      </c>
      <c r="AQ668" s="110"/>
      <c r="AX668" t="str">
        <f>E668</f>
        <v>Mesh 100*50*4.0，F25*1.5</v>
      </c>
      <c r="AY668" s="494" t="str">
        <f>D668</f>
        <v>L1372*L1000</v>
      </c>
      <c r="AZ668">
        <f>F668</f>
        <v>100</v>
      </c>
      <c r="BA668" s="256">
        <f>G668</f>
        <v>12.72</v>
      </c>
      <c r="BB668">
        <f>AZ668*BA668</f>
        <v>1272</v>
      </c>
      <c r="BC668" s="495"/>
      <c r="BR668" t="str">
        <f>I668</f>
        <v>Gal</v>
      </c>
      <c r="BZ668" t="s">
        <v>687</v>
      </c>
      <c r="CA668" s="112"/>
      <c r="CG668" s="122" t="s">
        <v>207</v>
      </c>
      <c r="CV668" s="388"/>
    </row>
    <row r="669" spans="1:100" customFormat="1" ht="30" customHeight="1" outlineLevel="1">
      <c r="A669" s="112"/>
      <c r="B669" s="418"/>
      <c r="C669" s="112" t="s">
        <v>558</v>
      </c>
      <c r="D669" s="651">
        <v>1372</v>
      </c>
      <c r="E669" s="405">
        <v>1000</v>
      </c>
      <c r="F669" s="418">
        <v>1</v>
      </c>
      <c r="G669" s="514" t="s">
        <v>236</v>
      </c>
      <c r="H669" s="418">
        <f>C670*(D670*1.01+E670*1.13+D671*D669*E669/1000000/C670+E671)/1.13*F669</f>
        <v>115.81592920353985</v>
      </c>
      <c r="I669" s="418"/>
      <c r="J669" s="54"/>
      <c r="K669" s="54" t="s">
        <v>237</v>
      </c>
      <c r="L669" s="54"/>
      <c r="O669" s="572" t="s">
        <v>767</v>
      </c>
      <c r="AQ669" s="110"/>
      <c r="AX669" t="s">
        <v>156</v>
      </c>
      <c r="AY669" t="s">
        <v>246</v>
      </c>
      <c r="AZ669" t="s">
        <v>102</v>
      </c>
      <c r="BA669" t="s">
        <v>158</v>
      </c>
      <c r="BB669" t="s">
        <v>247</v>
      </c>
      <c r="BD669" t="s">
        <v>249</v>
      </c>
      <c r="BE669" t="s">
        <v>250</v>
      </c>
      <c r="BF669" t="s">
        <v>251</v>
      </c>
      <c r="BZ669" t="s">
        <v>687</v>
      </c>
      <c r="CA669" s="112"/>
      <c r="CG669" s="122" t="s">
        <v>207</v>
      </c>
      <c r="CV669" s="388"/>
    </row>
    <row r="670" spans="1:100" customFormat="1" ht="30" customHeight="1" outlineLevel="1">
      <c r="A670" s="112"/>
      <c r="B670" s="418"/>
      <c r="C670" s="460">
        <v>12.72</v>
      </c>
      <c r="D670" s="460">
        <v>10</v>
      </c>
      <c r="E670" s="460"/>
      <c r="F670" s="561" t="s">
        <v>689</v>
      </c>
      <c r="G670" s="418"/>
      <c r="H670" s="418"/>
      <c r="I670" s="418"/>
      <c r="J670" s="54"/>
      <c r="K670" s="54" t="s">
        <v>237</v>
      </c>
      <c r="L670" s="54"/>
      <c r="O670" s="572" t="s">
        <v>767</v>
      </c>
      <c r="AQ670" s="110"/>
      <c r="BZ670" t="s">
        <v>687</v>
      </c>
      <c r="CA670" s="112"/>
      <c r="CG670" s="122" t="s">
        <v>207</v>
      </c>
      <c r="CV670" s="388"/>
    </row>
    <row r="671" spans="1:100" customFormat="1" ht="30" customHeight="1" outlineLevel="1">
      <c r="A671" s="112"/>
      <c r="B671" s="414">
        <v>0</v>
      </c>
      <c r="C671" s="460">
        <v>1</v>
      </c>
      <c r="D671" s="655"/>
      <c r="E671" s="655">
        <f>4*0.6*C671/C670</f>
        <v>0.18867924528301885</v>
      </c>
      <c r="F671" s="561" t="s">
        <v>690</v>
      </c>
      <c r="G671" s="418"/>
      <c r="H671" s="418" t="s">
        <v>763</v>
      </c>
      <c r="I671" s="418"/>
      <c r="J671" s="54"/>
      <c r="K671" s="54" t="s">
        <v>237</v>
      </c>
      <c r="L671" s="54"/>
      <c r="O671" s="572" t="s">
        <v>767</v>
      </c>
      <c r="AQ671" s="110"/>
      <c r="BZ671" t="s">
        <v>687</v>
      </c>
      <c r="CA671" s="112"/>
      <c r="CG671" s="122" t="s">
        <v>207</v>
      </c>
      <c r="CV671" s="388"/>
    </row>
    <row r="672" spans="1:100" s="376" customFormat="1" ht="30" customHeight="1">
      <c r="A672" s="472"/>
      <c r="B672" s="473"/>
      <c r="C672" s="473"/>
      <c r="D672" s="473"/>
      <c r="E672" s="474"/>
      <c r="F672" s="473"/>
      <c r="G672" s="473"/>
      <c r="H672" s="473"/>
      <c r="I672" s="473"/>
      <c r="J672" s="475"/>
      <c r="K672" s="475"/>
      <c r="L672" s="475"/>
      <c r="AQ672" s="476"/>
      <c r="BZ672" t="s">
        <v>687</v>
      </c>
      <c r="CA672" s="112"/>
      <c r="CB672"/>
      <c r="CC672"/>
      <c r="CD672"/>
      <c r="CE672"/>
      <c r="CF672"/>
      <c r="CG672" s="122" t="s">
        <v>207</v>
      </c>
    </row>
    <row r="673" spans="1:100" customFormat="1" ht="30" customHeight="1">
      <c r="A673" s="112" t="str">
        <f>IF($C$13=1,IF(K673="报价行",IF(F673&gt;0,1," ")," ")," ")</f>
        <v xml:space="preserve"> </v>
      </c>
      <c r="B673" s="414" t="str">
        <f>IF(A673=1,SUM($A$11:A673),"硬边网片")</f>
        <v>硬边网片</v>
      </c>
      <c r="C673" s="460" t="s">
        <v>695</v>
      </c>
      <c r="D673" s="645" t="str">
        <f>"L"&amp;D674&amp;"*L"&amp;E674</f>
        <v>L2743*L1000</v>
      </c>
      <c r="E673" s="547" t="s">
        <v>696</v>
      </c>
      <c r="F673" s="460">
        <v>100</v>
      </c>
      <c r="G673" s="419">
        <f>C675</f>
        <v>22</v>
      </c>
      <c r="H673" s="419">
        <f>H674</f>
        <v>198.76106194690266</v>
      </c>
      <c r="I673" s="460" t="s">
        <v>396</v>
      </c>
      <c r="J673" s="54"/>
      <c r="K673" s="423" t="s">
        <v>217</v>
      </c>
      <c r="L673" s="54"/>
      <c r="O673" s="572" t="s">
        <v>768</v>
      </c>
      <c r="AQ673" s="110"/>
      <c r="AX673" t="str">
        <f>E673</f>
        <v>Mesh 100*50*4.0，F25*1.5</v>
      </c>
      <c r="AY673" s="494" t="str">
        <f>D673</f>
        <v>L2743*L1000</v>
      </c>
      <c r="AZ673">
        <f>F673</f>
        <v>100</v>
      </c>
      <c r="BA673" s="256">
        <f>G673</f>
        <v>22</v>
      </c>
      <c r="BB673">
        <f>AZ673*BA673</f>
        <v>2200</v>
      </c>
      <c r="BC673" s="495"/>
      <c r="BR673" t="str">
        <f>I673</f>
        <v>Gal</v>
      </c>
      <c r="BZ673" t="s">
        <v>687</v>
      </c>
      <c r="CA673" s="112"/>
      <c r="CG673" s="122" t="s">
        <v>207</v>
      </c>
      <c r="CV673" s="388"/>
    </row>
    <row r="674" spans="1:100" customFormat="1" ht="30" customHeight="1" outlineLevel="1">
      <c r="A674" s="112"/>
      <c r="B674" s="418"/>
      <c r="C674" s="112" t="s">
        <v>558</v>
      </c>
      <c r="D674" s="651">
        <v>2743</v>
      </c>
      <c r="E674" s="405">
        <v>1000</v>
      </c>
      <c r="F674" s="418">
        <v>1</v>
      </c>
      <c r="G674" s="514" t="s">
        <v>236</v>
      </c>
      <c r="H674" s="418">
        <f>C675*(D675*1.01+E675*1.13+D676*D674*E674/1000000/C675+E676)/1.13*F674</f>
        <v>198.76106194690266</v>
      </c>
      <c r="I674" s="418"/>
      <c r="J674" s="54"/>
      <c r="K674" s="54" t="s">
        <v>237</v>
      </c>
      <c r="L674" s="54"/>
      <c r="O674" s="572" t="s">
        <v>768</v>
      </c>
      <c r="AQ674" s="110"/>
      <c r="AX674" t="s">
        <v>156</v>
      </c>
      <c r="AY674" t="s">
        <v>246</v>
      </c>
      <c r="AZ674" t="s">
        <v>102</v>
      </c>
      <c r="BA674" t="s">
        <v>158</v>
      </c>
      <c r="BB674" t="s">
        <v>247</v>
      </c>
      <c r="BD674" t="s">
        <v>249</v>
      </c>
      <c r="BE674" t="s">
        <v>250</v>
      </c>
      <c r="BF674" t="s">
        <v>251</v>
      </c>
      <c r="BZ674" t="s">
        <v>687</v>
      </c>
      <c r="CA674" s="112"/>
      <c r="CG674" s="122" t="s">
        <v>207</v>
      </c>
      <c r="CV674" s="388"/>
    </row>
    <row r="675" spans="1:100" customFormat="1" ht="30" customHeight="1" outlineLevel="1">
      <c r="A675" s="112"/>
      <c r="B675" s="418"/>
      <c r="C675" s="460">
        <v>22</v>
      </c>
      <c r="D675" s="460">
        <v>10</v>
      </c>
      <c r="E675" s="460"/>
      <c r="F675" s="561" t="s">
        <v>689</v>
      </c>
      <c r="G675" s="418"/>
      <c r="H675" s="418"/>
      <c r="I675" s="418"/>
      <c r="J675" s="54"/>
      <c r="K675" s="54" t="s">
        <v>237</v>
      </c>
      <c r="L675" s="54"/>
      <c r="O675" s="572" t="s">
        <v>768</v>
      </c>
      <c r="AQ675" s="110"/>
      <c r="BZ675" t="s">
        <v>687</v>
      </c>
      <c r="CA675" s="112"/>
      <c r="CG675" s="122" t="s">
        <v>207</v>
      </c>
      <c r="CV675" s="388"/>
    </row>
    <row r="676" spans="1:100" customFormat="1" ht="30" customHeight="1" outlineLevel="1">
      <c r="A676" s="112"/>
      <c r="B676" s="414">
        <v>0</v>
      </c>
      <c r="C676" s="460">
        <v>1</v>
      </c>
      <c r="D676" s="655"/>
      <c r="E676" s="655">
        <f>4*0.6*C676/C675</f>
        <v>0.10909090909090909</v>
      </c>
      <c r="F676" s="561" t="s">
        <v>690</v>
      </c>
      <c r="G676" s="418"/>
      <c r="H676" s="418" t="s">
        <v>763</v>
      </c>
      <c r="I676" s="418"/>
      <c r="J676" s="54"/>
      <c r="K676" s="54" t="s">
        <v>237</v>
      </c>
      <c r="L676" s="54"/>
      <c r="O676" s="572" t="s">
        <v>768</v>
      </c>
      <c r="AQ676" s="110"/>
      <c r="BZ676" t="s">
        <v>687</v>
      </c>
      <c r="CA676" s="112"/>
      <c r="CG676" s="122" t="s">
        <v>207</v>
      </c>
      <c r="CV676" s="388"/>
    </row>
    <row r="677" spans="1:100" s="376" customFormat="1" ht="30" customHeight="1">
      <c r="A677" s="472"/>
      <c r="B677" s="473"/>
      <c r="C677" s="473"/>
      <c r="D677" s="473"/>
      <c r="E677" s="474"/>
      <c r="F677" s="473"/>
      <c r="G677" s="473"/>
      <c r="H677" s="473"/>
      <c r="I677" s="473"/>
      <c r="J677" s="475"/>
      <c r="K677" s="475"/>
      <c r="L677" s="475"/>
      <c r="AQ677" s="476"/>
      <c r="BZ677" t="s">
        <v>687</v>
      </c>
      <c r="CA677" s="112"/>
      <c r="CB677"/>
      <c r="CC677"/>
      <c r="CD677"/>
      <c r="CE677"/>
      <c r="CF677"/>
      <c r="CG677" s="122" t="s">
        <v>207</v>
      </c>
    </row>
    <row r="678" spans="1:100" customFormat="1" ht="30" customHeight="1">
      <c r="A678" s="112" t="str">
        <f>IF($C$13=1,IF(K678="报价行",IF(F678&gt;0,1," ")," ")," ")</f>
        <v xml:space="preserve"> </v>
      </c>
      <c r="B678" s="414" t="str">
        <f>IF(A678=1,SUM($A$11:A678),"圆管护脚/防撞柱")</f>
        <v>圆管护脚/防撞柱</v>
      </c>
      <c r="C678" s="623" t="s">
        <v>769</v>
      </c>
      <c r="D678" s="643">
        <v>1100</v>
      </c>
      <c r="E678" s="643" t="s">
        <v>770</v>
      </c>
      <c r="F678" s="460">
        <v>1</v>
      </c>
      <c r="G678" s="419">
        <f>C679</f>
        <v>27.416599999999999</v>
      </c>
      <c r="H678" s="419">
        <f>(D679*1.01+E679+F679)*G678/1.13</f>
        <v>228.67502300884954</v>
      </c>
      <c r="I678" s="460" t="s">
        <v>387</v>
      </c>
      <c r="J678" s="54"/>
      <c r="K678" s="423" t="s">
        <v>217</v>
      </c>
      <c r="L678" s="54"/>
      <c r="O678" s="572" t="s">
        <v>771</v>
      </c>
      <c r="AQ678" s="110"/>
      <c r="AX678" t="str">
        <f>E678</f>
        <v>Φ168*5.0 round pipe</v>
      </c>
      <c r="AY678" s="494">
        <f>D678</f>
        <v>1100</v>
      </c>
      <c r="AZ678">
        <f>F678</f>
        <v>1</v>
      </c>
      <c r="BA678" s="256">
        <f>G678</f>
        <v>27.416599999999999</v>
      </c>
      <c r="BB678">
        <f>AZ678*BA678</f>
        <v>27.416599999999999</v>
      </c>
      <c r="BC678" s="495"/>
      <c r="BR678" t="str">
        <f>I678</f>
        <v>Yellow Ral1023</v>
      </c>
      <c r="BZ678" t="s">
        <v>599</v>
      </c>
      <c r="CD678" t="s">
        <v>203</v>
      </c>
      <c r="CG678" s="122"/>
      <c r="CV678" s="388"/>
    </row>
    <row r="679" spans="1:100" customFormat="1" ht="30" customHeight="1" outlineLevel="1">
      <c r="A679" s="112"/>
      <c r="B679" s="418" t="s">
        <v>599</v>
      </c>
      <c r="C679" s="664">
        <v>27.416599999999999</v>
      </c>
      <c r="D679" s="418">
        <v>6</v>
      </c>
      <c r="E679" s="418">
        <f>IF(G679="喷塑",0.95,IF(G679="冷镀锌",2.3,"待确认"))</f>
        <v>2.2999999999999998</v>
      </c>
      <c r="F679" s="571">
        <f>(26+0.8*4*F680)/C679</f>
        <v>1.0650481824879818</v>
      </c>
      <c r="G679" s="627" t="s">
        <v>549</v>
      </c>
      <c r="H679" s="418"/>
      <c r="I679" s="418"/>
      <c r="J679" s="54"/>
      <c r="K679" s="54" t="s">
        <v>237</v>
      </c>
      <c r="L679" s="54"/>
      <c r="O679" s="572" t="s">
        <v>771</v>
      </c>
      <c r="R679">
        <v>27.416599999999999</v>
      </c>
      <c r="AQ679" s="110"/>
      <c r="AX679" t="s">
        <v>156</v>
      </c>
      <c r="AY679" t="s">
        <v>246</v>
      </c>
      <c r="AZ679" t="s">
        <v>102</v>
      </c>
      <c r="BA679" t="s">
        <v>158</v>
      </c>
      <c r="BB679" t="s">
        <v>247</v>
      </c>
      <c r="BC679" t="s">
        <v>248</v>
      </c>
      <c r="BD679" t="s">
        <v>249</v>
      </c>
      <c r="BE679" t="s">
        <v>250</v>
      </c>
      <c r="BF679" t="s">
        <v>251</v>
      </c>
      <c r="BZ679" t="s">
        <v>599</v>
      </c>
      <c r="CD679" t="s">
        <v>203</v>
      </c>
      <c r="CG679" s="122"/>
      <c r="CV679" s="388"/>
    </row>
    <row r="680" spans="1:100" customFormat="1" ht="30" customHeight="1" outlineLevel="1">
      <c r="A680" s="112"/>
      <c r="B680" s="418" t="s">
        <v>600</v>
      </c>
      <c r="C680" s="460">
        <v>0</v>
      </c>
      <c r="D680" s="460"/>
      <c r="E680" s="460">
        <f>D678</f>
        <v>1100</v>
      </c>
      <c r="F680" s="460">
        <v>1</v>
      </c>
      <c r="G680" s="418"/>
      <c r="H680" s="418"/>
      <c r="I680" s="418"/>
      <c r="J680" s="54"/>
      <c r="K680" s="54" t="s">
        <v>237</v>
      </c>
      <c r="L680" s="54"/>
      <c r="O680" s="572" t="s">
        <v>771</v>
      </c>
      <c r="AQ680" s="110"/>
      <c r="BZ680" t="s">
        <v>599</v>
      </c>
      <c r="CD680" t="s">
        <v>203</v>
      </c>
      <c r="CG680" s="122"/>
      <c r="CV680" s="388"/>
    </row>
    <row r="681" spans="1:100" customFormat="1" ht="30" customHeight="1" outlineLevel="1">
      <c r="A681" s="112"/>
      <c r="B681" s="414">
        <v>0</v>
      </c>
      <c r="C681" s="418"/>
      <c r="D681" s="418"/>
      <c r="E681" s="940"/>
      <c r="F681" s="941"/>
      <c r="G681" s="418"/>
      <c r="H681" s="418"/>
      <c r="I681" s="418"/>
      <c r="J681" s="54"/>
      <c r="K681" s="54" t="s">
        <v>237</v>
      </c>
      <c r="L681" s="54"/>
      <c r="O681" s="572" t="s">
        <v>771</v>
      </c>
      <c r="AQ681" s="110"/>
      <c r="BZ681" t="s">
        <v>599</v>
      </c>
      <c r="CD681" t="s">
        <v>203</v>
      </c>
      <c r="CG681" s="122"/>
      <c r="CV681" s="388"/>
    </row>
    <row r="682" spans="1:100" s="376" customFormat="1" ht="30" customHeight="1">
      <c r="A682" s="472"/>
      <c r="B682" s="473"/>
      <c r="C682" s="473"/>
      <c r="D682" s="473"/>
      <c r="E682" s="474"/>
      <c r="F682" s="473"/>
      <c r="G682" s="473"/>
      <c r="H682" s="473"/>
      <c r="I682" s="473"/>
      <c r="J682" s="475"/>
      <c r="K682" s="475"/>
      <c r="L682" s="475"/>
      <c r="AQ682" s="476"/>
      <c r="BZ682" t="s">
        <v>599</v>
      </c>
      <c r="CA682"/>
      <c r="CB682"/>
      <c r="CC682"/>
      <c r="CD682" t="s">
        <v>203</v>
      </c>
      <c r="CE682"/>
      <c r="CF682"/>
      <c r="CG682" s="122"/>
    </row>
    <row r="683" spans="1:100" customFormat="1" ht="28.5" customHeight="1">
      <c r="A683" s="112" t="str">
        <f>IF($C$13=1,IF(K683="报价行",IF(F683&gt;0,1," ")," ")," ")</f>
        <v xml:space="preserve"> </v>
      </c>
      <c r="B683" s="414" t="str">
        <f>IF(A683=1,SUM($A$11:A683),"悬臂立柱")</f>
        <v>悬臂立柱</v>
      </c>
      <c r="C683" s="623" t="s">
        <v>312</v>
      </c>
      <c r="D683" s="645">
        <v>4100</v>
      </c>
      <c r="E683" s="665" t="str">
        <f>C684</f>
        <v>C300*90*3.0t</v>
      </c>
      <c r="F683" s="460">
        <v>12</v>
      </c>
      <c r="G683" s="419">
        <f>SUM(P684*N684,P685*N685)</f>
        <v>89.084940000000003</v>
      </c>
      <c r="H683" s="419">
        <f>SUM(H684:H686)</f>
        <v>420.45767049557526</v>
      </c>
      <c r="I683" s="460" t="s">
        <v>292</v>
      </c>
      <c r="J683" s="54"/>
      <c r="K683" s="423" t="s">
        <v>217</v>
      </c>
      <c r="L683" s="54"/>
      <c r="M683" t="s">
        <v>608</v>
      </c>
      <c r="N683" t="s">
        <v>610</v>
      </c>
      <c r="O683" s="255" t="s">
        <v>772</v>
      </c>
      <c r="P683" t="s">
        <v>611</v>
      </c>
      <c r="Q683" t="s">
        <v>612</v>
      </c>
      <c r="R683" t="s">
        <v>613</v>
      </c>
      <c r="S683" t="s">
        <v>614</v>
      </c>
      <c r="T683" t="s">
        <v>615</v>
      </c>
      <c r="U683" t="str">
        <f>T683&amp;"数量"</f>
        <v>配件1数量</v>
      </c>
      <c r="V683" t="str">
        <f>T683&amp;"单价"</f>
        <v>配件1单价</v>
      </c>
      <c r="W683" t="str">
        <f>T683&amp;"总价"</f>
        <v>配件1总价</v>
      </c>
      <c r="X683" t="str">
        <f>T683&amp;"单重"</f>
        <v>配件1单重</v>
      </c>
      <c r="Y683" t="str">
        <f>T683&amp;"总重量"</f>
        <v>配件1总重量</v>
      </c>
      <c r="Z683" t="s">
        <v>616</v>
      </c>
      <c r="AA683" t="str">
        <f>Z683&amp;"数量"</f>
        <v>配件2数量</v>
      </c>
      <c r="AB683" t="str">
        <f>Z683&amp;"单价"</f>
        <v>配件2单价</v>
      </c>
      <c r="AC683" t="str">
        <f>Z683&amp;"总价"</f>
        <v>配件2总价</v>
      </c>
      <c r="AD683" t="str">
        <f>Z683&amp;"单重"</f>
        <v>配件2单重</v>
      </c>
      <c r="AE683" t="str">
        <f>Z683&amp;"总重量"</f>
        <v>配件2总重量</v>
      </c>
      <c r="AF683" t="s">
        <v>617</v>
      </c>
      <c r="AG683" t="str">
        <f>AF683&amp;"数量"</f>
        <v>配件3数量</v>
      </c>
      <c r="AH683" t="str">
        <f>AF683&amp;"单价"</f>
        <v>配件3单价</v>
      </c>
      <c r="AI683" t="str">
        <f>AF683&amp;"总价"</f>
        <v>配件3总价</v>
      </c>
      <c r="AJ683" t="str">
        <f>AF683&amp;"单重"</f>
        <v>配件3单重</v>
      </c>
      <c r="AK683" t="str">
        <f>AF683&amp;"总重量"</f>
        <v>配件3总重量</v>
      </c>
      <c r="AQ683" s="110"/>
      <c r="AX683" t="str">
        <f>E683</f>
        <v>C300*90*3.0t</v>
      </c>
      <c r="AY683" s="494">
        <f>D683</f>
        <v>4100</v>
      </c>
      <c r="AZ683">
        <f>F683</f>
        <v>12</v>
      </c>
      <c r="BA683" s="256">
        <f>G683</f>
        <v>89.084940000000003</v>
      </c>
      <c r="BB683">
        <f>AZ683*BA683</f>
        <v>1069.01928</v>
      </c>
      <c r="BC683" s="495"/>
      <c r="BR683" t="str">
        <f>I683</f>
        <v>Blue Ral5015</v>
      </c>
      <c r="BZ683" t="s">
        <v>609</v>
      </c>
      <c r="CA683" s="112"/>
      <c r="CE683" t="s">
        <v>204</v>
      </c>
      <c r="CG683" s="122"/>
      <c r="CV683" s="388"/>
    </row>
    <row r="684" spans="1:100" customFormat="1" ht="30" customHeight="1" outlineLevel="1">
      <c r="A684" s="112"/>
      <c r="B684" s="418" t="s">
        <v>10</v>
      </c>
      <c r="C684" s="460" t="s">
        <v>773</v>
      </c>
      <c r="D684" s="418">
        <f>IFERROR(IF(G684="预镀锌",VLOOKUP(C684,常规材料表!$1:$1048576,5,0),VLOOKUP(C684,常规材料表!$1:$1048576,10,0)),0)</f>
        <v>3.47</v>
      </c>
      <c r="E684" s="418">
        <f>IFERROR(IF(G684="喷塑",1,0)*VLOOKUP(C684,常规材料表!$1:$1048576,12,0)+IF(G684="热镀锌",1,0)*VLOOKUP(C684,常规材料表!$1:$1048576,13,0)+IF(G684="冷镀锌",1,0)*VLOOKUP(C684,常规材料表!$1:$1048576,15,0),0)+S684</f>
        <v>0.95</v>
      </c>
      <c r="F684" s="418">
        <f>IFERROR(VLOOKUP(C684,常规材料表!$1:$1048576,11,0)/P684+D686,0)</f>
        <v>0.62364973331261975</v>
      </c>
      <c r="G684" s="514" t="s">
        <v>236</v>
      </c>
      <c r="H684" s="418">
        <f>P684*(D684+F684*1.13+E684+S684)/1.13*N684</f>
        <v>350.31344778761064</v>
      </c>
      <c r="I684" s="623">
        <f>F683*N684</f>
        <v>12</v>
      </c>
      <c r="J684" s="460">
        <v>12</v>
      </c>
      <c r="K684" s="54" t="s">
        <v>237</v>
      </c>
      <c r="L684" s="54"/>
      <c r="M684" s="418">
        <f>H683/G683</f>
        <v>4.7197390546098505</v>
      </c>
      <c r="N684">
        <f>J684/J684</f>
        <v>1</v>
      </c>
      <c r="O684" s="255" t="s">
        <v>772</v>
      </c>
      <c r="P684" s="112">
        <f>IFERROR(VLOOKUP(C684,常规材料表!$1:$1048576,3,0)*D683/1000,0)</f>
        <v>77.244</v>
      </c>
      <c r="Q684" s="112">
        <f>IFERROR(VLOOKUP(C684,常规材料表!$1:$1048576,4,0)*D683/1000,0)</f>
        <v>3.28</v>
      </c>
      <c r="R684">
        <f>W684+AC684+AI684</f>
        <v>0</v>
      </c>
      <c r="S684">
        <f>R684/P684</f>
        <v>0</v>
      </c>
      <c r="T684">
        <f>IFERROR(VLOOKUP(C684,常规材料表!$1:$1048576,17,0),0)</f>
        <v>0</v>
      </c>
      <c r="U684">
        <f>IFERROR(VLOOKUP(C684,常规材料表!$1:$1048576,18,0),0)</f>
        <v>0</v>
      </c>
      <c r="V684">
        <f>IFERROR(VLOOKUP(T684,常规材料表!$1:$1048576,5,0),0)</f>
        <v>0</v>
      </c>
      <c r="W684">
        <f>V684*U684</f>
        <v>0</v>
      </c>
      <c r="X684">
        <f>IFERROR(VLOOKUP(T684,常规材料表!$1:$1048576,3,0),0)</f>
        <v>0</v>
      </c>
      <c r="Y684">
        <f>X684*U684</f>
        <v>0</v>
      </c>
      <c r="Z684">
        <f>IFERROR(VLOOKUP(C684,常规材料表!$1:$1048576,19,0),0)</f>
        <v>0</v>
      </c>
      <c r="AA684">
        <f>IFERROR(VLOOKUP(C684,常规材料表!$1:$1048576,20,0),0)</f>
        <v>0</v>
      </c>
      <c r="AB684">
        <f>IFERROR(VLOOKUP(Z684,常规材料表!$1:$1048576,5,0),0)</f>
        <v>0</v>
      </c>
      <c r="AC684">
        <f>AB684*AA684</f>
        <v>0</v>
      </c>
      <c r="AD684">
        <f>IFERROR(VLOOKUP(Z684,常规材料表!$1:$1048576,3,0),0)</f>
        <v>0</v>
      </c>
      <c r="AE684">
        <f>AD684*AA684</f>
        <v>0</v>
      </c>
      <c r="AF684">
        <f>IFERROR(VLOOKUP(C684,常规材料表!$1:$1048576,21,0),0)</f>
        <v>0</v>
      </c>
      <c r="AG684">
        <f>IFERROR(VLOOKUP(C684,常规材料表!$1:$1048576,22,0),0)</f>
        <v>0</v>
      </c>
      <c r="AH684">
        <f>IFERROR(VLOOKUP(AF684,常规材料表!$1:$1048576,5,0),0)</f>
        <v>0</v>
      </c>
      <c r="AI684">
        <f>AH684*AG684</f>
        <v>0</v>
      </c>
      <c r="AJ684">
        <f>IFERROR(VLOOKUP(AF684,常规材料表!$1:$1048576,3,0),0)</f>
        <v>0</v>
      </c>
      <c r="AK684">
        <f>AJ684*AG684</f>
        <v>0</v>
      </c>
      <c r="AQ684" s="110"/>
      <c r="AX684" t="s">
        <v>156</v>
      </c>
      <c r="AY684" t="s">
        <v>246</v>
      </c>
      <c r="AZ684" t="s">
        <v>102</v>
      </c>
      <c r="BA684" t="s">
        <v>158</v>
      </c>
      <c r="BB684" t="s">
        <v>247</v>
      </c>
      <c r="BC684" t="s">
        <v>248</v>
      </c>
      <c r="BD684" t="s">
        <v>249</v>
      </c>
      <c r="BE684" t="s">
        <v>250</v>
      </c>
      <c r="BF684" t="s">
        <v>251</v>
      </c>
      <c r="BZ684" t="s">
        <v>609</v>
      </c>
      <c r="CA684" s="112"/>
      <c r="CE684" t="s">
        <v>204</v>
      </c>
      <c r="CG684" s="122"/>
      <c r="CV684" s="388"/>
    </row>
    <row r="685" spans="1:100" customFormat="1" ht="30" customHeight="1" outlineLevel="1">
      <c r="A685" s="112"/>
      <c r="B685" s="418" t="s">
        <v>620</v>
      </c>
      <c r="C685" s="460" t="s">
        <v>774</v>
      </c>
      <c r="D685" s="418">
        <f>IFERROR(IF(G685="预镀锌",VLOOKUP(C685,常规材料表!$1:$1048576,5,0),VLOOKUP(C685,常规材料表!$1:$1048576,10,0)),0)</f>
        <v>5.4049762941117896</v>
      </c>
      <c r="E685" s="418">
        <f>IFERROR(IF(G685="喷塑",1,0)*VLOOKUP(C685,常规材料表!$1:$1048576,12,0)+IF(G685="热镀锌",1,0)*VLOOKUP(C685,常规材料表!$1:$1048576,13,0)+IF(G685="冷镀锌",1,0)*VLOOKUP(C685,常规材料表!$1:$1048576,15,0),0)+S685</f>
        <v>0.95</v>
      </c>
      <c r="F685" s="418">
        <f>IFERROR(VLOOKUP(C685,常规材料表!$1:$1048576,11,0)/P685+D686,0)</f>
        <v>0.3</v>
      </c>
      <c r="G685" s="514" t="str">
        <f>G684</f>
        <v>喷塑</v>
      </c>
      <c r="H685" s="418">
        <f>P685*(D685+F685*1.13+E685+S685)/1.13*N685</f>
        <v>70.144222707964644</v>
      </c>
      <c r="I685" s="623">
        <f>F683*N685</f>
        <v>24</v>
      </c>
      <c r="J685" s="460">
        <v>24</v>
      </c>
      <c r="K685" s="54" t="s">
        <v>237</v>
      </c>
      <c r="L685" s="54"/>
      <c r="N685">
        <f>J685/J684</f>
        <v>2</v>
      </c>
      <c r="O685" s="255" t="s">
        <v>772</v>
      </c>
      <c r="P685" s="112">
        <f>IFERROR(VLOOKUP(C685,常规材料表!$1:$1048576,3,0),0)</f>
        <v>5.9204699999999999</v>
      </c>
      <c r="Q685" s="112">
        <f>IFERROR(VLOOKUP(C685,常规材料表!$1:$1048576,4,0),0)</f>
        <v>0.25140000000000001</v>
      </c>
      <c r="R685">
        <f>W685+AC685+AI685</f>
        <v>0</v>
      </c>
      <c r="S685">
        <f>R685/P685</f>
        <v>0</v>
      </c>
      <c r="T685">
        <f>IFERROR(VLOOKUP(C685,常规材料表!$1:$1048576,17,0),0)</f>
        <v>0</v>
      </c>
      <c r="U685">
        <f>IFERROR(VLOOKUP(C685,常规材料表!$1:$1048576,18,0),0)</f>
        <v>0</v>
      </c>
      <c r="V685">
        <f>IFERROR(VLOOKUP(T685,常规材料表!$1:$1048576,5,0),0)</f>
        <v>0</v>
      </c>
      <c r="W685">
        <f>V685*U685</f>
        <v>0</v>
      </c>
      <c r="X685">
        <f>IFERROR(VLOOKUP(T685,常规材料表!$1:$1048576,3,0),0)</f>
        <v>0</v>
      </c>
      <c r="Y685">
        <f>X685*U685</f>
        <v>0</v>
      </c>
      <c r="Z685">
        <f>IFERROR(VLOOKUP(C685,常规材料表!$1:$1048576,19,0),0)</f>
        <v>0</v>
      </c>
      <c r="AA685">
        <f>IFERROR(VLOOKUP(C685,常规材料表!$1:$1048576,20,0),0)</f>
        <v>0</v>
      </c>
      <c r="AB685">
        <f>IFERROR(VLOOKUP(Z685,常规材料表!$1:$1048576,5,0),0)</f>
        <v>0</v>
      </c>
      <c r="AC685">
        <f>AB685*AA685</f>
        <v>0</v>
      </c>
      <c r="AD685">
        <f>IFERROR(VLOOKUP(Z685,常规材料表!$1:$1048576,3,0),0)</f>
        <v>0</v>
      </c>
      <c r="AE685">
        <f>AD685*AA685</f>
        <v>0</v>
      </c>
      <c r="AF685">
        <f>IFERROR(VLOOKUP(C685,常规材料表!$1:$1048576,21,0),0)</f>
        <v>0</v>
      </c>
      <c r="AG685">
        <f>IFERROR(VLOOKUP(C685,常规材料表!$1:$1048576,22,0),0)</f>
        <v>0</v>
      </c>
      <c r="AH685">
        <f>IFERROR(VLOOKUP(AF685,常规材料表!$1:$1048576,5,0),0)</f>
        <v>0</v>
      </c>
      <c r="AI685">
        <f>AH685*AG685</f>
        <v>0</v>
      </c>
      <c r="AJ685">
        <f>IFERROR(VLOOKUP(AF685,常规材料表!$1:$1048576,3,0),0)</f>
        <v>0</v>
      </c>
      <c r="AK685">
        <f>AJ685*AG685</f>
        <v>0</v>
      </c>
      <c r="AQ685" s="110"/>
      <c r="BZ685" t="s">
        <v>609</v>
      </c>
      <c r="CA685" s="112"/>
      <c r="CE685" t="s">
        <v>204</v>
      </c>
      <c r="CG685" s="122"/>
      <c r="CV685" s="388"/>
    </row>
    <row r="686" spans="1:100" customFormat="1" ht="30" customHeight="1" outlineLevel="1">
      <c r="A686" s="112"/>
      <c r="B686" s="414">
        <v>0</v>
      </c>
      <c r="C686" s="418" t="s">
        <v>622</v>
      </c>
      <c r="D686" s="655">
        <v>0.3</v>
      </c>
      <c r="E686" s="564"/>
      <c r="F686" s="561"/>
      <c r="G686" s="418"/>
      <c r="H686" s="418"/>
      <c r="I686" s="418"/>
      <c r="J686" s="418" t="s">
        <v>623</v>
      </c>
      <c r="K686" s="54" t="s">
        <v>237</v>
      </c>
      <c r="L686" s="54"/>
      <c r="O686" s="255" t="s">
        <v>772</v>
      </c>
      <c r="AQ686" s="110"/>
      <c r="BZ686" t="s">
        <v>609</v>
      </c>
      <c r="CA686" s="112"/>
      <c r="CE686" t="s">
        <v>204</v>
      </c>
      <c r="CG686" s="122"/>
      <c r="CV686" s="388"/>
    </row>
    <row r="687" spans="1:100" s="376" customFormat="1" ht="30" customHeight="1">
      <c r="A687" s="472"/>
      <c r="B687" s="473"/>
      <c r="C687" s="473"/>
      <c r="D687" s="473"/>
      <c r="E687" s="474"/>
      <c r="F687" s="473"/>
      <c r="G687" s="473"/>
      <c r="H687" s="473"/>
      <c r="I687" s="473"/>
      <c r="J687" s="475"/>
      <c r="K687" s="475"/>
      <c r="L687" s="475"/>
      <c r="O687" s="255" t="s">
        <v>772</v>
      </c>
      <c r="AQ687" s="476"/>
      <c r="BZ687" t="s">
        <v>609</v>
      </c>
      <c r="CA687" s="112"/>
      <c r="CB687"/>
      <c r="CC687"/>
      <c r="CD687"/>
      <c r="CE687" t="s">
        <v>204</v>
      </c>
      <c r="CF687"/>
      <c r="CG687" s="122"/>
    </row>
    <row r="688" spans="1:100" customFormat="1" ht="30" customHeight="1">
      <c r="A688" s="112" t="str">
        <f>IF($C$13=1,IF(K688="报价行",1," ")," ")</f>
        <v xml:space="preserve"> </v>
      </c>
      <c r="B688" s="414" t="str">
        <f>IF(A688=1,SUM($A$11:A688),"悬臂单底座")</f>
        <v>悬臂单底座</v>
      </c>
      <c r="C688" s="623" t="s">
        <v>627</v>
      </c>
      <c r="D688" s="645">
        <f>1200+305+181</f>
        <v>1686</v>
      </c>
      <c r="E688" s="665" t="str">
        <f>C689</f>
        <v>B300*90*3.0t</v>
      </c>
      <c r="F688" s="460">
        <v>12</v>
      </c>
      <c r="G688" s="419">
        <f>SUM(P689*N689,P694*N694,N690*P690,N691*P691,N692*P692,N693*P693)</f>
        <v>48.434239999999996</v>
      </c>
      <c r="H688" s="419" t="e">
        <f>SUM(H689:H695)</f>
        <v>#DIV/0!</v>
      </c>
      <c r="I688" s="460" t="s">
        <v>292</v>
      </c>
      <c r="J688" s="418"/>
      <c r="K688" s="423" t="s">
        <v>217</v>
      </c>
      <c r="L688" s="54" t="s">
        <v>624</v>
      </c>
      <c r="M688" t="s">
        <v>608</v>
      </c>
      <c r="N688" t="s">
        <v>610</v>
      </c>
      <c r="O688" s="255" t="s">
        <v>772</v>
      </c>
      <c r="P688" t="s">
        <v>611</v>
      </c>
      <c r="Q688" t="s">
        <v>612</v>
      </c>
      <c r="R688" t="s">
        <v>613</v>
      </c>
      <c r="S688" t="s">
        <v>614</v>
      </c>
      <c r="T688" t="s">
        <v>615</v>
      </c>
      <c r="U688" t="str">
        <f>T688&amp;"数量"</f>
        <v>配件1数量</v>
      </c>
      <c r="V688" t="str">
        <f>T688&amp;"单价"</f>
        <v>配件1单价</v>
      </c>
      <c r="W688" t="str">
        <f>T688&amp;"总价"</f>
        <v>配件1总价</v>
      </c>
      <c r="X688" t="str">
        <f>T688&amp;"单重"</f>
        <v>配件1单重</v>
      </c>
      <c r="Y688" t="str">
        <f>T688&amp;"总重量"</f>
        <v>配件1总重量</v>
      </c>
      <c r="Z688" t="s">
        <v>616</v>
      </c>
      <c r="AA688" t="str">
        <f>Z688&amp;"数量"</f>
        <v>配件2数量</v>
      </c>
      <c r="AB688" t="str">
        <f>Z688&amp;"单价"</f>
        <v>配件2单价</v>
      </c>
      <c r="AC688" t="str">
        <f>Z688&amp;"总价"</f>
        <v>配件2总价</v>
      </c>
      <c r="AD688" t="str">
        <f>Z688&amp;"单重"</f>
        <v>配件2单重</v>
      </c>
      <c r="AE688" t="str">
        <f>Z688&amp;"总重量"</f>
        <v>配件2总重量</v>
      </c>
      <c r="AF688" t="s">
        <v>617</v>
      </c>
      <c r="AG688" t="str">
        <f>AF688&amp;"数量"</f>
        <v>配件3数量</v>
      </c>
      <c r="AH688" t="str">
        <f>AF688&amp;"单价"</f>
        <v>配件3单价</v>
      </c>
      <c r="AI688" t="str">
        <f>AF688&amp;"总价"</f>
        <v>配件3总价</v>
      </c>
      <c r="AJ688" t="str">
        <f>AF688&amp;"单重"</f>
        <v>配件3单重</v>
      </c>
      <c r="AK688" t="str">
        <f>AF688&amp;"总重量"</f>
        <v>配件3总重量</v>
      </c>
      <c r="AQ688" s="110"/>
      <c r="AX688" t="str">
        <f>E688</f>
        <v>B300*90*3.0t</v>
      </c>
      <c r="AY688" s="494">
        <f>D688</f>
        <v>1686</v>
      </c>
      <c r="AZ688">
        <f>F688</f>
        <v>12</v>
      </c>
      <c r="BA688" s="256">
        <f>G688</f>
        <v>48.434239999999996</v>
      </c>
      <c r="BB688">
        <f>AZ688*BA688</f>
        <v>581.21087999999997</v>
      </c>
      <c r="BC688" s="495"/>
      <c r="BR688" t="str">
        <f>I688</f>
        <v>Blue Ral5015</v>
      </c>
      <c r="BZ688" t="s">
        <v>626</v>
      </c>
      <c r="CA688" s="112"/>
      <c r="CE688" t="s">
        <v>204</v>
      </c>
      <c r="CG688" s="122"/>
      <c r="CV688" s="388"/>
    </row>
    <row r="689" spans="1:100" customFormat="1" ht="30" customHeight="1" outlineLevel="1">
      <c r="A689" s="112"/>
      <c r="B689" s="418" t="s">
        <v>628</v>
      </c>
      <c r="C689" s="460" t="s">
        <v>775</v>
      </c>
      <c r="D689" s="418">
        <f>IFERROR(IF(G689="预镀锌",VLOOKUP(C689,常规材料表!$1:$1048576,5,0),VLOOKUP(C689,常规材料表!$1:$1048576,10,0)),0)</f>
        <v>3.47</v>
      </c>
      <c r="E689" s="418">
        <f>IFERROR(IF(G689="喷塑",1,0)*VLOOKUP(C689,常规材料表!$1:$1048576,12,0)+IF(G689="热镀锌",1,0)*VLOOKUP(C689,常规材料表!$1:$1048576,13,0)+IF(G689="冷镀锌",1,0)*VLOOKUP(C689,常规材料表!$1:$1048576,15,0),0)</f>
        <v>0.95</v>
      </c>
      <c r="F689" s="418">
        <f>IFERROR(VLOOKUP(C689,常规材料表!$1:$1048576,11,0)/P689+D695,0)</f>
        <v>0.88734750109481575</v>
      </c>
      <c r="G689" s="514" t="s">
        <v>236</v>
      </c>
      <c r="H689" s="418">
        <f t="shared" ref="H689:H694" si="62">P689*(D689+F689*1.13+E689+S689)/1.13*N689</f>
        <v>246.73736120353988</v>
      </c>
      <c r="I689" s="623">
        <f>F688*N689</f>
        <v>12</v>
      </c>
      <c r="J689" s="651">
        <v>12</v>
      </c>
      <c r="K689" s="54" t="s">
        <v>237</v>
      </c>
      <c r="L689" s="460">
        <v>12</v>
      </c>
      <c r="M689" s="418" t="e">
        <f>H688/G688</f>
        <v>#DIV/0!</v>
      </c>
      <c r="N689">
        <f>J689/J689</f>
        <v>1</v>
      </c>
      <c r="O689" s="255" t="s">
        <v>772</v>
      </c>
      <c r="P689" s="112">
        <f>IFERROR(VLOOKUP(C689,常规材料表!$1:$1048576,3,0)*D688/1000+Y689+AE689,0)</f>
        <v>42.564239999999998</v>
      </c>
      <c r="Q689" s="112">
        <f>IFERROR(VLOOKUP(C689,常规材料表!$1:$1048576,4,0)*D688/1000,0)</f>
        <v>1.3488000000000002</v>
      </c>
      <c r="R689">
        <f>W689+AC689+AI689</f>
        <v>48</v>
      </c>
      <c r="S689">
        <f t="shared" ref="S689:S694" si="63">R689/P689</f>
        <v>1.1277072021020462</v>
      </c>
      <c r="T689" t="s">
        <v>630</v>
      </c>
      <c r="U689">
        <f>IFERROR(VLOOKUP(C689,常规材料表!$1:$1048576,18,0),0)</f>
        <v>12</v>
      </c>
      <c r="V689">
        <f>IFERROR(VLOOKUP(T689,常规材料表!$1:$1048576,5,0),0)*X689</f>
        <v>2</v>
      </c>
      <c r="W689">
        <f t="shared" ref="W689:W694" si="64">V689*U689</f>
        <v>24</v>
      </c>
      <c r="X689">
        <f>IFERROR(VLOOKUP(T689,常规材料表!$1:$1048576,3,0),0)</f>
        <v>0.4</v>
      </c>
      <c r="Y689">
        <f t="shared" ref="Y689:Y694" si="65">X689*U689</f>
        <v>4.8000000000000007</v>
      </c>
      <c r="Z689" t="s">
        <v>631</v>
      </c>
      <c r="AA689">
        <f>IFERROR(VLOOKUP(C689,常规材料表!$1:$1048576,20,0),0)</f>
        <v>24</v>
      </c>
      <c r="AB689">
        <f>IFERROR(VLOOKUP(Z689,常规材料表!$1:$1048576,5,0),0)*AD689</f>
        <v>1</v>
      </c>
      <c r="AC689">
        <f t="shared" ref="AC689:AC694" si="66">AB689*AA689</f>
        <v>24</v>
      </c>
      <c r="AD689">
        <f>IFERROR(VLOOKUP(Z689,常规材料表!$1:$1048576,3,0),0)</f>
        <v>0.25</v>
      </c>
      <c r="AE689">
        <f t="shared" ref="AE689:AE694" si="67">AD689*AA689</f>
        <v>6</v>
      </c>
      <c r="AF689">
        <f>IFERROR(VLOOKUP(C689,常规材料表!$1:$1048576,21,0),0)</f>
        <v>0</v>
      </c>
      <c r="AG689">
        <f>IFERROR(VLOOKUP(C689,常规材料表!$1:$1048576,22,0),0)</f>
        <v>0</v>
      </c>
      <c r="AH689">
        <f>IFERROR(VLOOKUP(AF689,常规材料表!$1:$1048576,5,0),0)</f>
        <v>0</v>
      </c>
      <c r="AI689">
        <f t="shared" ref="AI689:AI694" si="68">AH689*AG689</f>
        <v>0</v>
      </c>
      <c r="AJ689">
        <f>IFERROR(VLOOKUP(AF689,常规材料表!$1:$1048576,3,0),0)</f>
        <v>0</v>
      </c>
      <c r="AK689">
        <f t="shared" ref="AK689:AK694" si="69">AJ689*AG689</f>
        <v>0</v>
      </c>
      <c r="AQ689" s="110"/>
      <c r="AX689" t="s">
        <v>156</v>
      </c>
      <c r="AY689" t="s">
        <v>246</v>
      </c>
      <c r="AZ689" t="s">
        <v>102</v>
      </c>
      <c r="BA689" t="s">
        <v>158</v>
      </c>
      <c r="BB689" t="s">
        <v>247</v>
      </c>
      <c r="BC689" t="s">
        <v>248</v>
      </c>
      <c r="BD689" t="s">
        <v>249</v>
      </c>
      <c r="BE689" t="s">
        <v>250</v>
      </c>
      <c r="BF689" t="s">
        <v>251</v>
      </c>
      <c r="BZ689" t="s">
        <v>626</v>
      </c>
      <c r="CA689" s="112"/>
      <c r="CE689" t="s">
        <v>204</v>
      </c>
      <c r="CG689" s="122"/>
      <c r="CV689" s="388"/>
    </row>
    <row r="690" spans="1:100" customFormat="1" ht="30" customHeight="1" outlineLevel="1">
      <c r="A690" s="112"/>
      <c r="B690" s="418" t="s">
        <v>633</v>
      </c>
      <c r="C690" s="460" t="s">
        <v>776</v>
      </c>
      <c r="D690" s="418">
        <f>IFERROR(IF(G690="预镀锌",VLOOKUP(C690,常规材料表!$1:$1048576,5,0),VLOOKUP(C690,常规材料表!$1:$1048576,10,0)),0)</f>
        <v>4.93</v>
      </c>
      <c r="E690" s="418">
        <f>IFERROR(IF(G690="喷塑",1,0)*VLOOKUP(C690,常规材料表!$1:$1048576,12,0)+IF(G690="热镀锌",1,0)*VLOOKUP(C690,常规材料表!$1:$1048576,13,0)+IF(G690="冷镀锌",1,0)*VLOOKUP(C690,常规材料表!$1:$1048576,15,0),0)</f>
        <v>2.2000000000000002</v>
      </c>
      <c r="F690" s="418">
        <f>IFERROR(VLOOKUP(C690,常规材料表!$1:$1048576,11,0)/P690+D695,0)</f>
        <v>0.67532103352689177</v>
      </c>
      <c r="G690" s="514" t="s">
        <v>549</v>
      </c>
      <c r="H690" s="418">
        <f t="shared" si="62"/>
        <v>22.212476638827908</v>
      </c>
      <c r="I690" s="623">
        <f>F688*N690</f>
        <v>24</v>
      </c>
      <c r="J690" s="733">
        <v>24</v>
      </c>
      <c r="K690" s="54" t="s">
        <v>237</v>
      </c>
      <c r="L690" s="54"/>
      <c r="N690">
        <f>J690/J689</f>
        <v>2</v>
      </c>
      <c r="O690" s="255" t="s">
        <v>772</v>
      </c>
      <c r="P690" s="112">
        <v>1.59</v>
      </c>
      <c r="Q690" s="112">
        <f>IFERROR(VLOOKUP(C690,常规材料表!$1:$1048576,4,0),0)</f>
        <v>0</v>
      </c>
      <c r="R690">
        <f t="shared" ref="R690:R694" si="70">W690+AC690+AI690</f>
        <v>0</v>
      </c>
      <c r="S690">
        <f t="shared" si="63"/>
        <v>0</v>
      </c>
      <c r="T690">
        <f>IFERROR(VLOOKUP(C690,常规材料表!$1:$1048576,17,0),0)</f>
        <v>0</v>
      </c>
      <c r="U690">
        <f>IFERROR(VLOOKUP(C690,常规材料表!$1:$1048576,18,0),0)</f>
        <v>0</v>
      </c>
      <c r="V690">
        <f>IFERROR(VLOOKUP(T690,常规材料表!$1:$1048576,5,0),0)</f>
        <v>0</v>
      </c>
      <c r="W690">
        <f t="shared" si="64"/>
        <v>0</v>
      </c>
      <c r="X690">
        <f>IFERROR(VLOOKUP(T690,常规材料表!$1:$1048576,3,0),0)</f>
        <v>0</v>
      </c>
      <c r="Y690">
        <f t="shared" si="65"/>
        <v>0</v>
      </c>
      <c r="Z690">
        <f>IFERROR(VLOOKUP(C690,常规材料表!$1:$1048576,19,0),0)</f>
        <v>0</v>
      </c>
      <c r="AA690">
        <f>IFERROR(VLOOKUP(C690,常规材料表!$1:$1048576,20,0),0)</f>
        <v>0</v>
      </c>
      <c r="AB690">
        <f>IFERROR(VLOOKUP(Z690,常规材料表!$1:$1048576,5,0),0)</f>
        <v>0</v>
      </c>
      <c r="AC690">
        <f t="shared" si="66"/>
        <v>0</v>
      </c>
      <c r="AD690">
        <f>IFERROR(VLOOKUP(Z690,常规材料表!$1:$1048576,3,0),0)</f>
        <v>0</v>
      </c>
      <c r="AE690">
        <f t="shared" si="67"/>
        <v>0</v>
      </c>
      <c r="AF690">
        <f>IFERROR(VLOOKUP(C690,常规材料表!$1:$1048576,21,0),0)</f>
        <v>0</v>
      </c>
      <c r="AG690">
        <f>IFERROR(VLOOKUP(C690,常规材料表!$1:$1048576,22,0),0)</f>
        <v>0</v>
      </c>
      <c r="AH690">
        <f>IFERROR(VLOOKUP(AF690,常规材料表!$1:$1048576,5,0),0)</f>
        <v>0</v>
      </c>
      <c r="AI690">
        <f t="shared" si="68"/>
        <v>0</v>
      </c>
      <c r="AJ690">
        <f>IFERROR(VLOOKUP(AF690,常规材料表!$1:$1048576,3,0),0)</f>
        <v>0</v>
      </c>
      <c r="AK690">
        <f t="shared" si="69"/>
        <v>0</v>
      </c>
      <c r="AQ690" s="110"/>
      <c r="BZ690" t="s">
        <v>626</v>
      </c>
      <c r="CA690" s="112"/>
      <c r="CE690" t="s">
        <v>204</v>
      </c>
      <c r="CG690" s="122"/>
      <c r="CV690" s="388"/>
    </row>
    <row r="691" spans="1:100" customFormat="1" ht="30" customHeight="1" outlineLevel="1">
      <c r="A691" s="112"/>
      <c r="B691" s="418" t="s">
        <v>635</v>
      </c>
      <c r="C691" s="460" t="s">
        <v>777</v>
      </c>
      <c r="D691" s="418">
        <f>IFERROR(IF(G691="预镀锌",VLOOKUP(C691,常规材料表!$1:$1048576,5,0),VLOOKUP(C691,常规材料表!$1:$1048576,10,0)),0)</f>
        <v>8.9887640449438209</v>
      </c>
      <c r="E691" s="418">
        <f>IFERROR(IF(G691="喷塑",1,0)*VLOOKUP(C691,常规材料表!$1:$1048576,12,0)+IF(G691="热镀锌",1,0)*VLOOKUP(C691,常规材料表!$1:$1048576,13,0)+IF(G691="冷镀锌",1,0)*VLOOKUP(C691,常规材料表!$1:$1048576,15,0),0)</f>
        <v>0.95</v>
      </c>
      <c r="F691" s="418">
        <f>IFERROR(VLOOKUP(C691,常规材料表!$1:$1048576,11,0)/P691+D695,0)</f>
        <v>0.73809916503453254</v>
      </c>
      <c r="G691" s="514" t="str">
        <f>G689</f>
        <v>喷塑</v>
      </c>
      <c r="H691" s="418">
        <f t="shared" si="62"/>
        <v>20.782954956746547</v>
      </c>
      <c r="I691" s="623">
        <f>F688*N691</f>
        <v>12</v>
      </c>
      <c r="J691" s="733">
        <v>12</v>
      </c>
      <c r="K691" s="54" t="s">
        <v>237</v>
      </c>
      <c r="L691" s="54"/>
      <c r="N691">
        <f>J691/J689</f>
        <v>1</v>
      </c>
      <c r="O691" s="255" t="s">
        <v>772</v>
      </c>
      <c r="P691" s="112">
        <v>2.1800000000000002</v>
      </c>
      <c r="Q691" s="112">
        <f>IFERROR(VLOOKUP(C691,常规材料表!$1:$1048576,4,0),0)</f>
        <v>0.23</v>
      </c>
      <c r="R691">
        <f t="shared" si="70"/>
        <v>0</v>
      </c>
      <c r="S691">
        <f t="shared" si="63"/>
        <v>0</v>
      </c>
      <c r="T691">
        <f>IFERROR(VLOOKUP(C691,常规材料表!$1:$1048576,17,0),0)</f>
        <v>0</v>
      </c>
      <c r="U691">
        <f>IFERROR(VLOOKUP(C691,常规材料表!$1:$1048576,18,0),0)</f>
        <v>0</v>
      </c>
      <c r="V691">
        <f>IFERROR(VLOOKUP(T691,常规材料表!$1:$1048576,5,0),0)</f>
        <v>0</v>
      </c>
      <c r="W691">
        <f t="shared" si="64"/>
        <v>0</v>
      </c>
      <c r="X691">
        <f>IFERROR(VLOOKUP(T691,常规材料表!$1:$1048576,3,0),0)</f>
        <v>0</v>
      </c>
      <c r="Y691">
        <f t="shared" si="65"/>
        <v>0</v>
      </c>
      <c r="Z691">
        <f>IFERROR(VLOOKUP(C691,常规材料表!$1:$1048576,19,0),0)</f>
        <v>0</v>
      </c>
      <c r="AA691">
        <f>IFERROR(VLOOKUP(C691,常规材料表!$1:$1048576,20,0),0)</f>
        <v>0</v>
      </c>
      <c r="AB691">
        <f>IFERROR(VLOOKUP(Z691,常规材料表!$1:$1048576,5,0),0)</f>
        <v>0</v>
      </c>
      <c r="AC691">
        <f t="shared" si="66"/>
        <v>0</v>
      </c>
      <c r="AD691">
        <f>IFERROR(VLOOKUP(Z691,常规材料表!$1:$1048576,3,0),0)</f>
        <v>0</v>
      </c>
      <c r="AE691">
        <f t="shared" si="67"/>
        <v>0</v>
      </c>
      <c r="AF691">
        <f>IFERROR(VLOOKUP(C691,常规材料表!$1:$1048576,21,0),0)</f>
        <v>0</v>
      </c>
      <c r="AG691">
        <f>IFERROR(VLOOKUP(C691,常规材料表!$1:$1048576,22,0),0)</f>
        <v>0</v>
      </c>
      <c r="AH691">
        <f>IFERROR(VLOOKUP(AF691,常规材料表!$1:$1048576,5,0),0)</f>
        <v>0</v>
      </c>
      <c r="AI691">
        <f t="shared" si="68"/>
        <v>0</v>
      </c>
      <c r="AJ691">
        <f>IFERROR(VLOOKUP(AF691,常规材料表!$1:$1048576,3,0),0)</f>
        <v>0</v>
      </c>
      <c r="AK691">
        <f t="shared" si="69"/>
        <v>0</v>
      </c>
      <c r="AQ691" s="110"/>
      <c r="BZ691" t="s">
        <v>626</v>
      </c>
      <c r="CA691" s="112"/>
      <c r="CE691" t="s">
        <v>204</v>
      </c>
      <c r="CG691" s="122"/>
      <c r="CV691" s="388"/>
    </row>
    <row r="692" spans="1:100" customFormat="1" ht="30" customHeight="1" outlineLevel="1">
      <c r="A692" s="112"/>
      <c r="B692" s="418" t="s">
        <v>637</v>
      </c>
      <c r="C692" s="460" t="s">
        <v>638</v>
      </c>
      <c r="D692" s="418">
        <f>IFERROR(VLOOKUP(C692,常规材料表!$1:$1048576,5,0),0)</f>
        <v>7.9411764705882399</v>
      </c>
      <c r="E692" s="418">
        <f>IFERROR(IF(G692="喷塑",1,0)*VLOOKUP(C692,常规材料表!$1:$1048576,12,0)+IF(G692="热镀锌",1,0)*VLOOKUP(C692,常规材料表!$1:$1048576,13,0)+IF(G692="冷镀锌",1,0)*VLOOKUP(C692,常规材料表!$1:$1048576,15,0),0)</f>
        <v>0</v>
      </c>
      <c r="F692" s="418">
        <f>IFERROR(VLOOKUP(C692,常规材料表!$1:$1048576,11,0)/P692+D695,0)</f>
        <v>0.3</v>
      </c>
      <c r="G692" s="514" t="str">
        <f>G689</f>
        <v>喷塑</v>
      </c>
      <c r="H692" s="418">
        <f t="shared" si="62"/>
        <v>3.7370707964601797</v>
      </c>
      <c r="I692" s="623">
        <f>F688*N692</f>
        <v>36</v>
      </c>
      <c r="J692" s="733">
        <f>J690+J691</f>
        <v>36</v>
      </c>
      <c r="K692" s="54" t="s">
        <v>237</v>
      </c>
      <c r="L692" s="54"/>
      <c r="N692">
        <f>J692/J689</f>
        <v>3</v>
      </c>
      <c r="O692" s="255" t="s">
        <v>772</v>
      </c>
      <c r="P692" s="112">
        <f>IFERROR(VLOOKUP(C692,常规材料表!$1:$1048576,3,0),0)</f>
        <v>0.17</v>
      </c>
      <c r="Q692" s="112">
        <f>IFERROR(VLOOKUP(C692,常规材料表!$1:$1048576,4,0),0)</f>
        <v>0</v>
      </c>
      <c r="R692">
        <f t="shared" si="70"/>
        <v>0</v>
      </c>
      <c r="S692">
        <f t="shared" si="63"/>
        <v>0</v>
      </c>
      <c r="T692">
        <f>IFERROR(VLOOKUP(C692,常规材料表!$1:$1048576,17,0),0)</f>
        <v>0</v>
      </c>
      <c r="U692">
        <f>IFERROR(VLOOKUP(C692,常规材料表!$1:$1048576,18,0),0)</f>
        <v>0</v>
      </c>
      <c r="V692">
        <f>IFERROR(VLOOKUP(T692,常规材料表!$1:$1048576,5,0),0)</f>
        <v>0</v>
      </c>
      <c r="W692">
        <f t="shared" si="64"/>
        <v>0</v>
      </c>
      <c r="X692">
        <f>IFERROR(VLOOKUP(T692,常规材料表!$1:$1048576,3,0),0)</f>
        <v>0</v>
      </c>
      <c r="Y692">
        <f t="shared" si="65"/>
        <v>0</v>
      </c>
      <c r="Z692">
        <f>IFERROR(VLOOKUP(C692,常规材料表!$1:$1048576,19,0),0)</f>
        <v>0</v>
      </c>
      <c r="AA692">
        <f>IFERROR(VLOOKUP(C692,常规材料表!$1:$1048576,20,0),0)</f>
        <v>0</v>
      </c>
      <c r="AB692">
        <f>IFERROR(VLOOKUP(Z692,常规材料表!$1:$1048576,5,0),0)</f>
        <v>0</v>
      </c>
      <c r="AC692">
        <f t="shared" si="66"/>
        <v>0</v>
      </c>
      <c r="AD692">
        <f>IFERROR(VLOOKUP(Z692,常规材料表!$1:$1048576,3,0),0)</f>
        <v>0</v>
      </c>
      <c r="AE692">
        <f t="shared" si="67"/>
        <v>0</v>
      </c>
      <c r="AF692">
        <f>IFERROR(VLOOKUP(C692,常规材料表!$1:$1048576,21,0),0)</f>
        <v>0</v>
      </c>
      <c r="AG692">
        <f>IFERROR(VLOOKUP(C692,常规材料表!$1:$1048576,22,0),0)</f>
        <v>0</v>
      </c>
      <c r="AH692">
        <f>IFERROR(VLOOKUP(AF692,常规材料表!$1:$1048576,5,0),0)</f>
        <v>0</v>
      </c>
      <c r="AI692">
        <f t="shared" si="68"/>
        <v>0</v>
      </c>
      <c r="AJ692">
        <f>IFERROR(VLOOKUP(AF692,常规材料表!$1:$1048576,3,0),0)</f>
        <v>0</v>
      </c>
      <c r="AK692">
        <f t="shared" si="69"/>
        <v>0</v>
      </c>
      <c r="AQ692" s="110"/>
      <c r="BZ692" t="s">
        <v>626</v>
      </c>
      <c r="CA692" s="112"/>
      <c r="CE692" t="s">
        <v>204</v>
      </c>
      <c r="CG692" s="122"/>
      <c r="CV692" s="388"/>
    </row>
    <row r="693" spans="1:100" customFormat="1" ht="30" customHeight="1" outlineLevel="1">
      <c r="A693" s="112"/>
      <c r="B693" s="418" t="s">
        <v>639</v>
      </c>
      <c r="C693" s="460" t="s">
        <v>778</v>
      </c>
      <c r="D693" s="418">
        <f>IFERROR(VLOOKUP(C693,常规材料表!$1:$1048576,5,0),0)</f>
        <v>0</v>
      </c>
      <c r="E693" s="418">
        <f>IFERROR(IF(G693="喷塑",1,0)*VLOOKUP(C693,常规材料表!$1:$1048576,12,0)+IF(G693="热镀锌",1,0)*VLOOKUP(C693,常规材料表!$1:$1048576,13,0)+IF(G693="冷镀锌",1,0)*VLOOKUP(C693,常规材料表!$1:$1048576,15,0),0)</f>
        <v>0</v>
      </c>
      <c r="F693" s="418">
        <f>IFERROR(VLOOKUP(C693,常规材料表!$1:$1048576,11,0)/P693+D695,0)</f>
        <v>0</v>
      </c>
      <c r="G693" s="514" t="str">
        <f>G689</f>
        <v>喷塑</v>
      </c>
      <c r="H693" s="418" t="e">
        <f t="shared" si="62"/>
        <v>#DIV/0!</v>
      </c>
      <c r="I693" s="623">
        <f>F688*N693</f>
        <v>36</v>
      </c>
      <c r="J693" s="733">
        <f>J692</f>
        <v>36</v>
      </c>
      <c r="K693" s="54" t="s">
        <v>237</v>
      </c>
      <c r="L693" s="54"/>
      <c r="N693">
        <f>J693/J689</f>
        <v>3</v>
      </c>
      <c r="O693" s="255" t="s">
        <v>772</v>
      </c>
      <c r="P693" s="112">
        <f>IFERROR(VLOOKUP(C693,常规材料表!$1:$1048576,3,0),0)</f>
        <v>0</v>
      </c>
      <c r="Q693" s="112">
        <f>IFERROR(VLOOKUP(C693,常规材料表!$1:$1048576,4,0),0)</f>
        <v>0</v>
      </c>
      <c r="R693">
        <f t="shared" si="70"/>
        <v>0</v>
      </c>
      <c r="S693" t="e">
        <f t="shared" si="63"/>
        <v>#DIV/0!</v>
      </c>
      <c r="T693">
        <f>IFERROR(VLOOKUP(C693,常规材料表!$1:$1048576,17,0),0)</f>
        <v>0</v>
      </c>
      <c r="U693">
        <f>IFERROR(VLOOKUP(C693,常规材料表!$1:$1048576,18,0),0)</f>
        <v>0</v>
      </c>
      <c r="V693">
        <f>IFERROR(VLOOKUP(T693,常规材料表!$1:$1048576,5,0),0)</f>
        <v>0</v>
      </c>
      <c r="W693">
        <f t="shared" si="64"/>
        <v>0</v>
      </c>
      <c r="X693">
        <f>IFERROR(VLOOKUP(T693,常规材料表!$1:$1048576,3,0),0)</f>
        <v>0</v>
      </c>
      <c r="Y693">
        <f t="shared" si="65"/>
        <v>0</v>
      </c>
      <c r="Z693">
        <f>IFERROR(VLOOKUP(C693,常规材料表!$1:$1048576,19,0),0)</f>
        <v>0</v>
      </c>
      <c r="AA693">
        <f>IFERROR(VLOOKUP(C693,常规材料表!$1:$1048576,20,0),0)</f>
        <v>0</v>
      </c>
      <c r="AB693">
        <f>IFERROR(VLOOKUP(Z693,常规材料表!$1:$1048576,5,0),0)</f>
        <v>0</v>
      </c>
      <c r="AC693">
        <f t="shared" si="66"/>
        <v>0</v>
      </c>
      <c r="AD693">
        <f>IFERROR(VLOOKUP(Z693,常规材料表!$1:$1048576,3,0),0)</f>
        <v>0</v>
      </c>
      <c r="AE693">
        <f t="shared" si="67"/>
        <v>0</v>
      </c>
      <c r="AF693">
        <f>IFERROR(VLOOKUP(C693,常规材料表!$1:$1048576,21,0),0)</f>
        <v>0</v>
      </c>
      <c r="AG693">
        <f>IFERROR(VLOOKUP(C693,常规材料表!$1:$1048576,22,0),0)</f>
        <v>0</v>
      </c>
      <c r="AH693">
        <f>IFERROR(VLOOKUP(AF693,常规材料表!$1:$1048576,5,0),0)</f>
        <v>0</v>
      </c>
      <c r="AI693">
        <f t="shared" si="68"/>
        <v>0</v>
      </c>
      <c r="AJ693">
        <f>IFERROR(VLOOKUP(AF693,常规材料表!$1:$1048576,3,0),0)</f>
        <v>0</v>
      </c>
      <c r="AK693">
        <f t="shared" si="69"/>
        <v>0</v>
      </c>
      <c r="AQ693" s="110"/>
      <c r="BZ693" t="s">
        <v>626</v>
      </c>
      <c r="CA693" s="112"/>
      <c r="CE693" t="s">
        <v>204</v>
      </c>
      <c r="CG693" s="122"/>
      <c r="CV693" s="388"/>
    </row>
    <row r="694" spans="1:100" customFormat="1" ht="30" customHeight="1" outlineLevel="1">
      <c r="A694" s="112"/>
      <c r="B694" s="418" t="s">
        <v>641</v>
      </c>
      <c r="C694" s="460" t="s">
        <v>779</v>
      </c>
      <c r="D694" s="418">
        <f>IFERROR(VLOOKUP(C694,常规材料表!$1:$1048576,5,0),0)</f>
        <v>0</v>
      </c>
      <c r="E694" s="418">
        <f>IFERROR(IF(G694="喷塑",1,0)*VLOOKUP(C694,常规材料表!$1:$1048576,12,0)+IF(G694="热镀锌",1,0)*VLOOKUP(C694,常规材料表!$1:$1048576,13,0)+IF(G694="冷镀锌",1,0)*VLOOKUP(C694,常规材料表!$1:$1048576,15,0),0)</f>
        <v>0</v>
      </c>
      <c r="F694" s="418">
        <f>IFERROR(VLOOKUP(C694,常规材料表!$1:$1048576,11,0)/P694+D695,0)</f>
        <v>0</v>
      </c>
      <c r="G694" s="514" t="str">
        <f>G689</f>
        <v>喷塑</v>
      </c>
      <c r="H694" s="418" t="e">
        <f t="shared" si="62"/>
        <v>#DIV/0!</v>
      </c>
      <c r="I694" s="623">
        <f>F688*N694</f>
        <v>36</v>
      </c>
      <c r="J694" s="733">
        <f>J692</f>
        <v>36</v>
      </c>
      <c r="K694" s="54" t="s">
        <v>237</v>
      </c>
      <c r="L694" s="54"/>
      <c r="N694">
        <f>J694/J689</f>
        <v>3</v>
      </c>
      <c r="O694" s="255" t="s">
        <v>772</v>
      </c>
      <c r="P694" s="112">
        <f>IFERROR(VLOOKUP(C694,常规材料表!$1:$1048576,3,0),0)</f>
        <v>0</v>
      </c>
      <c r="Q694" s="112">
        <f>IFERROR(VLOOKUP(C694,常规材料表!$1:$1048576,4,0),0)</f>
        <v>0</v>
      </c>
      <c r="R694">
        <f t="shared" si="70"/>
        <v>0</v>
      </c>
      <c r="S694" t="e">
        <f t="shared" si="63"/>
        <v>#DIV/0!</v>
      </c>
      <c r="T694">
        <f>IFERROR(VLOOKUP(C694,常规材料表!$1:$1048576,17,0),0)</f>
        <v>0</v>
      </c>
      <c r="U694">
        <f>IFERROR(VLOOKUP(C694,常规材料表!$1:$1048576,18,0),0)</f>
        <v>0</v>
      </c>
      <c r="V694">
        <f>IFERROR(VLOOKUP(T694,常规材料表!$1:$1048576,5,0),0)</f>
        <v>0</v>
      </c>
      <c r="W694">
        <f t="shared" si="64"/>
        <v>0</v>
      </c>
      <c r="X694">
        <f>IFERROR(VLOOKUP(T694,常规材料表!$1:$1048576,3,0),0)</f>
        <v>0</v>
      </c>
      <c r="Y694">
        <f t="shared" si="65"/>
        <v>0</v>
      </c>
      <c r="Z694">
        <f>IFERROR(VLOOKUP(C694,常规材料表!$1:$1048576,19,0),0)</f>
        <v>0</v>
      </c>
      <c r="AA694">
        <f>IFERROR(VLOOKUP(C694,常规材料表!$1:$1048576,20,0),0)</f>
        <v>0</v>
      </c>
      <c r="AB694">
        <f>IFERROR(VLOOKUP(Z694,常规材料表!$1:$1048576,5,0),0)</f>
        <v>0</v>
      </c>
      <c r="AC694">
        <f t="shared" si="66"/>
        <v>0</v>
      </c>
      <c r="AD694">
        <f>IFERROR(VLOOKUP(Z694,常规材料表!$1:$1048576,3,0),0)</f>
        <v>0</v>
      </c>
      <c r="AE694">
        <f t="shared" si="67"/>
        <v>0</v>
      </c>
      <c r="AF694">
        <f>IFERROR(VLOOKUP(C694,常规材料表!$1:$1048576,21,0),0)</f>
        <v>0</v>
      </c>
      <c r="AG694">
        <f>IFERROR(VLOOKUP(C694,常规材料表!$1:$1048576,22,0),0)</f>
        <v>0</v>
      </c>
      <c r="AH694">
        <f>IFERROR(VLOOKUP(AF694,常规材料表!$1:$1048576,5,0),0)</f>
        <v>0</v>
      </c>
      <c r="AI694">
        <f t="shared" si="68"/>
        <v>0</v>
      </c>
      <c r="AJ694">
        <f>IFERROR(VLOOKUP(AF694,常规材料表!$1:$1048576,3,0),0)</f>
        <v>0</v>
      </c>
      <c r="AK694">
        <f t="shared" si="69"/>
        <v>0</v>
      </c>
      <c r="AQ694" s="110"/>
      <c r="BZ694" t="s">
        <v>626</v>
      </c>
      <c r="CA694" s="112"/>
      <c r="CE694" t="s">
        <v>204</v>
      </c>
      <c r="CG694" s="122"/>
      <c r="CV694" s="388"/>
    </row>
    <row r="695" spans="1:100" customFormat="1" ht="30" customHeight="1" outlineLevel="1">
      <c r="A695" s="112"/>
      <c r="B695" s="414">
        <v>0</v>
      </c>
      <c r="C695" s="418" t="s">
        <v>622</v>
      </c>
      <c r="D695" s="655">
        <v>0.3</v>
      </c>
      <c r="E695" s="564"/>
      <c r="F695" s="561"/>
      <c r="G695" s="418"/>
      <c r="H695" s="418"/>
      <c r="I695" s="418" t="s">
        <v>102</v>
      </c>
      <c r="J695" s="418" t="s">
        <v>623</v>
      </c>
      <c r="K695" s="54" t="s">
        <v>237</v>
      </c>
      <c r="L695" s="54"/>
      <c r="O695" s="255" t="s">
        <v>772</v>
      </c>
      <c r="AQ695" s="110"/>
      <c r="BZ695" t="s">
        <v>626</v>
      </c>
      <c r="CA695" s="112"/>
      <c r="CE695" t="s">
        <v>204</v>
      </c>
      <c r="CG695" s="122"/>
      <c r="CV695" s="388"/>
    </row>
    <row r="696" spans="1:100" s="376" customFormat="1" ht="30" customHeight="1">
      <c r="A696" s="472"/>
      <c r="B696" s="473"/>
      <c r="C696" s="473"/>
      <c r="D696" s="473"/>
      <c r="E696" s="474"/>
      <c r="F696" s="473"/>
      <c r="G696" s="473"/>
      <c r="H696" s="473"/>
      <c r="I696" s="473"/>
      <c r="J696" s="475"/>
      <c r="K696" s="475"/>
      <c r="L696" s="475"/>
      <c r="O696" s="255" t="s">
        <v>772</v>
      </c>
      <c r="AQ696" s="476"/>
      <c r="BZ696" t="s">
        <v>626</v>
      </c>
      <c r="CA696" s="112"/>
      <c r="CB696"/>
      <c r="CC696"/>
      <c r="CD696"/>
      <c r="CE696" t="s">
        <v>204</v>
      </c>
      <c r="CF696"/>
      <c r="CG696" s="122"/>
    </row>
    <row r="697" spans="1:100" customFormat="1" ht="30" customHeight="1">
      <c r="A697" s="112" t="str">
        <f>IF($C$13=1,IF(K697="报价行",1," ")," ")</f>
        <v xml:space="preserve"> </v>
      </c>
      <c r="B697" s="414" t="str">
        <f>IF(A697=1,SUM($A$11:A697),"悬臂-臂")</f>
        <v>悬臂-臂</v>
      </c>
      <c r="C697" s="623" t="s">
        <v>647</v>
      </c>
      <c r="D697" s="645">
        <v>1200</v>
      </c>
      <c r="E697" s="665" t="str">
        <f>C698</f>
        <v>Mb120/50*W94*3t/25*15</v>
      </c>
      <c r="F697" s="460">
        <v>36</v>
      </c>
      <c r="G697" s="419">
        <f>SUM(P698*N698,P703*N703,N699*P699,N700*P700,N701*P701,N702*P702)</f>
        <v>4.1940293999999998</v>
      </c>
      <c r="H697" s="419" t="e">
        <f>SUM(H698:H704)</f>
        <v>#DIV/0!</v>
      </c>
      <c r="I697" s="460" t="s">
        <v>341</v>
      </c>
      <c r="J697" s="54"/>
      <c r="K697" s="423" t="s">
        <v>217</v>
      </c>
      <c r="L697" s="54"/>
      <c r="M697" t="s">
        <v>608</v>
      </c>
      <c r="N697" t="s">
        <v>610</v>
      </c>
      <c r="O697" s="255" t="s">
        <v>772</v>
      </c>
      <c r="P697" t="s">
        <v>611</v>
      </c>
      <c r="Q697" t="s">
        <v>612</v>
      </c>
      <c r="R697" t="s">
        <v>613</v>
      </c>
      <c r="S697" t="s">
        <v>614</v>
      </c>
      <c r="T697" t="s">
        <v>615</v>
      </c>
      <c r="U697" t="str">
        <f>T697&amp;"数量"</f>
        <v>配件1数量</v>
      </c>
      <c r="V697" t="str">
        <f>T697&amp;"单价"</f>
        <v>配件1单价</v>
      </c>
      <c r="W697" t="str">
        <f>T697&amp;"总价"</f>
        <v>配件1总价</v>
      </c>
      <c r="X697" t="str">
        <f>T697&amp;"单重"</f>
        <v>配件1单重</v>
      </c>
      <c r="Y697" t="str">
        <f>T697&amp;"总重量"</f>
        <v>配件1总重量</v>
      </c>
      <c r="Z697" t="s">
        <v>616</v>
      </c>
      <c r="AA697" t="str">
        <f>Z697&amp;"数量"</f>
        <v>配件2数量</v>
      </c>
      <c r="AB697" t="str">
        <f>Z697&amp;"单价"</f>
        <v>配件2单价</v>
      </c>
      <c r="AC697" t="str">
        <f>Z697&amp;"总价"</f>
        <v>配件2总价</v>
      </c>
      <c r="AD697" t="str">
        <f>Z697&amp;"单重"</f>
        <v>配件2单重</v>
      </c>
      <c r="AE697" t="str">
        <f>Z697&amp;"总重量"</f>
        <v>配件2总重量</v>
      </c>
      <c r="AF697" t="s">
        <v>617</v>
      </c>
      <c r="AG697" t="str">
        <f>AF697&amp;"数量"</f>
        <v>配件3数量</v>
      </c>
      <c r="AH697" t="str">
        <f>AF697&amp;"单价"</f>
        <v>配件3单价</v>
      </c>
      <c r="AI697" t="str">
        <f>AF697&amp;"总价"</f>
        <v>配件3总价</v>
      </c>
      <c r="AJ697" t="str">
        <f>AF697&amp;"单重"</f>
        <v>配件3单重</v>
      </c>
      <c r="AK697" t="str">
        <f>AF697&amp;"总重量"</f>
        <v>配件3总重量</v>
      </c>
      <c r="AQ697" s="110"/>
      <c r="AX697" t="str">
        <f>E697</f>
        <v>Mb120/50*W94*3t/25*15</v>
      </c>
      <c r="AY697" s="494">
        <f>D697</f>
        <v>1200</v>
      </c>
      <c r="AZ697">
        <f>F697</f>
        <v>36</v>
      </c>
      <c r="BA697" s="256">
        <f>G697</f>
        <v>4.1940293999999998</v>
      </c>
      <c r="BB697">
        <f>AZ697*BA697</f>
        <v>150.98505839999999</v>
      </c>
      <c r="BC697" s="495"/>
      <c r="BR697" t="str">
        <f>I697</f>
        <v>Orange Ral2004</v>
      </c>
      <c r="BZ697" t="s">
        <v>646</v>
      </c>
      <c r="CA697" s="112"/>
      <c r="CE697" t="s">
        <v>204</v>
      </c>
      <c r="CG697" s="122"/>
      <c r="CV697" s="388"/>
    </row>
    <row r="698" spans="1:100" customFormat="1" ht="30" customHeight="1" outlineLevel="1">
      <c r="A698" s="112"/>
      <c r="B698" s="418" t="s">
        <v>648</v>
      </c>
      <c r="C698" s="460" t="s">
        <v>780</v>
      </c>
      <c r="D698" s="418">
        <f>IFERROR(IF(G698="预镀锌",VLOOKUP(C698,常规材料表!$1:$1048576,5,0),VLOOKUP(C698,常规材料表!$1:$1048576,10,0)),0)</f>
        <v>0</v>
      </c>
      <c r="E698" s="418">
        <f>IFERROR(IF(G698="喷塑",1,0)*VLOOKUP(C698,常规材料表!$1:$1048576,12,0)+IF(G698="热镀锌",1,0)*VLOOKUP(C698,常规材料表!$1:$1048576,13,0)+IF(G698="冷镀锌",1,0)*VLOOKUP(C698,常规材料表!$1:$1048576,15,0),0)</f>
        <v>0</v>
      </c>
      <c r="F698" s="418">
        <f>IFERROR(VLOOKUP(C698,常规材料表!$1:$1048576,11,0)/P698+D704,0)</f>
        <v>0</v>
      </c>
      <c r="G698" s="514" t="s">
        <v>236</v>
      </c>
      <c r="H698" s="418" t="e">
        <f t="shared" ref="H698:H703" si="71">P698*(D698+F698*1.13+E698+S698)/1.13*N698</f>
        <v>#DIV/0!</v>
      </c>
      <c r="I698" s="623">
        <f>F697*N698</f>
        <v>36</v>
      </c>
      <c r="J698" s="651">
        <v>84</v>
      </c>
      <c r="K698" s="54" t="s">
        <v>237</v>
      </c>
      <c r="L698" s="54"/>
      <c r="M698" s="418" t="e">
        <f>H697/G697</f>
        <v>#DIV/0!</v>
      </c>
      <c r="N698">
        <f>J698/J698</f>
        <v>1</v>
      </c>
      <c r="O698" s="255" t="s">
        <v>772</v>
      </c>
      <c r="P698" s="112">
        <f>IFERROR(VLOOKUP(C698,常规材料表!$1:$1048576,3,0)*(D697+12)/1000,0)</f>
        <v>0</v>
      </c>
      <c r="Q698" s="112">
        <f>IFERROR(VLOOKUP(C698,常规材料表!$1:$1048576,4,0)*D697/1000,0)</f>
        <v>0</v>
      </c>
      <c r="R698">
        <f t="shared" ref="R698:R703" si="72">W698+AC698+AI698</f>
        <v>0</v>
      </c>
      <c r="S698" t="e">
        <f t="shared" ref="S698:S703" si="73">R698/P698</f>
        <v>#DIV/0!</v>
      </c>
      <c r="T698">
        <f>IFERROR(VLOOKUP(C698,常规材料表!$1:$1048576,17,0),0)</f>
        <v>0</v>
      </c>
      <c r="U698">
        <f>IFERROR(VLOOKUP(C698,常规材料表!$1:$1048576,18,0),0)</f>
        <v>0</v>
      </c>
      <c r="V698">
        <f>IFERROR(VLOOKUP(T698,常规材料表!$1:$1048576,5,0),0)*X698</f>
        <v>0</v>
      </c>
      <c r="W698">
        <f t="shared" ref="W698:W703" si="74">V698*U698</f>
        <v>0</v>
      </c>
      <c r="X698">
        <f>IFERROR(VLOOKUP(T698,常规材料表!$1:$1048576,3,0),0)</f>
        <v>0</v>
      </c>
      <c r="Y698">
        <f t="shared" ref="Y698:Y703" si="75">X698*U698</f>
        <v>0</v>
      </c>
      <c r="Z698">
        <f>IFERROR(VLOOKUP(C698,常规材料表!$1:$1048576,19,0),0)</f>
        <v>0</v>
      </c>
      <c r="AA698">
        <f>IFERROR(VLOOKUP(C698,常规材料表!$1:$1048576,20,0),0)</f>
        <v>0</v>
      </c>
      <c r="AB698">
        <f>IFERROR(VLOOKUP(Z698,常规材料表!$1:$1048576,5,0),0)*AD698</f>
        <v>0</v>
      </c>
      <c r="AC698">
        <f t="shared" ref="AC698:AC703" si="76">AB698*AA698</f>
        <v>0</v>
      </c>
      <c r="AD698">
        <f>IFERROR(VLOOKUP(Z698,常规材料表!$1:$1048576,3,0),0)</f>
        <v>0</v>
      </c>
      <c r="AE698">
        <f t="shared" ref="AE698:AE703" si="77">AD698*AA698</f>
        <v>0</v>
      </c>
      <c r="AF698">
        <f>IFERROR(VLOOKUP(C698,常规材料表!$1:$1048576,21,0),0)</f>
        <v>0</v>
      </c>
      <c r="AG698">
        <f>IFERROR(VLOOKUP(C698,常规材料表!$1:$1048576,22,0),0)</f>
        <v>0</v>
      </c>
      <c r="AH698">
        <f>IFERROR(VLOOKUP(AF698,常规材料表!$1:$1048576,5,0),0)*AJ698</f>
        <v>0</v>
      </c>
      <c r="AI698">
        <f t="shared" ref="AI698:AI703" si="78">AH698*AG698</f>
        <v>0</v>
      </c>
      <c r="AJ698">
        <f>IFERROR(VLOOKUP(AF698,常规材料表!$1:$1048576,3,0),0)</f>
        <v>0</v>
      </c>
      <c r="AK698">
        <f t="shared" ref="AK698:AK703" si="79">AJ698*AG698</f>
        <v>0</v>
      </c>
      <c r="AQ698" s="110"/>
      <c r="AX698" t="s">
        <v>156</v>
      </c>
      <c r="AY698" t="s">
        <v>246</v>
      </c>
      <c r="AZ698" t="s">
        <v>102</v>
      </c>
      <c r="BA698" t="s">
        <v>158</v>
      </c>
      <c r="BB698" t="s">
        <v>247</v>
      </c>
      <c r="BC698" t="s">
        <v>248</v>
      </c>
      <c r="BD698" t="s">
        <v>249</v>
      </c>
      <c r="BE698" t="s">
        <v>250</v>
      </c>
      <c r="BF698" t="s">
        <v>251</v>
      </c>
      <c r="BZ698" t="s">
        <v>646</v>
      </c>
      <c r="CA698" s="112"/>
      <c r="CE698" t="s">
        <v>204</v>
      </c>
      <c r="CG698" s="122"/>
      <c r="CV698" s="388"/>
    </row>
    <row r="699" spans="1:100" customFormat="1" ht="30" customHeight="1" outlineLevel="1">
      <c r="A699" s="112"/>
      <c r="B699" s="418" t="s">
        <v>362</v>
      </c>
      <c r="C699" s="460" t="s">
        <v>744</v>
      </c>
      <c r="D699" s="418">
        <f>IFERROR(IF(G699="预镀锌",VLOOKUP(C699,常规材料表!$1:$1048576,5,0),VLOOKUP(C699,常规材料表!$1:$1048576,10,0)),0)</f>
        <v>6.6889632107023402</v>
      </c>
      <c r="E699" s="418">
        <f>IFERROR(IF(G699="喷塑",1,0)*VLOOKUP(C699,常规材料表!$1:$1048576,12,0)+IF(G699="热镀锌",1,0)*VLOOKUP(C699,常规材料表!$1:$1048576,13,0)+IF(G699="冷镀锌",1,0)*VLOOKUP(C699,常规材料表!$1:$1048576,15,0),0)</f>
        <v>0.95</v>
      </c>
      <c r="F699" s="418">
        <f>IFERROR(VLOOKUP(C699,常规材料表!$1:$1048576,11,0)/P699+D704,0)</f>
        <v>0.3</v>
      </c>
      <c r="G699" s="514" t="str">
        <f>G698</f>
        <v>喷塑</v>
      </c>
      <c r="H699" s="418">
        <f t="shared" si="71"/>
        <v>27.630076786929884</v>
      </c>
      <c r="I699" s="623">
        <f>F697*N699</f>
        <v>36</v>
      </c>
      <c r="J699" s="651">
        <v>84</v>
      </c>
      <c r="K699" s="54" t="s">
        <v>237</v>
      </c>
      <c r="L699" s="54"/>
      <c r="N699">
        <f>J699/J698</f>
        <v>1</v>
      </c>
      <c r="O699" s="255" t="s">
        <v>772</v>
      </c>
      <c r="P699" s="112">
        <f>IFERROR(VLOOKUP(C699,常规材料表!$1:$1048576,3,0)+Y699+AE699,0)</f>
        <v>3.4039999999999999</v>
      </c>
      <c r="Q699" s="112">
        <f>IFERROR(VLOOKUP(C699,常规材料表!$1:$1048576,4,0),0)</f>
        <v>0.152</v>
      </c>
      <c r="R699">
        <f t="shared" si="72"/>
        <v>4.0650000000000004</v>
      </c>
      <c r="S699">
        <f t="shared" si="73"/>
        <v>1.1941833137485314</v>
      </c>
      <c r="T699" t="str">
        <f>IFERROR(VLOOKUP(C699,常规材料表!$1:$1048576,17,0),0)</f>
        <v>ø20*120  8.8G</v>
      </c>
      <c r="U699">
        <f>IFERROR(VLOOKUP(C699,常规材料表!$1:$1048576,18,0),0)</f>
        <v>1</v>
      </c>
      <c r="V699">
        <f>IFERROR(VLOOKUP(T699,常规材料表!$1:$1048576,5,0),0)*X699</f>
        <v>3.85</v>
      </c>
      <c r="W699">
        <f t="shared" si="74"/>
        <v>3.85</v>
      </c>
      <c r="X699">
        <f>IFERROR(VLOOKUP(T699,常规材料表!$1:$1048576,3,0),0)</f>
        <v>0.4</v>
      </c>
      <c r="Y699">
        <f t="shared" si="75"/>
        <v>0.4</v>
      </c>
      <c r="Z699" t="str">
        <f>IFERROR(VLOOKUP(C699,常规材料表!$1:$1048576,19,0),0)</f>
        <v>ø3.5*76</v>
      </c>
      <c r="AA699">
        <f>IFERROR(VLOOKUP(C699,常规材料表!$1:$1048576,20,0),0)</f>
        <v>1</v>
      </c>
      <c r="AB699">
        <f>IFERROR(VLOOKUP(Z699,常规材料表!$1:$1048576,5,0),0)*AD699</f>
        <v>0.21500000000000061</v>
      </c>
      <c r="AC699">
        <f t="shared" si="76"/>
        <v>0.21500000000000061</v>
      </c>
      <c r="AD699">
        <f>IFERROR(VLOOKUP(Z699,常规材料表!$1:$1048576,3,0),0)</f>
        <v>1.4E-2</v>
      </c>
      <c r="AE699">
        <f t="shared" si="77"/>
        <v>1.4E-2</v>
      </c>
      <c r="AF699">
        <f>IFERROR(VLOOKUP(C699,常规材料表!$1:$1048576,21,0),0)</f>
        <v>0</v>
      </c>
      <c r="AG699">
        <f>IFERROR(VLOOKUP(C699,常规材料表!$1:$1048576,22,0),0)</f>
        <v>0</v>
      </c>
      <c r="AH699">
        <f>IFERROR(VLOOKUP(AF699,常规材料表!$1:$1048576,5,0),0)*AJ699</f>
        <v>0</v>
      </c>
      <c r="AI699">
        <f t="shared" si="78"/>
        <v>0</v>
      </c>
      <c r="AJ699">
        <f>IFERROR(VLOOKUP(AF699,常规材料表!$1:$1048576,3,0),0)</f>
        <v>0</v>
      </c>
      <c r="AK699">
        <f t="shared" si="79"/>
        <v>0</v>
      </c>
      <c r="AQ699" s="110"/>
      <c r="BZ699" t="s">
        <v>646</v>
      </c>
      <c r="CA699" s="112"/>
      <c r="CE699" t="s">
        <v>204</v>
      </c>
      <c r="CG699" s="122"/>
      <c r="CV699" s="388"/>
    </row>
    <row r="700" spans="1:100" customFormat="1" ht="30" customHeight="1" outlineLevel="1">
      <c r="A700" s="112"/>
      <c r="B700" s="418" t="s">
        <v>652</v>
      </c>
      <c r="C700" s="460" t="s">
        <v>745</v>
      </c>
      <c r="D700" s="418">
        <f>IFERROR(IF(G700="预镀锌",VLOOKUP(C700,常规材料表!$1:$1048576,5,0),VLOOKUP(C700,常规材料表!$1:$1048576,10,0)),0)</f>
        <v>6.5</v>
      </c>
      <c r="E700" s="418">
        <f>IFERROR(IF(G700="喷塑",1,0)*VLOOKUP(C700,常规材料表!$1:$1048576,12,0)+IF(G700="热镀锌",1,0)*VLOOKUP(C700,常规材料表!$1:$1048576,13,0)+IF(G700="冷镀锌",1,0)*VLOOKUP(C700,常规材料表!$1:$1048576,15,0),0)</f>
        <v>0.95</v>
      </c>
      <c r="F700" s="418">
        <f>IFERROR(VLOOKUP(C700,常规材料表!$1:$1048576,11,0)/P700+D704,0)</f>
        <v>0.3</v>
      </c>
      <c r="G700" s="514" t="str">
        <f>G698</f>
        <v>喷塑</v>
      </c>
      <c r="H700" s="418">
        <f t="shared" si="71"/>
        <v>2.1173017915929209</v>
      </c>
      <c r="I700" s="623">
        <f>F697*N700</f>
        <v>36</v>
      </c>
      <c r="J700" s="651">
        <v>84</v>
      </c>
      <c r="K700" s="54" t="s">
        <v>237</v>
      </c>
      <c r="L700" s="54"/>
      <c r="N700">
        <f>J700/J698</f>
        <v>1</v>
      </c>
      <c r="O700" s="255" t="s">
        <v>772</v>
      </c>
      <c r="P700" s="112">
        <f>IFERROR(VLOOKUP(C700,常规材料表!$1:$1048576,3,0),0)</f>
        <v>0.30717050000000001</v>
      </c>
      <c r="Q700" s="112">
        <f>IFERROR(VLOOKUP(C700,常规材料表!$1:$1048576,4,0),0)</f>
        <v>0</v>
      </c>
      <c r="R700">
        <f t="shared" si="72"/>
        <v>0</v>
      </c>
      <c r="S700">
        <f t="shared" si="73"/>
        <v>0</v>
      </c>
      <c r="T700">
        <f>IFERROR(VLOOKUP(C700,常规材料表!$1:$1048576,17,0),0)</f>
        <v>0</v>
      </c>
      <c r="U700">
        <f>IFERROR(VLOOKUP(C700,常规材料表!$1:$1048576,18,0),0)</f>
        <v>0</v>
      </c>
      <c r="V700">
        <f>IFERROR(VLOOKUP(T700,常规材料表!$1:$1048576,5,0),0)*X700</f>
        <v>0</v>
      </c>
      <c r="W700">
        <f t="shared" si="74"/>
        <v>0</v>
      </c>
      <c r="X700">
        <f>IFERROR(VLOOKUP(T700,常规材料表!$1:$1048576,3,0),0)</f>
        <v>0</v>
      </c>
      <c r="Y700">
        <f t="shared" si="75"/>
        <v>0</v>
      </c>
      <c r="Z700">
        <f>IFERROR(VLOOKUP(C700,常规材料表!$1:$1048576,19,0),0)</f>
        <v>0</v>
      </c>
      <c r="AA700">
        <f>IFERROR(VLOOKUP(C700,常规材料表!$1:$1048576,20,0),0)</f>
        <v>0</v>
      </c>
      <c r="AB700">
        <f>IFERROR(VLOOKUP(Z700,常规材料表!$1:$1048576,5,0),0)*AD700</f>
        <v>0</v>
      </c>
      <c r="AC700">
        <f t="shared" si="76"/>
        <v>0</v>
      </c>
      <c r="AD700">
        <f>IFERROR(VLOOKUP(Z700,常规材料表!$1:$1048576,3,0),0)</f>
        <v>0</v>
      </c>
      <c r="AE700">
        <f t="shared" si="77"/>
        <v>0</v>
      </c>
      <c r="AF700">
        <f>IFERROR(VLOOKUP(C700,常规材料表!$1:$1048576,21,0),0)</f>
        <v>0</v>
      </c>
      <c r="AG700">
        <f>IFERROR(VLOOKUP(C700,常规材料表!$1:$1048576,22,0),0)</f>
        <v>0</v>
      </c>
      <c r="AH700">
        <f>IFERROR(VLOOKUP(AF700,常规材料表!$1:$1048576,5,0),0)*AJ700</f>
        <v>0</v>
      </c>
      <c r="AI700">
        <f t="shared" si="78"/>
        <v>0</v>
      </c>
      <c r="AJ700">
        <f>IFERROR(VLOOKUP(AF700,常规材料表!$1:$1048576,3,0),0)</f>
        <v>0</v>
      </c>
      <c r="AK700">
        <f t="shared" si="79"/>
        <v>0</v>
      </c>
      <c r="AQ700" s="110"/>
      <c r="BZ700" t="s">
        <v>646</v>
      </c>
      <c r="CA700" s="112"/>
      <c r="CE700" t="s">
        <v>204</v>
      </c>
      <c r="CG700" s="122"/>
      <c r="CV700" s="388"/>
    </row>
    <row r="701" spans="1:100" customFormat="1" ht="30" customHeight="1" outlineLevel="1">
      <c r="A701" s="112"/>
      <c r="B701" s="418" t="s">
        <v>654</v>
      </c>
      <c r="C701" s="460" t="s">
        <v>746</v>
      </c>
      <c r="D701" s="418">
        <f>IFERROR(IF(G701="预镀锌",VLOOKUP(C701,常规材料表!$1:$1048576,5,0),VLOOKUP(C701,常规材料表!$1:$1048576,10,0)),0)</f>
        <v>6.5</v>
      </c>
      <c r="E701" s="418">
        <f>IFERROR(IF(G701="喷塑",1,0)*VLOOKUP(C701,常规材料表!$1:$1048576,12,0)+IF(G701="热镀锌",1,0)*VLOOKUP(C701,常规材料表!$1:$1048576,13,0)+IF(G701="冷镀锌",1,0)*VLOOKUP(C701,常规材料表!$1:$1048576,15,0),0)</f>
        <v>0.95</v>
      </c>
      <c r="F701" s="418">
        <f>IFERROR(VLOOKUP(C701,常规材料表!$1:$1048576,11,0)/P701+D704,0)</f>
        <v>0.3</v>
      </c>
      <c r="G701" s="514" t="str">
        <f>G698</f>
        <v>喷塑</v>
      </c>
      <c r="H701" s="418">
        <f t="shared" si="71"/>
        <v>1.5775061700000004</v>
      </c>
      <c r="I701" s="623">
        <f>F697*N701</f>
        <v>36</v>
      </c>
      <c r="J701" s="651">
        <v>84</v>
      </c>
      <c r="K701" s="54" t="s">
        <v>237</v>
      </c>
      <c r="L701" s="54"/>
      <c r="N701">
        <f>J701/J698</f>
        <v>1</v>
      </c>
      <c r="O701" s="255" t="s">
        <v>772</v>
      </c>
      <c r="P701" s="112">
        <f>IFERROR(VLOOKUP(C701,常规材料表!$1:$1048576,3,0),0)</f>
        <v>0.2288589</v>
      </c>
      <c r="Q701" s="112">
        <f>IFERROR(VLOOKUP(C701,常规材料表!$1:$1048576,4,0),0)</f>
        <v>9.4599999999999997E-3</v>
      </c>
      <c r="R701">
        <f t="shared" si="72"/>
        <v>0</v>
      </c>
      <c r="S701">
        <f t="shared" si="73"/>
        <v>0</v>
      </c>
      <c r="T701">
        <f>IFERROR(VLOOKUP(C701,常规材料表!$1:$1048576,17,0),0)</f>
        <v>0</v>
      </c>
      <c r="U701">
        <f>IFERROR(VLOOKUP(C701,常规材料表!$1:$1048576,18,0),0)</f>
        <v>0</v>
      </c>
      <c r="V701">
        <f>IFERROR(VLOOKUP(T701,常规材料表!$1:$1048576,5,0),0)*X701</f>
        <v>0</v>
      </c>
      <c r="W701">
        <f t="shared" si="74"/>
        <v>0</v>
      </c>
      <c r="X701">
        <f>IFERROR(VLOOKUP(T701,常规材料表!$1:$1048576,3,0),0)</f>
        <v>0</v>
      </c>
      <c r="Y701">
        <f t="shared" si="75"/>
        <v>0</v>
      </c>
      <c r="Z701">
        <f>IFERROR(VLOOKUP(C701,常规材料表!$1:$1048576,19,0),0)</f>
        <v>0</v>
      </c>
      <c r="AA701">
        <f>IFERROR(VLOOKUP(C701,常规材料表!$1:$1048576,20,0),0)</f>
        <v>0</v>
      </c>
      <c r="AB701">
        <f>IFERROR(VLOOKUP(Z701,常规材料表!$1:$1048576,5,0),0)*AD701</f>
        <v>0</v>
      </c>
      <c r="AC701">
        <f t="shared" si="76"/>
        <v>0</v>
      </c>
      <c r="AD701">
        <f>IFERROR(VLOOKUP(Z701,常规材料表!$1:$1048576,3,0),0)</f>
        <v>0</v>
      </c>
      <c r="AE701">
        <f t="shared" si="77"/>
        <v>0</v>
      </c>
      <c r="AF701">
        <f>IFERROR(VLOOKUP(C701,常规材料表!$1:$1048576,21,0),0)</f>
        <v>0</v>
      </c>
      <c r="AG701">
        <f>IFERROR(VLOOKUP(C701,常规材料表!$1:$1048576,22,0),0)</f>
        <v>0</v>
      </c>
      <c r="AH701">
        <f>IFERROR(VLOOKUP(AF701,常规材料表!$1:$1048576,5,0),0)*AJ701</f>
        <v>0</v>
      </c>
      <c r="AI701">
        <f t="shared" si="78"/>
        <v>0</v>
      </c>
      <c r="AJ701">
        <f>IFERROR(VLOOKUP(AF701,常规材料表!$1:$1048576,3,0),0)</f>
        <v>0</v>
      </c>
      <c r="AK701">
        <f t="shared" si="79"/>
        <v>0</v>
      </c>
      <c r="AQ701" s="110"/>
      <c r="BZ701" t="s">
        <v>646</v>
      </c>
      <c r="CA701" s="112"/>
      <c r="CE701" t="s">
        <v>204</v>
      </c>
      <c r="CG701" s="122"/>
      <c r="CV701" s="388"/>
    </row>
    <row r="702" spans="1:100" customFormat="1" ht="30" customHeight="1" outlineLevel="1">
      <c r="A702" s="112"/>
      <c r="B702" s="418" t="s">
        <v>656</v>
      </c>
      <c r="C702" s="460" t="s">
        <v>747</v>
      </c>
      <c r="D702" s="418">
        <f>IFERROR(IF(G702="预镀锌",VLOOKUP(C702,常规材料表!$1:$1048576,5,0),VLOOKUP(C702,常规材料表!$1:$1048576,10,0)),0)</f>
        <v>8.25</v>
      </c>
      <c r="E702" s="418">
        <f>IFERROR(IF(G702="喷塑",1,0)*VLOOKUP(C702,常规材料表!$1:$1048576,12,0)+IF(G702="热镀锌",1,0)*VLOOKUP(C702,常规材料表!$1:$1048576,13,0)+IF(G702="冷镀锌",1,0)*VLOOKUP(C702,常规材料表!$1:$1048576,15,0),0)</f>
        <v>0.95</v>
      </c>
      <c r="F702" s="418">
        <f>IFERROR(VLOOKUP(C702,常规材料表!$1:$1048576,11,0)/P702+D704,0)</f>
        <v>27.005122042407724</v>
      </c>
      <c r="G702" s="514" t="str">
        <f>G698</f>
        <v>喷塑</v>
      </c>
      <c r="H702" s="418">
        <f t="shared" si="71"/>
        <v>8.329771446174524</v>
      </c>
      <c r="I702" s="623">
        <f>F697*N702</f>
        <v>36</v>
      </c>
      <c r="J702" s="460">
        <f>J700</f>
        <v>84</v>
      </c>
      <c r="K702" s="54" t="s">
        <v>237</v>
      </c>
      <c r="L702" s="54"/>
      <c r="N702">
        <f>J702/J698</f>
        <v>1</v>
      </c>
      <c r="O702" s="255" t="s">
        <v>772</v>
      </c>
      <c r="P702" s="112">
        <f>IFERROR(VLOOKUP(C702,常规材料表!$1:$1048576,3,0),0)</f>
        <v>0.23699999999999999</v>
      </c>
      <c r="Q702" s="112">
        <f>IFERROR(VLOOKUP(C702,常规材料表!$1:$1048576,4,0),0)</f>
        <v>0</v>
      </c>
      <c r="R702">
        <f t="shared" si="72"/>
        <v>0</v>
      </c>
      <c r="S702">
        <f t="shared" si="73"/>
        <v>0</v>
      </c>
      <c r="T702">
        <f>IFERROR(VLOOKUP(C702,常规材料表!$1:$1048576,17,0),0)</f>
        <v>0</v>
      </c>
      <c r="U702">
        <f>IFERROR(VLOOKUP(C702,常规材料表!$1:$1048576,18,0),0)</f>
        <v>0</v>
      </c>
      <c r="V702">
        <f>IFERROR(VLOOKUP(T702,常规材料表!$1:$1048576,5,0),0)*X702</f>
        <v>0</v>
      </c>
      <c r="W702">
        <f t="shared" si="74"/>
        <v>0</v>
      </c>
      <c r="X702">
        <f>IFERROR(VLOOKUP(T702,常规材料表!$1:$1048576,3,0),0)</f>
        <v>0</v>
      </c>
      <c r="Y702">
        <f t="shared" si="75"/>
        <v>0</v>
      </c>
      <c r="Z702">
        <f>IFERROR(VLOOKUP(C702,常规材料表!$1:$1048576,19,0),0)</f>
        <v>0</v>
      </c>
      <c r="AA702">
        <f>IFERROR(VLOOKUP(C702,常规材料表!$1:$1048576,20,0),0)</f>
        <v>0</v>
      </c>
      <c r="AB702">
        <f>IFERROR(VLOOKUP(Z702,常规材料表!$1:$1048576,5,0),0)*AD702</f>
        <v>0</v>
      </c>
      <c r="AC702">
        <f t="shared" si="76"/>
        <v>0</v>
      </c>
      <c r="AD702">
        <f>IFERROR(VLOOKUP(Z702,常规材料表!$1:$1048576,3,0),0)</f>
        <v>0</v>
      </c>
      <c r="AE702">
        <f t="shared" si="77"/>
        <v>0</v>
      </c>
      <c r="AF702">
        <f>IFERROR(VLOOKUP(C702,常规材料表!$1:$1048576,21,0),0)</f>
        <v>0</v>
      </c>
      <c r="AG702">
        <f>IFERROR(VLOOKUP(C702,常规材料表!$1:$1048576,22,0),0)</f>
        <v>0</v>
      </c>
      <c r="AH702">
        <f>IFERROR(VLOOKUP(AF702,常规材料表!$1:$1048576,5,0),0)*AJ702</f>
        <v>0</v>
      </c>
      <c r="AI702">
        <f t="shared" si="78"/>
        <v>0</v>
      </c>
      <c r="AJ702">
        <f>IFERROR(VLOOKUP(AF702,常规材料表!$1:$1048576,3,0),0)</f>
        <v>0</v>
      </c>
      <c r="AK702">
        <f t="shared" si="79"/>
        <v>0</v>
      </c>
      <c r="AQ702" s="110"/>
      <c r="BZ702" t="s">
        <v>646</v>
      </c>
      <c r="CA702" s="112"/>
      <c r="CE702" t="s">
        <v>204</v>
      </c>
      <c r="CG702" s="122"/>
      <c r="CV702" s="388"/>
    </row>
    <row r="703" spans="1:100" customFormat="1" ht="30" customHeight="1" outlineLevel="1">
      <c r="A703" s="112"/>
      <c r="B703" s="418" t="s">
        <v>658</v>
      </c>
      <c r="C703" s="460" t="s">
        <v>748</v>
      </c>
      <c r="D703" s="418">
        <f>IFERROR(VLOOKUP(C703,常规材料表!$1:$1048576,5,0),0)</f>
        <v>11.764705882352899</v>
      </c>
      <c r="E703" s="418">
        <f>IFERROR(IF(G703="喷塑",1,0)*VLOOKUP(C703,常规材料表!$1:$1048576,12,0)+IF(G703="热镀锌",1,0)*VLOOKUP(C703,常规材料表!$1:$1048576,13,0)+IF(G703="冷镀锌",1,0)*VLOOKUP(C703,常规材料表!$1:$1048576,15,0),0)</f>
        <v>0</v>
      </c>
      <c r="F703" s="418">
        <f>IFERROR(VLOOKUP(C703,常规材料表!$1:$1048576,11,0)/P703+D704,0)</f>
        <v>0.3</v>
      </c>
      <c r="G703" s="514" t="str">
        <f>G698</f>
        <v>喷塑</v>
      </c>
      <c r="H703" s="418">
        <f t="shared" si="71"/>
        <v>0.18209115044247728</v>
      </c>
      <c r="I703" s="623">
        <f>F697*N703</f>
        <v>36</v>
      </c>
      <c r="J703" s="460">
        <f>J700</f>
        <v>84</v>
      </c>
      <c r="K703" s="54" t="s">
        <v>237</v>
      </c>
      <c r="L703" s="54"/>
      <c r="N703">
        <f>J703/J698</f>
        <v>1</v>
      </c>
      <c r="O703" s="255" t="s">
        <v>772</v>
      </c>
      <c r="P703" s="112">
        <f>IFERROR(VLOOKUP(C703,常规材料表!$1:$1048576,3,0),0)</f>
        <v>1.7000000000000001E-2</v>
      </c>
      <c r="Q703" s="112">
        <f>IFERROR(VLOOKUP(C703,常规材料表!$1:$1048576,4,0),0)</f>
        <v>0</v>
      </c>
      <c r="R703">
        <f t="shared" si="72"/>
        <v>0</v>
      </c>
      <c r="S703">
        <f t="shared" si="73"/>
        <v>0</v>
      </c>
      <c r="T703">
        <f>IFERROR(VLOOKUP(C703,常规材料表!$1:$1048576,17,0),0)</f>
        <v>0</v>
      </c>
      <c r="U703">
        <f>IFERROR(VLOOKUP(C703,常规材料表!$1:$1048576,18,0),0)</f>
        <v>0</v>
      </c>
      <c r="V703">
        <f>IFERROR(VLOOKUP(T703,常规材料表!$1:$1048576,5,0),0)*X703</f>
        <v>0</v>
      </c>
      <c r="W703">
        <f t="shared" si="74"/>
        <v>0</v>
      </c>
      <c r="X703">
        <f>IFERROR(VLOOKUP(T703,常规材料表!$1:$1048576,3,0),0)</f>
        <v>0</v>
      </c>
      <c r="Y703">
        <f t="shared" si="75"/>
        <v>0</v>
      </c>
      <c r="Z703">
        <f>IFERROR(VLOOKUP(C703,常规材料表!$1:$1048576,19,0),0)</f>
        <v>0</v>
      </c>
      <c r="AA703">
        <f>IFERROR(VLOOKUP(C703,常规材料表!$1:$1048576,20,0),0)</f>
        <v>0</v>
      </c>
      <c r="AB703">
        <f>IFERROR(VLOOKUP(Z703,常规材料表!$1:$1048576,5,0),0)*AD703</f>
        <v>0</v>
      </c>
      <c r="AC703">
        <f t="shared" si="76"/>
        <v>0</v>
      </c>
      <c r="AD703">
        <f>IFERROR(VLOOKUP(Z703,常规材料表!$1:$1048576,3,0),0)</f>
        <v>0</v>
      </c>
      <c r="AE703">
        <f t="shared" si="77"/>
        <v>0</v>
      </c>
      <c r="AF703">
        <f>IFERROR(VLOOKUP(C703,常规材料表!$1:$1048576,21,0),0)</f>
        <v>0</v>
      </c>
      <c r="AG703">
        <f>IFERROR(VLOOKUP(C703,常规材料表!$1:$1048576,22,0),0)</f>
        <v>0</v>
      </c>
      <c r="AH703">
        <f>IFERROR(VLOOKUP(AF703,常规材料表!$1:$1048576,5,0),0)*AJ703</f>
        <v>0</v>
      </c>
      <c r="AI703">
        <f t="shared" si="78"/>
        <v>0</v>
      </c>
      <c r="AJ703">
        <f>IFERROR(VLOOKUP(AF703,常规材料表!$1:$1048576,3,0),0)</f>
        <v>0</v>
      </c>
      <c r="AK703">
        <f t="shared" si="79"/>
        <v>0</v>
      </c>
      <c r="AQ703" s="110"/>
      <c r="BZ703" t="s">
        <v>646</v>
      </c>
      <c r="CA703" s="112"/>
      <c r="CE703" t="s">
        <v>204</v>
      </c>
      <c r="CG703" s="122"/>
      <c r="CV703" s="388"/>
    </row>
    <row r="704" spans="1:100" customFormat="1" ht="30" customHeight="1" outlineLevel="1">
      <c r="A704" s="112"/>
      <c r="B704" s="414">
        <v>0</v>
      </c>
      <c r="C704" s="418" t="s">
        <v>622</v>
      </c>
      <c r="D704" s="655">
        <v>0.3</v>
      </c>
      <c r="E704" s="564"/>
      <c r="F704" s="561"/>
      <c r="G704" s="418"/>
      <c r="H704" s="418"/>
      <c r="I704" s="418" t="s">
        <v>102</v>
      </c>
      <c r="J704" s="418" t="s">
        <v>623</v>
      </c>
      <c r="K704" s="54" t="s">
        <v>237</v>
      </c>
      <c r="L704" s="54"/>
      <c r="O704" s="255" t="s">
        <v>772</v>
      </c>
      <c r="AQ704" s="110"/>
      <c r="BZ704" t="s">
        <v>646</v>
      </c>
      <c r="CA704" s="112"/>
      <c r="CE704" t="s">
        <v>204</v>
      </c>
      <c r="CG704" s="122"/>
      <c r="CV704" s="388"/>
    </row>
    <row r="705" spans="1:100" s="376" customFormat="1" ht="30" customHeight="1">
      <c r="A705" s="472"/>
      <c r="B705" s="473"/>
      <c r="C705" s="473"/>
      <c r="D705" s="473"/>
      <c r="E705" s="474"/>
      <c r="F705" s="473"/>
      <c r="G705" s="473"/>
      <c r="H705" s="473"/>
      <c r="I705" s="473"/>
      <c r="J705" s="475"/>
      <c r="K705" s="475"/>
      <c r="L705" s="475"/>
      <c r="O705" s="255" t="s">
        <v>772</v>
      </c>
      <c r="AQ705" s="476"/>
      <c r="BZ705" t="s">
        <v>646</v>
      </c>
      <c r="CA705" s="112"/>
      <c r="CB705"/>
      <c r="CC705"/>
      <c r="CD705"/>
      <c r="CE705" t="s">
        <v>204</v>
      </c>
      <c r="CF705"/>
      <c r="CG705" s="122"/>
    </row>
    <row r="706" spans="1:100" customFormat="1" ht="30" customHeight="1">
      <c r="A706" s="112" t="str">
        <f>IF($C$13=1,IF(K706="报价行",1," ")," ")</f>
        <v xml:space="preserve"> </v>
      </c>
      <c r="B706" s="414" t="str">
        <f>IF(A706=1,SUM($A$11:A706),"悬臂背拉")</f>
        <v>悬臂背拉</v>
      </c>
      <c r="C706" s="623" t="s">
        <v>662</v>
      </c>
      <c r="D706" s="624"/>
      <c r="E706" s="547" t="str">
        <f>C707</f>
        <v>H Brace ø32*1.5t</v>
      </c>
      <c r="F706" s="460">
        <v>27</v>
      </c>
      <c r="G706" s="419">
        <f>SUM(P707*N707,P712*N712,N708*P708,N709*P709,N710*P710,N711*P711)</f>
        <v>2.8645499999999995</v>
      </c>
      <c r="H706" s="419">
        <f>SUM(H707:H713)</f>
        <v>21.447990221238953</v>
      </c>
      <c r="I706" s="460" t="s">
        <v>292</v>
      </c>
      <c r="J706" s="460">
        <v>1</v>
      </c>
      <c r="K706" s="423" t="s">
        <v>217</v>
      </c>
      <c r="L706" s="418" t="s">
        <v>660</v>
      </c>
      <c r="M706" t="s">
        <v>608</v>
      </c>
      <c r="N706" t="s">
        <v>610</v>
      </c>
      <c r="O706" s="255" t="s">
        <v>772</v>
      </c>
      <c r="P706" t="s">
        <v>611</v>
      </c>
      <c r="Q706" t="s">
        <v>612</v>
      </c>
      <c r="R706" t="s">
        <v>613</v>
      </c>
      <c r="S706" t="s">
        <v>614</v>
      </c>
      <c r="T706" t="s">
        <v>615</v>
      </c>
      <c r="U706" t="str">
        <f>T706&amp;"数量"</f>
        <v>配件1数量</v>
      </c>
      <c r="V706" t="str">
        <f>T706&amp;"单价"</f>
        <v>配件1单价</v>
      </c>
      <c r="W706" t="str">
        <f>T706&amp;"总价"</f>
        <v>配件1总价</v>
      </c>
      <c r="X706" t="str">
        <f>T706&amp;"单重"</f>
        <v>配件1单重</v>
      </c>
      <c r="Y706" t="str">
        <f>T706&amp;"总重量"</f>
        <v>配件1总重量</v>
      </c>
      <c r="Z706" t="s">
        <v>616</v>
      </c>
      <c r="AA706" t="str">
        <f>Z706&amp;"数量"</f>
        <v>配件2数量</v>
      </c>
      <c r="AB706" t="str">
        <f>Z706&amp;"单价"</f>
        <v>配件2单价</v>
      </c>
      <c r="AC706" t="str">
        <f>Z706&amp;"总价"</f>
        <v>配件2总价</v>
      </c>
      <c r="AD706" t="str">
        <f>Z706&amp;"单重"</f>
        <v>配件2单重</v>
      </c>
      <c r="AE706" t="str">
        <f>Z706&amp;"总重量"</f>
        <v>配件2总重量</v>
      </c>
      <c r="AF706" t="s">
        <v>617</v>
      </c>
      <c r="AG706" t="str">
        <f>AF706&amp;"数量"</f>
        <v>配件3数量</v>
      </c>
      <c r="AH706" t="str">
        <f>AF706&amp;"单价"</f>
        <v>配件3单价</v>
      </c>
      <c r="AI706" t="str">
        <f>AF706&amp;"总价"</f>
        <v>配件3总价</v>
      </c>
      <c r="AJ706" t="str">
        <f>AF706&amp;"单重"</f>
        <v>配件3单重</v>
      </c>
      <c r="AK706" t="str">
        <f>AF706&amp;"总重量"</f>
        <v>配件3总重量</v>
      </c>
      <c r="AQ706" s="110"/>
      <c r="AX706" t="str">
        <f>E706</f>
        <v>H Brace ø32*1.5t</v>
      </c>
      <c r="AY706" s="494">
        <f>D706</f>
        <v>0</v>
      </c>
      <c r="AZ706">
        <f>F706</f>
        <v>27</v>
      </c>
      <c r="BA706" s="256">
        <f>G706</f>
        <v>2.8645499999999995</v>
      </c>
      <c r="BB706">
        <f>AZ706*BA706</f>
        <v>77.342849999999984</v>
      </c>
      <c r="BC706" s="495"/>
      <c r="BR706" t="str">
        <f>I706</f>
        <v>Blue Ral5015</v>
      </c>
      <c r="BZ706" t="s">
        <v>646</v>
      </c>
      <c r="CA706" s="112"/>
      <c r="CE706" t="s">
        <v>204</v>
      </c>
      <c r="CG706" s="122"/>
      <c r="CV706" s="388"/>
    </row>
    <row r="707" spans="1:100" customFormat="1" ht="30" customHeight="1" outlineLevel="1">
      <c r="A707" s="112"/>
      <c r="B707" s="418" t="s">
        <v>663</v>
      </c>
      <c r="C707" s="460" t="s">
        <v>781</v>
      </c>
      <c r="D707" s="418">
        <f>IFERROR(IF(G707="预镀锌",VLOOKUP(C707,常规材料表!$1:$1048576,5,0),VLOOKUP(C707,常规材料表!$1:$1048576,10,0)),0)</f>
        <v>4.28</v>
      </c>
      <c r="E707" s="418">
        <f>IFERROR(IF(G707="喷塑",1,0)*VLOOKUP(C707,常规材料表!$1:$1048576,12,0)+IF(G707="热镀锌",1,0)*VLOOKUP(C707,常规材料表!$1:$1048576,13,0)+IF(G707="冷镀锌",1,0)*VLOOKUP(C707,常规材料表!$1:$1048576,15,0),0)</f>
        <v>0.8</v>
      </c>
      <c r="F707" s="418">
        <f>IFERROR(VLOOKUP(C707,常规材料表!$1:$1048576,11,0)/P707+D713,0)</f>
        <v>0.85407801418439733</v>
      </c>
      <c r="G707" s="514" t="s">
        <v>236</v>
      </c>
      <c r="H707" s="418">
        <f>P707*(D707+F707*1.13+E707+S707)/1.13*N707</f>
        <v>13.159478938053111</v>
      </c>
      <c r="I707" s="623">
        <f>N707*F706</f>
        <v>27</v>
      </c>
      <c r="J707" s="460">
        <v>1</v>
      </c>
      <c r="K707" s="54" t="s">
        <v>237</v>
      </c>
      <c r="L707" s="667">
        <v>1600</v>
      </c>
      <c r="M707" s="418">
        <f>H706/G706</f>
        <v>7.4873855304459536</v>
      </c>
      <c r="N707">
        <f>J707/J706</f>
        <v>1</v>
      </c>
      <c r="O707" s="255" t="s">
        <v>772</v>
      </c>
      <c r="P707" s="112">
        <f>IFERROR(VLOOKUP(C707,常规材料表!$1:$1048576,3,0)*L707/1000,0)</f>
        <v>1.8047999999999997</v>
      </c>
      <c r="Q707" s="112">
        <f>IFERROR(VLOOKUP(C707,常规材料表!$1:$1048576,4,0)*D706/1000,0)</f>
        <v>0</v>
      </c>
      <c r="R707">
        <f t="shared" ref="R707:R712" si="80">W707+AC707+AI707</f>
        <v>3.9600000000000142</v>
      </c>
      <c r="S707">
        <f t="shared" ref="S707:S712" si="81">R707/P707</f>
        <v>2.1941489361702211</v>
      </c>
      <c r="T707" t="str">
        <f>IFERROR(VLOOKUP(C707,常规材料表!$1:$1048576,17,0),0)</f>
        <v>M10*120 8.8G</v>
      </c>
      <c r="U707">
        <f>IFERROR(VLOOKUP(C707,常规材料表!$1:$1048576,18,0),0)</f>
        <v>4</v>
      </c>
      <c r="V707">
        <f>IFERROR(VLOOKUP(T707,常规材料表!$1:$1048576,5,0),0)*X707</f>
        <v>0.83000000000000307</v>
      </c>
      <c r="W707">
        <f t="shared" ref="W707:W712" si="82">V707*U707</f>
        <v>3.3200000000000123</v>
      </c>
      <c r="X707">
        <f>IFERROR(VLOOKUP(T707,常规材料表!$1:$1048576,3,0),0)</f>
        <v>7.0000000000000007E-2</v>
      </c>
      <c r="Y707">
        <f t="shared" ref="Y707:Y712" si="83">X707*U707</f>
        <v>0.28000000000000003</v>
      </c>
      <c r="Z707" t="str">
        <f>IFERROR(VLOOKUP(C707,常规材料表!$1:$1048576,19,0),0)</f>
        <v>M10*30  8.8G</v>
      </c>
      <c r="AA707">
        <f>IFERROR(VLOOKUP(C707,常规材料表!$1:$1048576,20,0),0)</f>
        <v>2</v>
      </c>
      <c r="AB707">
        <f>IFERROR(VLOOKUP(Z707,常规材料表!$1:$1048576,5,0),0)*AD707</f>
        <v>0.32000000000000101</v>
      </c>
      <c r="AC707">
        <f t="shared" ref="AC707:AC712" si="84">AB707*AA707</f>
        <v>0.64000000000000201</v>
      </c>
      <c r="AD707">
        <f>IFERROR(VLOOKUP(Z707,常规材料表!$1:$1048576,3,0),0)</f>
        <v>0.03</v>
      </c>
      <c r="AE707">
        <f t="shared" ref="AE707:AE712" si="85">AD707*AA707</f>
        <v>0.06</v>
      </c>
      <c r="AF707">
        <f>IFERROR(VLOOKUP(C707,常规材料表!$1:$1048576,21,0),0)</f>
        <v>0</v>
      </c>
      <c r="AG707">
        <f>IFERROR(VLOOKUP(C707,常规材料表!$1:$1048576,22,0),0)</f>
        <v>0</v>
      </c>
      <c r="AH707">
        <f>IFERROR(VLOOKUP(AF707,常规材料表!$1:$1048576,5,0),0)</f>
        <v>0</v>
      </c>
      <c r="AI707">
        <f t="shared" ref="AI707:AI712" si="86">AH707*AG707</f>
        <v>0</v>
      </c>
      <c r="AJ707">
        <f>IFERROR(VLOOKUP(AF707,常规材料表!$1:$1048576,3,0),0)</f>
        <v>0</v>
      </c>
      <c r="AK707">
        <f t="shared" ref="AK707:AK712" si="87">AJ707*AG707</f>
        <v>0</v>
      </c>
      <c r="AQ707" s="110"/>
      <c r="AX707" t="s">
        <v>156</v>
      </c>
      <c r="AY707" t="s">
        <v>246</v>
      </c>
      <c r="AZ707" t="s">
        <v>102</v>
      </c>
      <c r="BA707" t="s">
        <v>158</v>
      </c>
      <c r="BB707" t="s">
        <v>247</v>
      </c>
      <c r="BC707" t="s">
        <v>248</v>
      </c>
      <c r="BD707" t="s">
        <v>249</v>
      </c>
      <c r="BE707" t="s">
        <v>250</v>
      </c>
      <c r="BF707" t="s">
        <v>251</v>
      </c>
      <c r="BZ707" t="s">
        <v>646</v>
      </c>
      <c r="CA707" s="112"/>
      <c r="CE707" t="s">
        <v>204</v>
      </c>
      <c r="CG707" s="122"/>
      <c r="CV707" s="388"/>
    </row>
    <row r="708" spans="1:100" customFormat="1" ht="30" customHeight="1" outlineLevel="1">
      <c r="A708" s="112"/>
      <c r="B708" s="418" t="s">
        <v>666</v>
      </c>
      <c r="C708" s="460" t="s">
        <v>782</v>
      </c>
      <c r="D708" s="418">
        <f>IFERROR(IF(G708="预镀锌",VLOOKUP(C708,常规材料表!$1:$1048576,5,0),VLOOKUP(C708,常规材料表!$1:$1048576,10,0)),0)</f>
        <v>4.28</v>
      </c>
      <c r="E708" s="418">
        <f>IFERROR(IF(G708="喷塑",1,0)*VLOOKUP(C708,常规材料表!$1:$1048576,12,0)+IF(G708="热镀锌",1,0)*VLOOKUP(C708,常规材料表!$1:$1048576,13,0)+IF(G708="冷镀锌",1,0)*VLOOKUP(C708,常规材料表!$1:$1048576,15,0),0)</f>
        <v>0.8</v>
      </c>
      <c r="F708" s="418">
        <f>IFERROR(VLOOKUP(C708,常规材料表!$1:$1048576,11,0)/P708+D713,0)</f>
        <v>0.74105712571892313</v>
      </c>
      <c r="G708" s="514" t="str">
        <f>G707</f>
        <v>喷塑</v>
      </c>
      <c r="H708" s="418">
        <f>P708*(D708+F708*1.13+E708+S708)/1.13*N708</f>
        <v>0</v>
      </c>
      <c r="I708" s="623">
        <f>N708*F706</f>
        <v>0</v>
      </c>
      <c r="J708" s="460"/>
      <c r="K708" s="54" t="s">
        <v>237</v>
      </c>
      <c r="L708" s="667">
        <v>2010</v>
      </c>
      <c r="N708">
        <f>J708/J706</f>
        <v>0</v>
      </c>
      <c r="O708" s="255" t="s">
        <v>772</v>
      </c>
      <c r="P708" s="112">
        <f>IFERROR(VLOOKUP(C708,常规材料表!$1:$1048576,3,0)*L708/1000,0)</f>
        <v>2.26728</v>
      </c>
      <c r="Q708" s="112">
        <f>IFERROR(VLOOKUP(C708,常规材料表!$1:$1048576,4,0),0)</f>
        <v>0.10048</v>
      </c>
      <c r="R708">
        <f t="shared" si="80"/>
        <v>0</v>
      </c>
      <c r="S708">
        <f t="shared" si="81"/>
        <v>0</v>
      </c>
      <c r="T708">
        <f>IFERROR(VLOOKUP(C708,常规材料表!$1:$1048576,17,0),0)</f>
        <v>0</v>
      </c>
      <c r="U708">
        <f>IFERROR(VLOOKUP(C708,常规材料表!$1:$1048576,18,0),0)</f>
        <v>0</v>
      </c>
      <c r="V708">
        <f>IFERROR(VLOOKUP(T708,常规材料表!$1:$1048576,5,0),0)</f>
        <v>0</v>
      </c>
      <c r="W708">
        <f t="shared" si="82"/>
        <v>0</v>
      </c>
      <c r="X708">
        <f>IFERROR(VLOOKUP(T708,常规材料表!$1:$1048576,3,0),0)</f>
        <v>0</v>
      </c>
      <c r="Y708">
        <f t="shared" si="83"/>
        <v>0</v>
      </c>
      <c r="Z708">
        <f>IFERROR(VLOOKUP(C708,常规材料表!$1:$1048576,19,0),0)</f>
        <v>0</v>
      </c>
      <c r="AA708">
        <f>IFERROR(VLOOKUP(C708,常规材料表!$1:$1048576,20,0),0)</f>
        <v>0</v>
      </c>
      <c r="AB708">
        <f>IFERROR(VLOOKUP(Z708,常规材料表!$1:$1048576,5,0),0)</f>
        <v>0</v>
      </c>
      <c r="AC708">
        <f t="shared" si="84"/>
        <v>0</v>
      </c>
      <c r="AD708">
        <f>IFERROR(VLOOKUP(Z708,常规材料表!$1:$1048576,3,0),0)</f>
        <v>0</v>
      </c>
      <c r="AE708">
        <f t="shared" si="85"/>
        <v>0</v>
      </c>
      <c r="AF708">
        <f>IFERROR(VLOOKUP(C708,常规材料表!$1:$1048576,21,0),0)</f>
        <v>0</v>
      </c>
      <c r="AG708">
        <f>IFERROR(VLOOKUP(C708,常规材料表!$1:$1048576,22,0),0)</f>
        <v>0</v>
      </c>
      <c r="AH708">
        <f>IFERROR(VLOOKUP(AF708,常规材料表!$1:$1048576,5,0),0)</f>
        <v>0</v>
      </c>
      <c r="AI708">
        <f t="shared" si="86"/>
        <v>0</v>
      </c>
      <c r="AJ708">
        <f>IFERROR(VLOOKUP(AF708,常规材料表!$1:$1048576,3,0),0)</f>
        <v>0</v>
      </c>
      <c r="AK708">
        <f t="shared" si="87"/>
        <v>0</v>
      </c>
      <c r="AQ708" s="110"/>
      <c r="BZ708" t="s">
        <v>646</v>
      </c>
      <c r="CA708" s="112"/>
      <c r="CE708" t="s">
        <v>204</v>
      </c>
      <c r="CG708" s="122"/>
      <c r="CV708" s="388"/>
    </row>
    <row r="709" spans="1:100" customFormat="1" ht="30" customHeight="1" outlineLevel="1">
      <c r="A709" s="112"/>
      <c r="B709" s="418" t="s">
        <v>668</v>
      </c>
      <c r="C709" s="460" t="s">
        <v>783</v>
      </c>
      <c r="D709" s="418">
        <f>IFERROR(IF(G709="预镀锌",VLOOKUP(C709,常规材料表!$1:$1048576,5,0),VLOOKUP(C709,常规材料表!$1:$1048576,10,0)),0)</f>
        <v>7.5489502241094604</v>
      </c>
      <c r="E709" s="418">
        <f>IFERROR(IF(G709="喷塑",1,0)*VLOOKUP(C709,常规材料表!$1:$1048576,12,0)+IF(G709="热镀锌",1,0)*VLOOKUP(C709,常规材料表!$1:$1048576,13,0)+IF(G709="冷镀锌",1,0)*VLOOKUP(C709,常规材料表!$1:$1048576,15,0),0)</f>
        <v>0.95</v>
      </c>
      <c r="F709" s="418">
        <f>IFERROR(VLOOKUP(C709,常规材料表!$1:$1048576,11,0)/P709+D713,0)</f>
        <v>0.3</v>
      </c>
      <c r="G709" s="514" t="str">
        <f>G707</f>
        <v>喷塑</v>
      </c>
      <c r="H709" s="418">
        <f>P709*(D709+F709*1.13+E709+S709)/1.13*N709</f>
        <v>8.2885112831858407</v>
      </c>
      <c r="I709" s="623">
        <f>I707*2</f>
        <v>54</v>
      </c>
      <c r="J709" s="460">
        <f>J707*2</f>
        <v>2</v>
      </c>
      <c r="K709" s="54" t="s">
        <v>237</v>
      </c>
      <c r="L709" s="54"/>
      <c r="N709">
        <f>J709/J706</f>
        <v>2</v>
      </c>
      <c r="O709" s="255" t="s">
        <v>772</v>
      </c>
      <c r="P709" s="112">
        <f>IFERROR(VLOOKUP(C709,常规材料表!$1:$1048576,3,0),0)</f>
        <v>0.52987499999999998</v>
      </c>
      <c r="Q709" s="112">
        <f>IFERROR(VLOOKUP(C709,常规材料表!$1:$1048576,4,0),0)</f>
        <v>4.4999999999999998E-2</v>
      </c>
      <c r="R709">
        <f t="shared" si="80"/>
        <v>0</v>
      </c>
      <c r="S709">
        <f t="shared" si="81"/>
        <v>0</v>
      </c>
      <c r="T709">
        <f>IFERROR(VLOOKUP(C709,常规材料表!$1:$1048576,17,0),0)</f>
        <v>0</v>
      </c>
      <c r="U709">
        <f>IFERROR(VLOOKUP(C709,常规材料表!$1:$1048576,18,0),0)</f>
        <v>0</v>
      </c>
      <c r="V709">
        <f>IFERROR(VLOOKUP(T709,常规材料表!$1:$1048576,5,0),0)</f>
        <v>0</v>
      </c>
      <c r="W709">
        <f t="shared" si="82"/>
        <v>0</v>
      </c>
      <c r="X709">
        <f>IFERROR(VLOOKUP(T709,常规材料表!$1:$1048576,3,0),0)</f>
        <v>0</v>
      </c>
      <c r="Y709">
        <f t="shared" si="83"/>
        <v>0</v>
      </c>
      <c r="Z709">
        <f>IFERROR(VLOOKUP(C709,常规材料表!$1:$1048576,19,0),0)</f>
        <v>0</v>
      </c>
      <c r="AA709">
        <f>IFERROR(VLOOKUP(C709,常规材料表!$1:$1048576,20,0),0)</f>
        <v>0</v>
      </c>
      <c r="AB709">
        <f>IFERROR(VLOOKUP(Z709,常规材料表!$1:$1048576,5,0),0)</f>
        <v>0</v>
      </c>
      <c r="AC709">
        <f t="shared" si="84"/>
        <v>0</v>
      </c>
      <c r="AD709">
        <f>IFERROR(VLOOKUP(Z709,常规材料表!$1:$1048576,3,0),0)</f>
        <v>0</v>
      </c>
      <c r="AE709">
        <f t="shared" si="85"/>
        <v>0</v>
      </c>
      <c r="AF709">
        <f>IFERROR(VLOOKUP(C709,常规材料表!$1:$1048576,21,0),0)</f>
        <v>0</v>
      </c>
      <c r="AG709">
        <f>IFERROR(VLOOKUP(C709,常规材料表!$1:$1048576,22,0),0)</f>
        <v>0</v>
      </c>
      <c r="AH709">
        <f>IFERROR(VLOOKUP(AF709,常规材料表!$1:$1048576,5,0),0)</f>
        <v>0</v>
      </c>
      <c r="AI709">
        <f t="shared" si="86"/>
        <v>0</v>
      </c>
      <c r="AJ709">
        <f>IFERROR(VLOOKUP(AF709,常规材料表!$1:$1048576,3,0),0)</f>
        <v>0</v>
      </c>
      <c r="AK709">
        <f t="shared" si="87"/>
        <v>0</v>
      </c>
      <c r="AQ709" s="110"/>
      <c r="BZ709" t="s">
        <v>646</v>
      </c>
      <c r="CA709" s="112"/>
      <c r="CE709" t="s">
        <v>204</v>
      </c>
      <c r="CG709" s="122"/>
      <c r="CV709" s="388"/>
    </row>
    <row r="710" spans="1:100" customFormat="1" ht="30" customHeight="1" outlineLevel="1">
      <c r="A710" s="112"/>
      <c r="B710" s="418"/>
      <c r="C710" s="418"/>
      <c r="D710" s="418">
        <f>IFERROR(IF(G710="预镀锌",VLOOKUP(C710,常规材料表!$1:$1048576,5,0),VLOOKUP(C710,常规材料表!$1:$1048576,10,0)),0)</f>
        <v>0</v>
      </c>
      <c r="E710" s="418">
        <f>IFERROR(IF(G710="喷塑",1,0)*VLOOKUP(C710,常规材料表!$1:$1048576,12,0)+IF(G710="热镀锌",1,0)*VLOOKUP(C710,常规材料表!$1:$1048576,13,0)+IF(G710="冷镀锌",1,0)*VLOOKUP(C710,常规材料表!$1:$1048576,15,0),0)</f>
        <v>0</v>
      </c>
      <c r="F710" s="418">
        <f>IFERROR(VLOOKUP(C710,常规材料表!$1:$1048576,11,0)/P710+0.4,0)</f>
        <v>0</v>
      </c>
      <c r="G710" s="418"/>
      <c r="H710" s="418">
        <f>IFERROR(P710*(D710+F710*1.13+E710+S710)/1.13*N710,0)</f>
        <v>0</v>
      </c>
      <c r="I710" s="418" t="s">
        <v>102</v>
      </c>
      <c r="J710" s="418" t="s">
        <v>623</v>
      </c>
      <c r="K710" s="54" t="s">
        <v>237</v>
      </c>
      <c r="L710" s="54"/>
      <c r="O710" s="255" t="s">
        <v>772</v>
      </c>
      <c r="P710" s="112">
        <f>IFERROR(VLOOKUP(C710,常规材料表!$1:$1048576,3,0),0)</f>
        <v>0</v>
      </c>
      <c r="Q710" s="112">
        <f>IFERROR(VLOOKUP(C710,常规材料表!$1:$1048576,4,0),0)</f>
        <v>0</v>
      </c>
      <c r="R710">
        <f t="shared" si="80"/>
        <v>0</v>
      </c>
      <c r="S710" t="e">
        <f t="shared" si="81"/>
        <v>#DIV/0!</v>
      </c>
      <c r="T710">
        <f>IFERROR(VLOOKUP(C710,常规材料表!$1:$1048576,17,0),0)</f>
        <v>0</v>
      </c>
      <c r="U710">
        <f>IFERROR(VLOOKUP(C710,常规材料表!$1:$1048576,18,0),0)</f>
        <v>0</v>
      </c>
      <c r="V710">
        <f>IFERROR(VLOOKUP(T710,常规材料表!$1:$1048576,5,0),0)</f>
        <v>0</v>
      </c>
      <c r="W710">
        <f t="shared" si="82"/>
        <v>0</v>
      </c>
      <c r="X710">
        <f>IFERROR(VLOOKUP(T710,常规材料表!$1:$1048576,3,0),0)</f>
        <v>0</v>
      </c>
      <c r="Y710">
        <f t="shared" si="83"/>
        <v>0</v>
      </c>
      <c r="Z710">
        <f>IFERROR(VLOOKUP(C710,常规材料表!$1:$1048576,19,0),0)</f>
        <v>0</v>
      </c>
      <c r="AA710">
        <f>IFERROR(VLOOKUP(C710,常规材料表!$1:$1048576,20,0),0)</f>
        <v>0</v>
      </c>
      <c r="AB710">
        <f>IFERROR(VLOOKUP(Z710,常规材料表!$1:$1048576,5,0),0)</f>
        <v>0</v>
      </c>
      <c r="AC710">
        <f t="shared" si="84"/>
        <v>0</v>
      </c>
      <c r="AD710">
        <f>IFERROR(VLOOKUP(Z710,常规材料表!$1:$1048576,3,0),0)</f>
        <v>0</v>
      </c>
      <c r="AE710">
        <f t="shared" si="85"/>
        <v>0</v>
      </c>
      <c r="AF710">
        <f>IFERROR(VLOOKUP(C710,常规材料表!$1:$1048576,21,0),0)</f>
        <v>0</v>
      </c>
      <c r="AG710">
        <f>IFERROR(VLOOKUP(C710,常规材料表!$1:$1048576,22,0),0)</f>
        <v>0</v>
      </c>
      <c r="AH710">
        <f>IFERROR(VLOOKUP(AF710,常规材料表!$1:$1048576,5,0),0)</f>
        <v>0</v>
      </c>
      <c r="AI710">
        <f t="shared" si="86"/>
        <v>0</v>
      </c>
      <c r="AJ710">
        <f>IFERROR(VLOOKUP(AF710,常规材料表!$1:$1048576,3,0),0)</f>
        <v>0</v>
      </c>
      <c r="AK710">
        <f t="shared" si="87"/>
        <v>0</v>
      </c>
      <c r="AQ710" s="110"/>
      <c r="BZ710" t="s">
        <v>646</v>
      </c>
      <c r="CA710" s="112"/>
      <c r="CE710" t="s">
        <v>204</v>
      </c>
      <c r="CG710" s="122"/>
      <c r="CV710" s="388"/>
    </row>
    <row r="711" spans="1:100" customFormat="1" ht="30" customHeight="1" outlineLevel="1">
      <c r="A711" s="112"/>
      <c r="B711" s="418"/>
      <c r="C711" s="418"/>
      <c r="D711" s="418">
        <f>IFERROR(IF(G711="预镀锌",VLOOKUP(C711,常规材料表!$1:$1048576,5,0),VLOOKUP(C711,常规材料表!$1:$1048576,10,0)),0)</f>
        <v>0</v>
      </c>
      <c r="E711" s="418">
        <f>IFERROR(IF(G711="喷塑",1,0)*VLOOKUP(C711,常规材料表!$1:$1048576,12,0)+IF(G711="热镀锌",1,0)*VLOOKUP(C711,常规材料表!$1:$1048576,13,0)+IF(G711="冷镀锌",1,0)*VLOOKUP(C711,常规材料表!$1:$1048576,15,0),0)</f>
        <v>0</v>
      </c>
      <c r="F711" s="418">
        <f>IFERROR(VLOOKUP(C711,常规材料表!$1:$1048576,11,0)/P711+0.4,0)</f>
        <v>0</v>
      </c>
      <c r="G711" s="418"/>
      <c r="H711" s="418">
        <f>IFERROR(P711*(D711+F711*1.13+E711+S711)/1.13*N711,0)</f>
        <v>0</v>
      </c>
      <c r="I711" s="418"/>
      <c r="J711" s="54"/>
      <c r="K711" s="54" t="s">
        <v>237</v>
      </c>
      <c r="L711" s="54"/>
      <c r="O711" s="255" t="s">
        <v>772</v>
      </c>
      <c r="P711" s="112">
        <f>IFERROR(VLOOKUP(C711,常规材料表!$1:$1048576,3,0),0)</f>
        <v>0</v>
      </c>
      <c r="Q711" s="112">
        <f>IFERROR(VLOOKUP(C711,常规材料表!$1:$1048576,4,0),0)</f>
        <v>0</v>
      </c>
      <c r="R711">
        <f t="shared" si="80"/>
        <v>0</v>
      </c>
      <c r="S711" t="e">
        <f t="shared" si="81"/>
        <v>#DIV/0!</v>
      </c>
      <c r="T711">
        <f>IFERROR(VLOOKUP(C711,常规材料表!$1:$1048576,17,0),0)</f>
        <v>0</v>
      </c>
      <c r="U711">
        <f>IFERROR(VLOOKUP(C711,常规材料表!$1:$1048576,18,0),0)</f>
        <v>0</v>
      </c>
      <c r="V711">
        <f>IFERROR(VLOOKUP(T711,常规材料表!$1:$1048576,5,0),0)</f>
        <v>0</v>
      </c>
      <c r="W711">
        <f t="shared" si="82"/>
        <v>0</v>
      </c>
      <c r="X711">
        <f>IFERROR(VLOOKUP(T711,常规材料表!$1:$1048576,3,0),0)</f>
        <v>0</v>
      </c>
      <c r="Y711">
        <f t="shared" si="83"/>
        <v>0</v>
      </c>
      <c r="Z711">
        <f>IFERROR(VLOOKUP(C711,常规材料表!$1:$1048576,19,0),0)</f>
        <v>0</v>
      </c>
      <c r="AA711">
        <f>IFERROR(VLOOKUP(C711,常规材料表!$1:$1048576,20,0),0)</f>
        <v>0</v>
      </c>
      <c r="AB711">
        <f>IFERROR(VLOOKUP(Z711,常规材料表!$1:$1048576,5,0),0)</f>
        <v>0</v>
      </c>
      <c r="AC711">
        <f t="shared" si="84"/>
        <v>0</v>
      </c>
      <c r="AD711">
        <f>IFERROR(VLOOKUP(Z711,常规材料表!$1:$1048576,3,0),0)</f>
        <v>0</v>
      </c>
      <c r="AE711">
        <f t="shared" si="85"/>
        <v>0</v>
      </c>
      <c r="AF711">
        <f>IFERROR(VLOOKUP(C711,常规材料表!$1:$1048576,21,0),0)</f>
        <v>0</v>
      </c>
      <c r="AG711">
        <f>IFERROR(VLOOKUP(C711,常规材料表!$1:$1048576,22,0),0)</f>
        <v>0</v>
      </c>
      <c r="AH711">
        <f>IFERROR(VLOOKUP(AF711,常规材料表!$1:$1048576,5,0),0)</f>
        <v>0</v>
      </c>
      <c r="AI711">
        <f t="shared" si="86"/>
        <v>0</v>
      </c>
      <c r="AJ711">
        <f>IFERROR(VLOOKUP(AF711,常规材料表!$1:$1048576,3,0),0)</f>
        <v>0</v>
      </c>
      <c r="AK711">
        <f t="shared" si="87"/>
        <v>0</v>
      </c>
      <c r="AQ711" s="110"/>
      <c r="BZ711" t="s">
        <v>646</v>
      </c>
      <c r="CA711" s="112"/>
      <c r="CE711" t="s">
        <v>204</v>
      </c>
      <c r="CG711" s="122"/>
      <c r="CV711" s="388"/>
    </row>
    <row r="712" spans="1:100" customFormat="1" ht="30" customHeight="1" outlineLevel="1">
      <c r="A712" s="112"/>
      <c r="B712" s="418"/>
      <c r="C712" s="418"/>
      <c r="D712" s="418">
        <f>IFERROR(VLOOKUP(C712,常规材料表!$1:$1048576,5,0),0)</f>
        <v>0</v>
      </c>
      <c r="E712" s="418">
        <f>IFERROR(IF(G712="喷塑",1,0)*VLOOKUP(C712,常规材料表!$1:$1048576,12,0)+IF(G712="热镀锌",1,0)*VLOOKUP(C712,常规材料表!$1:$1048576,13,0)+IF(G712="冷镀锌",1,0)*VLOOKUP(C712,常规材料表!$1:$1048576,15,0),0)</f>
        <v>0</v>
      </c>
      <c r="F712" s="418">
        <f>IFERROR(VLOOKUP(C712,常规材料表!$1:$1048576,11,0)/P712+0.4,0)</f>
        <v>0</v>
      </c>
      <c r="G712" s="418"/>
      <c r="H712" s="418">
        <f>IFERROR(P712*(D712+F712*1.13+E712+S712)/1.13*N712,0)</f>
        <v>0</v>
      </c>
      <c r="I712" s="418"/>
      <c r="J712" s="54"/>
      <c r="K712" s="54" t="s">
        <v>237</v>
      </c>
      <c r="L712" s="54"/>
      <c r="O712" s="255" t="s">
        <v>772</v>
      </c>
      <c r="P712" s="112">
        <f>IFERROR(VLOOKUP(C712,常规材料表!$1:$1048576,3,0),0)</f>
        <v>0</v>
      </c>
      <c r="Q712" s="112">
        <f>IFERROR(VLOOKUP(C712,常规材料表!$1:$1048576,4,0),0)</f>
        <v>0</v>
      </c>
      <c r="R712">
        <f t="shared" si="80"/>
        <v>0</v>
      </c>
      <c r="S712" t="e">
        <f t="shared" si="81"/>
        <v>#DIV/0!</v>
      </c>
      <c r="T712">
        <f>IFERROR(VLOOKUP(C712,常规材料表!$1:$1048576,17,0),0)</f>
        <v>0</v>
      </c>
      <c r="U712">
        <f>IFERROR(VLOOKUP(C712,常规材料表!$1:$1048576,18,0),0)</f>
        <v>0</v>
      </c>
      <c r="V712">
        <f>IFERROR(VLOOKUP(T712,常规材料表!$1:$1048576,5,0),0)</f>
        <v>0</v>
      </c>
      <c r="W712">
        <f t="shared" si="82"/>
        <v>0</v>
      </c>
      <c r="X712">
        <f>IFERROR(VLOOKUP(T712,常规材料表!$1:$1048576,3,0),0)</f>
        <v>0</v>
      </c>
      <c r="Y712">
        <f t="shared" si="83"/>
        <v>0</v>
      </c>
      <c r="Z712">
        <f>IFERROR(VLOOKUP(C712,常规材料表!$1:$1048576,19,0),0)</f>
        <v>0</v>
      </c>
      <c r="AA712">
        <f>IFERROR(VLOOKUP(C712,常规材料表!$1:$1048576,20,0),0)</f>
        <v>0</v>
      </c>
      <c r="AB712">
        <f>IFERROR(VLOOKUP(Z712,常规材料表!$1:$1048576,5,0),0)</f>
        <v>0</v>
      </c>
      <c r="AC712">
        <f t="shared" si="84"/>
        <v>0</v>
      </c>
      <c r="AD712">
        <f>IFERROR(VLOOKUP(Z712,常规材料表!$1:$1048576,3,0),0)</f>
        <v>0</v>
      </c>
      <c r="AE712">
        <f t="shared" si="85"/>
        <v>0</v>
      </c>
      <c r="AF712">
        <f>IFERROR(VLOOKUP(C712,常规材料表!$1:$1048576,21,0),0)</f>
        <v>0</v>
      </c>
      <c r="AG712">
        <f>IFERROR(VLOOKUP(C712,常规材料表!$1:$1048576,22,0),0)</f>
        <v>0</v>
      </c>
      <c r="AH712">
        <f>IFERROR(VLOOKUP(AF712,常规材料表!$1:$1048576,5,0),0)</f>
        <v>0</v>
      </c>
      <c r="AI712">
        <f t="shared" si="86"/>
        <v>0</v>
      </c>
      <c r="AJ712">
        <f>IFERROR(VLOOKUP(AF712,常规材料表!$1:$1048576,3,0),0)</f>
        <v>0</v>
      </c>
      <c r="AK712">
        <f t="shared" si="87"/>
        <v>0</v>
      </c>
      <c r="AQ712" s="110"/>
      <c r="BZ712" t="s">
        <v>646</v>
      </c>
      <c r="CA712" s="112"/>
      <c r="CE712" t="s">
        <v>204</v>
      </c>
      <c r="CG712" s="122"/>
      <c r="CV712" s="388"/>
    </row>
    <row r="713" spans="1:100" customFormat="1" ht="30" customHeight="1" outlineLevel="1">
      <c r="A713" s="112"/>
      <c r="B713" s="414">
        <v>0</v>
      </c>
      <c r="C713" s="418" t="s">
        <v>622</v>
      </c>
      <c r="D713" s="655">
        <v>0.3</v>
      </c>
      <c r="E713" s="418"/>
      <c r="F713" s="418"/>
      <c r="G713" s="418"/>
      <c r="H713" s="418"/>
      <c r="I713" s="418"/>
      <c r="J713" s="54"/>
      <c r="K713" s="54" t="s">
        <v>237</v>
      </c>
      <c r="L713" s="54"/>
      <c r="O713" s="255" t="s">
        <v>772</v>
      </c>
      <c r="AQ713" s="110"/>
      <c r="BZ713" t="s">
        <v>646</v>
      </c>
      <c r="CA713" s="112"/>
      <c r="CE713" t="s">
        <v>204</v>
      </c>
      <c r="CG713" s="122"/>
      <c r="CV713" s="388"/>
    </row>
    <row r="714" spans="1:100" s="376" customFormat="1" ht="30" customHeight="1">
      <c r="A714" s="472"/>
      <c r="B714" s="473"/>
      <c r="C714" s="473"/>
      <c r="D714" s="473"/>
      <c r="E714" s="474"/>
      <c r="F714" s="473"/>
      <c r="G714" s="473"/>
      <c r="H714" s="473"/>
      <c r="I714" s="473"/>
      <c r="J714" s="475"/>
      <c r="K714" s="475"/>
      <c r="L714" s="475"/>
      <c r="O714" s="255" t="s">
        <v>772</v>
      </c>
      <c r="AQ714" s="476"/>
      <c r="BZ714" t="s">
        <v>646</v>
      </c>
      <c r="CA714" s="112"/>
      <c r="CB714"/>
      <c r="CC714"/>
      <c r="CD714"/>
      <c r="CE714" t="s">
        <v>204</v>
      </c>
      <c r="CF714"/>
      <c r="CG714" s="122"/>
    </row>
    <row r="715" spans="1:100" customFormat="1" ht="30" customHeight="1">
      <c r="A715" s="112" t="str">
        <f>IF($C$13=1,IF(K715="报价行",1," ")," ")</f>
        <v xml:space="preserve"> </v>
      </c>
      <c r="B715" s="414" t="str">
        <f>IF(A715=1,SUM($A$11:A715),"悬臂背拉")</f>
        <v>悬臂背拉</v>
      </c>
      <c r="C715" s="623" t="s">
        <v>670</v>
      </c>
      <c r="D715" s="624"/>
      <c r="E715" s="547" t="str">
        <f>C717</f>
        <v>D brace ø32*1.5t</v>
      </c>
      <c r="F715" s="460">
        <v>18</v>
      </c>
      <c r="G715" s="419">
        <f>SUM(P716*N716,P721*N721,N717*P717,N718*P718,N719*P719,N720*P720)</f>
        <v>2.26728</v>
      </c>
      <c r="H715" s="419">
        <f>SUM(H716:H722)</f>
        <v>11.87291178761062</v>
      </c>
      <c r="I715" s="460" t="str">
        <f>I706</f>
        <v>Blue Ral5015</v>
      </c>
      <c r="J715" s="460">
        <v>1</v>
      </c>
      <c r="K715" s="423" t="s">
        <v>217</v>
      </c>
      <c r="L715" s="418" t="s">
        <v>660</v>
      </c>
      <c r="M715" t="s">
        <v>608</v>
      </c>
      <c r="N715" t="s">
        <v>610</v>
      </c>
      <c r="O715" s="255" t="s">
        <v>772</v>
      </c>
      <c r="P715" t="s">
        <v>611</v>
      </c>
      <c r="Q715" t="s">
        <v>612</v>
      </c>
      <c r="R715" t="s">
        <v>613</v>
      </c>
      <c r="S715" t="s">
        <v>614</v>
      </c>
      <c r="T715" t="s">
        <v>615</v>
      </c>
      <c r="U715" t="str">
        <f>T715&amp;"数量"</f>
        <v>配件1数量</v>
      </c>
      <c r="V715" t="str">
        <f>T715&amp;"单价"</f>
        <v>配件1单价</v>
      </c>
      <c r="W715" t="str">
        <f>T715&amp;"总价"</f>
        <v>配件1总价</v>
      </c>
      <c r="X715" t="str">
        <f>T715&amp;"单重"</f>
        <v>配件1单重</v>
      </c>
      <c r="Y715" t="str">
        <f>T715&amp;"总重量"</f>
        <v>配件1总重量</v>
      </c>
      <c r="Z715" t="s">
        <v>616</v>
      </c>
      <c r="AA715" t="str">
        <f>Z715&amp;"数量"</f>
        <v>配件2数量</v>
      </c>
      <c r="AB715" t="str">
        <f>Z715&amp;"单价"</f>
        <v>配件2单价</v>
      </c>
      <c r="AC715" t="str">
        <f>Z715&amp;"总价"</f>
        <v>配件2总价</v>
      </c>
      <c r="AD715" t="str">
        <f>Z715&amp;"单重"</f>
        <v>配件2单重</v>
      </c>
      <c r="AE715" t="str">
        <f>Z715&amp;"总重量"</f>
        <v>配件2总重量</v>
      </c>
      <c r="AF715" t="s">
        <v>617</v>
      </c>
      <c r="AG715" t="str">
        <f>AF715&amp;"数量"</f>
        <v>配件3数量</v>
      </c>
      <c r="AH715" t="str">
        <f>AF715&amp;"单价"</f>
        <v>配件3单价</v>
      </c>
      <c r="AI715" t="str">
        <f>AF715&amp;"总价"</f>
        <v>配件3总价</v>
      </c>
      <c r="AJ715" t="str">
        <f>AF715&amp;"单重"</f>
        <v>配件3单重</v>
      </c>
      <c r="AK715" t="str">
        <f>AF715&amp;"总重量"</f>
        <v>配件3总重量</v>
      </c>
      <c r="AQ715" s="110"/>
      <c r="AX715" t="str">
        <f>E715</f>
        <v>D brace ø32*1.5t</v>
      </c>
      <c r="AY715" s="494">
        <f>D715</f>
        <v>0</v>
      </c>
      <c r="AZ715">
        <f>F715</f>
        <v>18</v>
      </c>
      <c r="BA715" s="256">
        <f>G715</f>
        <v>2.26728</v>
      </c>
      <c r="BB715">
        <f>AZ715*BA715</f>
        <v>40.811039999999998</v>
      </c>
      <c r="BC715" s="495"/>
      <c r="BR715" t="str">
        <f>I715</f>
        <v>Blue Ral5015</v>
      </c>
      <c r="BZ715" t="s">
        <v>646</v>
      </c>
      <c r="CA715" s="112"/>
      <c r="CE715" t="s">
        <v>204</v>
      </c>
      <c r="CG715" s="122"/>
      <c r="CV715" s="388"/>
    </row>
    <row r="716" spans="1:100" customFormat="1" ht="30" customHeight="1" outlineLevel="1">
      <c r="A716" s="112"/>
      <c r="B716" s="418" t="s">
        <v>663</v>
      </c>
      <c r="C716" s="460" t="s">
        <v>781</v>
      </c>
      <c r="D716" s="418">
        <f>IFERROR(IF(G716="预镀锌",VLOOKUP(C716,常规材料表!$1:$1048576,5,0),VLOOKUP(C716,常规材料表!$1:$1048576,10,0)),0)</f>
        <v>4.28</v>
      </c>
      <c r="E716" s="418">
        <f>IFERROR(IF(G716="喷塑",1,0)*VLOOKUP(C716,常规材料表!$1:$1048576,12,0)+IF(G716="热镀锌",1,0)*VLOOKUP(C716,常规材料表!$1:$1048576,13,0)+IF(G716="冷镀锌",1,0)*VLOOKUP(C716,常规材料表!$1:$1048576,15,0),0)</f>
        <v>0.8</v>
      </c>
      <c r="F716" s="418">
        <f>IFERROR(VLOOKUP(C716,常规材料表!$1:$1048576,11,0)/P716+D722,0)</f>
        <v>0.85407801418439733</v>
      </c>
      <c r="G716" s="514" t="s">
        <v>236</v>
      </c>
      <c r="H716" s="418">
        <f>P716*(D716+F716*1.13+E716+S716)/1.13*N716</f>
        <v>0</v>
      </c>
      <c r="I716" s="623">
        <f>N716*F715</f>
        <v>0</v>
      </c>
      <c r="J716" s="460"/>
      <c r="K716" s="54" t="s">
        <v>237</v>
      </c>
      <c r="L716" s="667">
        <f>L707</f>
        <v>1600</v>
      </c>
      <c r="M716" s="418">
        <f>H715/G715</f>
        <v>5.2366323469578617</v>
      </c>
      <c r="N716">
        <f>J716/J715</f>
        <v>0</v>
      </c>
      <c r="O716" s="255" t="s">
        <v>772</v>
      </c>
      <c r="P716" s="112">
        <f>IFERROR(VLOOKUP(C716,常规材料表!$1:$1048576,3,0)*L716/1000,0)</f>
        <v>1.8047999999999997</v>
      </c>
      <c r="Q716" s="112">
        <f>IFERROR(VLOOKUP(C716,常规材料表!$1:$1048576,4,0)*D715/1000,0)</f>
        <v>0</v>
      </c>
      <c r="R716">
        <f t="shared" ref="R716:R721" si="88">W716+AC716+AI716</f>
        <v>3.9600000000000142</v>
      </c>
      <c r="S716">
        <f t="shared" ref="S716:S721" si="89">R716/P716</f>
        <v>2.1941489361702211</v>
      </c>
      <c r="T716" t="str">
        <f>IFERROR(VLOOKUP(C716,常规材料表!$1:$1048576,17,0),0)</f>
        <v>M10*120 8.8G</v>
      </c>
      <c r="U716">
        <f>IFERROR(VLOOKUP(C716,常规材料表!$1:$1048576,18,0),0)</f>
        <v>4</v>
      </c>
      <c r="V716">
        <f>IFERROR(VLOOKUP(T716,常规材料表!$1:$1048576,5,0),0)*X716</f>
        <v>0.83000000000000307</v>
      </c>
      <c r="W716">
        <f t="shared" ref="W716:W721" si="90">V716*U716</f>
        <v>3.3200000000000123</v>
      </c>
      <c r="X716">
        <f>IFERROR(VLOOKUP(T716,常规材料表!$1:$1048576,3,0),0)</f>
        <v>7.0000000000000007E-2</v>
      </c>
      <c r="Y716">
        <f t="shared" ref="Y716:Y721" si="91">X716*U716</f>
        <v>0.28000000000000003</v>
      </c>
      <c r="Z716" t="str">
        <f>IFERROR(VLOOKUP(C716,常规材料表!$1:$1048576,19,0),0)</f>
        <v>M10*30  8.8G</v>
      </c>
      <c r="AA716">
        <f>IFERROR(VLOOKUP(C716,常规材料表!$1:$1048576,20,0),0)</f>
        <v>2</v>
      </c>
      <c r="AB716">
        <f>IFERROR(VLOOKUP(Z716,常规材料表!$1:$1048576,5,0),0)*AD716</f>
        <v>0.32000000000000101</v>
      </c>
      <c r="AC716">
        <f t="shared" ref="AC716:AC721" si="92">AB716*AA716</f>
        <v>0.64000000000000201</v>
      </c>
      <c r="AD716">
        <f>IFERROR(VLOOKUP(Z716,常规材料表!$1:$1048576,3,0),0)</f>
        <v>0.03</v>
      </c>
      <c r="AE716">
        <f t="shared" ref="AE716:AE721" si="93">AD716*AA716</f>
        <v>0.06</v>
      </c>
      <c r="AF716">
        <f>IFERROR(VLOOKUP(C716,常规材料表!$1:$1048576,21,0),0)</f>
        <v>0</v>
      </c>
      <c r="AG716">
        <f>IFERROR(VLOOKUP(C716,常规材料表!$1:$1048576,22,0),0)</f>
        <v>0</v>
      </c>
      <c r="AH716">
        <f>IFERROR(VLOOKUP(AF716,常规材料表!$1:$1048576,5,0),0)</f>
        <v>0</v>
      </c>
      <c r="AI716">
        <f t="shared" ref="AI716:AI721" si="94">AH716*AG716</f>
        <v>0</v>
      </c>
      <c r="AJ716">
        <f>IFERROR(VLOOKUP(AF716,常规材料表!$1:$1048576,3,0),0)</f>
        <v>0</v>
      </c>
      <c r="AK716">
        <f t="shared" ref="AK716:AK721" si="95">AJ716*AG716</f>
        <v>0</v>
      </c>
      <c r="AQ716" s="110"/>
      <c r="AX716" t="s">
        <v>156</v>
      </c>
      <c r="AY716" t="s">
        <v>246</v>
      </c>
      <c r="AZ716" t="s">
        <v>102</v>
      </c>
      <c r="BA716" t="s">
        <v>158</v>
      </c>
      <c r="BB716" t="s">
        <v>247</v>
      </c>
      <c r="BC716" t="s">
        <v>248</v>
      </c>
      <c r="BD716" t="s">
        <v>249</v>
      </c>
      <c r="BE716" t="s">
        <v>250</v>
      </c>
      <c r="BF716" t="s">
        <v>251</v>
      </c>
      <c r="BZ716" t="s">
        <v>646</v>
      </c>
      <c r="CA716" s="112"/>
      <c r="CE716" t="s">
        <v>204</v>
      </c>
      <c r="CG716" s="122"/>
      <c r="CV716" s="388"/>
    </row>
    <row r="717" spans="1:100" customFormat="1" ht="30" customHeight="1" outlineLevel="1">
      <c r="A717" s="112"/>
      <c r="B717" s="418" t="s">
        <v>666</v>
      </c>
      <c r="C717" s="460" t="s">
        <v>782</v>
      </c>
      <c r="D717" s="418">
        <f>IFERROR(IF(G717="预镀锌",VLOOKUP(C717,常规材料表!$1:$1048576,5,0),VLOOKUP(C717,常规材料表!$1:$1048576,10,0)),0)</f>
        <v>4.28</v>
      </c>
      <c r="E717" s="418">
        <f>IFERROR(IF(G717="喷塑",1,0)*VLOOKUP(C717,常规材料表!$1:$1048576,12,0)+IF(G717="热镀锌",1,0)*VLOOKUP(C717,常规材料表!$1:$1048576,13,0)+IF(G717="冷镀锌",1,0)*VLOOKUP(C717,常规材料表!$1:$1048576,15,0),0)</f>
        <v>0.8</v>
      </c>
      <c r="F717" s="418">
        <f>IFERROR(VLOOKUP(C717,常规材料表!$1:$1048576,11,0)/P717+D722,0)</f>
        <v>0.74105712571892313</v>
      </c>
      <c r="G717" s="514" t="str">
        <f>G716</f>
        <v>喷塑</v>
      </c>
      <c r="H717" s="418">
        <f>P717*(D717+F717*1.13+E717+S717)/1.13*N717</f>
        <v>11.87291178761062</v>
      </c>
      <c r="I717" s="623">
        <f>N717*F715</f>
        <v>18</v>
      </c>
      <c r="J717" s="460">
        <v>1</v>
      </c>
      <c r="K717" s="54" t="s">
        <v>237</v>
      </c>
      <c r="L717" s="667">
        <f>L708</f>
        <v>2010</v>
      </c>
      <c r="N717">
        <f>J717/J715</f>
        <v>1</v>
      </c>
      <c r="O717" s="255" t="s">
        <v>772</v>
      </c>
      <c r="P717" s="112">
        <f>IFERROR(VLOOKUP(C717,常规材料表!$1:$1048576,3,0)*L717/1000,0)</f>
        <v>2.26728</v>
      </c>
      <c r="Q717" s="112">
        <f>IFERROR(VLOOKUP(C717,常规材料表!$1:$1048576,4,0),0)</f>
        <v>0.10048</v>
      </c>
      <c r="R717">
        <f t="shared" si="88"/>
        <v>0</v>
      </c>
      <c r="S717">
        <f t="shared" si="89"/>
        <v>0</v>
      </c>
      <c r="T717">
        <f>IFERROR(VLOOKUP(C717,常规材料表!$1:$1048576,17,0),0)</f>
        <v>0</v>
      </c>
      <c r="U717">
        <f>IFERROR(VLOOKUP(C717,常规材料表!$1:$1048576,18,0),0)</f>
        <v>0</v>
      </c>
      <c r="V717">
        <f>IFERROR(VLOOKUP(T717,常规材料表!$1:$1048576,5,0),0)</f>
        <v>0</v>
      </c>
      <c r="W717">
        <f t="shared" si="90"/>
        <v>0</v>
      </c>
      <c r="X717">
        <f>IFERROR(VLOOKUP(T717,常规材料表!$1:$1048576,3,0),0)</f>
        <v>0</v>
      </c>
      <c r="Y717">
        <f t="shared" si="91"/>
        <v>0</v>
      </c>
      <c r="Z717">
        <f>IFERROR(VLOOKUP(C717,常规材料表!$1:$1048576,19,0),0)</f>
        <v>0</v>
      </c>
      <c r="AA717">
        <f>IFERROR(VLOOKUP(C717,常规材料表!$1:$1048576,20,0),0)</f>
        <v>0</v>
      </c>
      <c r="AB717">
        <f>IFERROR(VLOOKUP(Z717,常规材料表!$1:$1048576,5,0),0)</f>
        <v>0</v>
      </c>
      <c r="AC717">
        <f t="shared" si="92"/>
        <v>0</v>
      </c>
      <c r="AD717">
        <f>IFERROR(VLOOKUP(Z717,常规材料表!$1:$1048576,3,0),0)</f>
        <v>0</v>
      </c>
      <c r="AE717">
        <f t="shared" si="93"/>
        <v>0</v>
      </c>
      <c r="AF717">
        <f>IFERROR(VLOOKUP(C717,常规材料表!$1:$1048576,21,0),0)</f>
        <v>0</v>
      </c>
      <c r="AG717">
        <f>IFERROR(VLOOKUP(C717,常规材料表!$1:$1048576,22,0),0)</f>
        <v>0</v>
      </c>
      <c r="AH717">
        <f>IFERROR(VLOOKUP(AF717,常规材料表!$1:$1048576,5,0),0)</f>
        <v>0</v>
      </c>
      <c r="AI717">
        <f t="shared" si="94"/>
        <v>0</v>
      </c>
      <c r="AJ717">
        <f>IFERROR(VLOOKUP(AF717,常规材料表!$1:$1048576,3,0),0)</f>
        <v>0</v>
      </c>
      <c r="AK717">
        <f t="shared" si="95"/>
        <v>0</v>
      </c>
      <c r="AQ717" s="110"/>
      <c r="BZ717" t="s">
        <v>646</v>
      </c>
      <c r="CA717" s="112"/>
      <c r="CE717" t="s">
        <v>204</v>
      </c>
      <c r="CG717" s="122"/>
      <c r="CV717" s="388"/>
    </row>
    <row r="718" spans="1:100" customFormat="1" ht="30" customHeight="1" outlineLevel="1">
      <c r="A718" s="112"/>
      <c r="B718" s="418" t="s">
        <v>668</v>
      </c>
      <c r="C718" s="460" t="s">
        <v>783</v>
      </c>
      <c r="D718" s="418">
        <f>IFERROR(IF(G718="预镀锌",VLOOKUP(C718,常规材料表!$1:$1048576,5,0),VLOOKUP(C718,常规材料表!$1:$1048576,10,0)),0)</f>
        <v>7.5489502241094604</v>
      </c>
      <c r="E718" s="418">
        <f>IFERROR(IF(G718="喷塑",1,0)*VLOOKUP(C718,常规材料表!$1:$1048576,12,0)+IF(G718="热镀锌",1,0)*VLOOKUP(C718,常规材料表!$1:$1048576,13,0)+IF(G718="冷镀锌",1,0)*VLOOKUP(C718,常规材料表!$1:$1048576,15,0),0)</f>
        <v>0.95</v>
      </c>
      <c r="F718" s="418">
        <f>IFERROR(VLOOKUP(C718,常规材料表!$1:$1048576,11,0)/P718+D722,0)</f>
        <v>0.3</v>
      </c>
      <c r="G718" s="514" t="str">
        <f>G716</f>
        <v>喷塑</v>
      </c>
      <c r="H718" s="418">
        <f>P718*(D718+F718*1.13+E718+S718)/1.13*N718</f>
        <v>0</v>
      </c>
      <c r="I718" s="623">
        <f>I716*2</f>
        <v>0</v>
      </c>
      <c r="J718" s="460">
        <f>J716*2</f>
        <v>0</v>
      </c>
      <c r="K718" s="54" t="s">
        <v>237</v>
      </c>
      <c r="L718" s="54"/>
      <c r="N718">
        <f>J718/J715</f>
        <v>0</v>
      </c>
      <c r="O718" s="255" t="s">
        <v>772</v>
      </c>
      <c r="P718" s="112">
        <f>IFERROR(VLOOKUP(C718,常规材料表!$1:$1048576,3,0),0)</f>
        <v>0.52987499999999998</v>
      </c>
      <c r="Q718" s="112">
        <f>IFERROR(VLOOKUP(C718,常规材料表!$1:$1048576,4,0),0)</f>
        <v>4.4999999999999998E-2</v>
      </c>
      <c r="R718">
        <f t="shared" si="88"/>
        <v>0</v>
      </c>
      <c r="S718">
        <f t="shared" si="89"/>
        <v>0</v>
      </c>
      <c r="T718">
        <f>IFERROR(VLOOKUP(C718,常规材料表!$1:$1048576,17,0),0)</f>
        <v>0</v>
      </c>
      <c r="U718">
        <f>IFERROR(VLOOKUP(C718,常规材料表!$1:$1048576,18,0),0)</f>
        <v>0</v>
      </c>
      <c r="V718">
        <f>IFERROR(VLOOKUP(T718,常规材料表!$1:$1048576,5,0),0)</f>
        <v>0</v>
      </c>
      <c r="W718">
        <f t="shared" si="90"/>
        <v>0</v>
      </c>
      <c r="X718">
        <f>IFERROR(VLOOKUP(T718,常规材料表!$1:$1048576,3,0),0)</f>
        <v>0</v>
      </c>
      <c r="Y718">
        <f t="shared" si="91"/>
        <v>0</v>
      </c>
      <c r="Z718">
        <f>IFERROR(VLOOKUP(C718,常规材料表!$1:$1048576,19,0),0)</f>
        <v>0</v>
      </c>
      <c r="AA718">
        <f>IFERROR(VLOOKUP(C718,常规材料表!$1:$1048576,20,0),0)</f>
        <v>0</v>
      </c>
      <c r="AB718">
        <f>IFERROR(VLOOKUP(Z718,常规材料表!$1:$1048576,5,0),0)</f>
        <v>0</v>
      </c>
      <c r="AC718">
        <f t="shared" si="92"/>
        <v>0</v>
      </c>
      <c r="AD718">
        <f>IFERROR(VLOOKUP(Z718,常规材料表!$1:$1048576,3,0),0)</f>
        <v>0</v>
      </c>
      <c r="AE718">
        <f t="shared" si="93"/>
        <v>0</v>
      </c>
      <c r="AF718">
        <f>IFERROR(VLOOKUP(C718,常规材料表!$1:$1048576,21,0),0)</f>
        <v>0</v>
      </c>
      <c r="AG718">
        <f>IFERROR(VLOOKUP(C718,常规材料表!$1:$1048576,22,0),0)</f>
        <v>0</v>
      </c>
      <c r="AH718">
        <f>IFERROR(VLOOKUP(AF718,常规材料表!$1:$1048576,5,0),0)</f>
        <v>0</v>
      </c>
      <c r="AI718">
        <f t="shared" si="94"/>
        <v>0</v>
      </c>
      <c r="AJ718">
        <f>IFERROR(VLOOKUP(AF718,常规材料表!$1:$1048576,3,0),0)</f>
        <v>0</v>
      </c>
      <c r="AK718">
        <f t="shared" si="95"/>
        <v>0</v>
      </c>
      <c r="AQ718" s="110"/>
      <c r="BZ718" t="s">
        <v>646</v>
      </c>
      <c r="CA718" s="112"/>
      <c r="CE718" t="s">
        <v>204</v>
      </c>
      <c r="CG718" s="122"/>
      <c r="CV718" s="388"/>
    </row>
    <row r="719" spans="1:100" customFormat="1" ht="30" customHeight="1" outlineLevel="1">
      <c r="A719" s="112"/>
      <c r="B719" s="418"/>
      <c r="C719" s="418"/>
      <c r="D719" s="418">
        <f>IFERROR(IF(G719="预镀锌",VLOOKUP(C719,常规材料表!$1:$1048576,5,0),VLOOKUP(C719,常规材料表!$1:$1048576,10,0)),0)</f>
        <v>0</v>
      </c>
      <c r="E719" s="418">
        <f>IFERROR(IF(G719="喷塑",1,0)*VLOOKUP(C719,常规材料表!$1:$1048576,12,0)+IF(G719="热镀锌",1,0)*VLOOKUP(C719,常规材料表!$1:$1048576,13,0)+IF(G719="冷镀锌",1,0)*VLOOKUP(C719,常规材料表!$1:$1048576,15,0),0)</f>
        <v>0</v>
      </c>
      <c r="F719" s="418">
        <f>IFERROR(VLOOKUP(C719,常规材料表!$1:$1048576,11,0)/P719+0.4,0)</f>
        <v>0</v>
      </c>
      <c r="G719" s="418"/>
      <c r="H719" s="418">
        <f>IFERROR(P719*(D719+F719*1.13+E719+S719)/1.13*N719,0)</f>
        <v>0</v>
      </c>
      <c r="I719" s="418" t="s">
        <v>102</v>
      </c>
      <c r="J719" s="418" t="s">
        <v>623</v>
      </c>
      <c r="K719" s="54" t="s">
        <v>237</v>
      </c>
      <c r="L719" s="54"/>
      <c r="O719" s="255" t="s">
        <v>772</v>
      </c>
      <c r="P719" s="112">
        <f>IFERROR(VLOOKUP(C719,常规材料表!$1:$1048576,3,0),0)</f>
        <v>0</v>
      </c>
      <c r="Q719" s="112">
        <f>IFERROR(VLOOKUP(C719,常规材料表!$1:$1048576,4,0),0)</f>
        <v>0</v>
      </c>
      <c r="R719">
        <f t="shared" si="88"/>
        <v>0</v>
      </c>
      <c r="S719" t="e">
        <f t="shared" si="89"/>
        <v>#DIV/0!</v>
      </c>
      <c r="T719">
        <f>IFERROR(VLOOKUP(C719,常规材料表!$1:$1048576,17,0),0)</f>
        <v>0</v>
      </c>
      <c r="U719">
        <f>IFERROR(VLOOKUP(C719,常规材料表!$1:$1048576,18,0),0)</f>
        <v>0</v>
      </c>
      <c r="V719">
        <f>IFERROR(VLOOKUP(T719,常规材料表!$1:$1048576,5,0),0)</f>
        <v>0</v>
      </c>
      <c r="W719">
        <f t="shared" si="90"/>
        <v>0</v>
      </c>
      <c r="X719">
        <f>IFERROR(VLOOKUP(T719,常规材料表!$1:$1048576,3,0),0)</f>
        <v>0</v>
      </c>
      <c r="Y719">
        <f t="shared" si="91"/>
        <v>0</v>
      </c>
      <c r="Z719">
        <f>IFERROR(VLOOKUP(C719,常规材料表!$1:$1048576,19,0),0)</f>
        <v>0</v>
      </c>
      <c r="AA719">
        <f>IFERROR(VLOOKUP(C719,常规材料表!$1:$1048576,20,0),0)</f>
        <v>0</v>
      </c>
      <c r="AB719">
        <f>IFERROR(VLOOKUP(Z719,常规材料表!$1:$1048576,5,0),0)</f>
        <v>0</v>
      </c>
      <c r="AC719">
        <f t="shared" si="92"/>
        <v>0</v>
      </c>
      <c r="AD719">
        <f>IFERROR(VLOOKUP(Z719,常规材料表!$1:$1048576,3,0),0)</f>
        <v>0</v>
      </c>
      <c r="AE719">
        <f t="shared" si="93"/>
        <v>0</v>
      </c>
      <c r="AF719">
        <f>IFERROR(VLOOKUP(C719,常规材料表!$1:$1048576,21,0),0)</f>
        <v>0</v>
      </c>
      <c r="AG719">
        <f>IFERROR(VLOOKUP(C719,常规材料表!$1:$1048576,22,0),0)</f>
        <v>0</v>
      </c>
      <c r="AH719">
        <f>IFERROR(VLOOKUP(AF719,常规材料表!$1:$1048576,5,0),0)</f>
        <v>0</v>
      </c>
      <c r="AI719">
        <f t="shared" si="94"/>
        <v>0</v>
      </c>
      <c r="AJ719">
        <f>IFERROR(VLOOKUP(AF719,常规材料表!$1:$1048576,3,0),0)</f>
        <v>0</v>
      </c>
      <c r="AK719">
        <f t="shared" si="95"/>
        <v>0</v>
      </c>
      <c r="AQ719" s="110"/>
      <c r="BZ719" t="s">
        <v>646</v>
      </c>
      <c r="CA719" s="112"/>
      <c r="CE719" t="s">
        <v>204</v>
      </c>
      <c r="CG719" s="122"/>
      <c r="CV719" s="388"/>
    </row>
    <row r="720" spans="1:100" customFormat="1" ht="30" customHeight="1" outlineLevel="1">
      <c r="A720" s="112"/>
      <c r="B720" s="418"/>
      <c r="C720" s="418"/>
      <c r="D720" s="418">
        <f>IFERROR(IF(G720="预镀锌",VLOOKUP(C720,常规材料表!$1:$1048576,5,0),VLOOKUP(C720,常规材料表!$1:$1048576,10,0)),0)</f>
        <v>0</v>
      </c>
      <c r="E720" s="418">
        <f>IFERROR(IF(G720="喷塑",1,0)*VLOOKUP(C720,常规材料表!$1:$1048576,12,0)+IF(G720="热镀锌",1,0)*VLOOKUP(C720,常规材料表!$1:$1048576,13,0)+IF(G720="冷镀锌",1,0)*VLOOKUP(C720,常规材料表!$1:$1048576,15,0),0)</f>
        <v>0</v>
      </c>
      <c r="F720" s="418">
        <f>IFERROR(VLOOKUP(C720,常规材料表!$1:$1048576,11,0)/P720+0.4,0)</f>
        <v>0</v>
      </c>
      <c r="G720" s="418"/>
      <c r="H720" s="418">
        <f>IFERROR(P720*(D720+F720*1.13+E720+S720)/1.13*N720,0)</f>
        <v>0</v>
      </c>
      <c r="I720" s="418"/>
      <c r="J720" s="54"/>
      <c r="K720" s="54" t="s">
        <v>237</v>
      </c>
      <c r="L720" s="54"/>
      <c r="O720" s="255" t="s">
        <v>772</v>
      </c>
      <c r="P720" s="112">
        <f>IFERROR(VLOOKUP(C720,常规材料表!$1:$1048576,3,0),0)</f>
        <v>0</v>
      </c>
      <c r="Q720" s="112">
        <f>IFERROR(VLOOKUP(C720,常规材料表!$1:$1048576,4,0),0)</f>
        <v>0</v>
      </c>
      <c r="R720">
        <f t="shared" si="88"/>
        <v>0</v>
      </c>
      <c r="S720" t="e">
        <f t="shared" si="89"/>
        <v>#DIV/0!</v>
      </c>
      <c r="T720">
        <f>IFERROR(VLOOKUP(C720,常规材料表!$1:$1048576,17,0),0)</f>
        <v>0</v>
      </c>
      <c r="U720">
        <f>IFERROR(VLOOKUP(C720,常规材料表!$1:$1048576,18,0),0)</f>
        <v>0</v>
      </c>
      <c r="V720">
        <f>IFERROR(VLOOKUP(T720,常规材料表!$1:$1048576,5,0),0)</f>
        <v>0</v>
      </c>
      <c r="W720">
        <f t="shared" si="90"/>
        <v>0</v>
      </c>
      <c r="X720">
        <f>IFERROR(VLOOKUP(T720,常规材料表!$1:$1048576,3,0),0)</f>
        <v>0</v>
      </c>
      <c r="Y720">
        <f t="shared" si="91"/>
        <v>0</v>
      </c>
      <c r="Z720">
        <f>IFERROR(VLOOKUP(C720,常规材料表!$1:$1048576,19,0),0)</f>
        <v>0</v>
      </c>
      <c r="AA720">
        <f>IFERROR(VLOOKUP(C720,常规材料表!$1:$1048576,20,0),0)</f>
        <v>0</v>
      </c>
      <c r="AB720">
        <f>IFERROR(VLOOKUP(Z720,常规材料表!$1:$1048576,5,0),0)</f>
        <v>0</v>
      </c>
      <c r="AC720">
        <f t="shared" si="92"/>
        <v>0</v>
      </c>
      <c r="AD720">
        <f>IFERROR(VLOOKUP(Z720,常规材料表!$1:$1048576,3,0),0)</f>
        <v>0</v>
      </c>
      <c r="AE720">
        <f t="shared" si="93"/>
        <v>0</v>
      </c>
      <c r="AF720">
        <f>IFERROR(VLOOKUP(C720,常规材料表!$1:$1048576,21,0),0)</f>
        <v>0</v>
      </c>
      <c r="AG720">
        <f>IFERROR(VLOOKUP(C720,常规材料表!$1:$1048576,22,0),0)</f>
        <v>0</v>
      </c>
      <c r="AH720">
        <f>IFERROR(VLOOKUP(AF720,常规材料表!$1:$1048576,5,0),0)</f>
        <v>0</v>
      </c>
      <c r="AI720">
        <f t="shared" si="94"/>
        <v>0</v>
      </c>
      <c r="AJ720">
        <f>IFERROR(VLOOKUP(AF720,常规材料表!$1:$1048576,3,0),0)</f>
        <v>0</v>
      </c>
      <c r="AK720">
        <f t="shared" si="95"/>
        <v>0</v>
      </c>
      <c r="AQ720" s="110"/>
      <c r="BZ720" t="s">
        <v>646</v>
      </c>
      <c r="CA720" s="112"/>
      <c r="CE720" t="s">
        <v>204</v>
      </c>
      <c r="CG720" s="122"/>
      <c r="CV720" s="388"/>
    </row>
    <row r="721" spans="1:100" customFormat="1" ht="30" customHeight="1" outlineLevel="1">
      <c r="A721" s="112"/>
      <c r="B721" s="418"/>
      <c r="C721" s="418"/>
      <c r="D721" s="418">
        <f>IFERROR(VLOOKUP(C721,常规材料表!$1:$1048576,5,0),0)</f>
        <v>0</v>
      </c>
      <c r="E721" s="418">
        <f>IFERROR(IF(G721="喷塑",1,0)*VLOOKUP(C721,常规材料表!$1:$1048576,12,0)+IF(G721="热镀锌",1,0)*VLOOKUP(C721,常规材料表!$1:$1048576,13,0)+IF(G721="冷镀锌",1,0)*VLOOKUP(C721,常规材料表!$1:$1048576,15,0),0)</f>
        <v>0</v>
      </c>
      <c r="F721" s="418">
        <f>IFERROR(VLOOKUP(C721,常规材料表!$1:$1048576,11,0)/P721+0.4,0)</f>
        <v>0</v>
      </c>
      <c r="G721" s="418"/>
      <c r="H721" s="418">
        <f>IFERROR(P721*(D721+F721*1.13+E721+S721)/1.13*N721,0)</f>
        <v>0</v>
      </c>
      <c r="I721" s="418"/>
      <c r="J721" s="54"/>
      <c r="K721" s="54" t="s">
        <v>237</v>
      </c>
      <c r="L721" s="54"/>
      <c r="O721" s="255" t="s">
        <v>772</v>
      </c>
      <c r="P721" s="112">
        <f>IFERROR(VLOOKUP(C721,常规材料表!$1:$1048576,3,0),0)</f>
        <v>0</v>
      </c>
      <c r="Q721" s="112">
        <f>IFERROR(VLOOKUP(C721,常规材料表!$1:$1048576,4,0),0)</f>
        <v>0</v>
      </c>
      <c r="R721">
        <f t="shared" si="88"/>
        <v>0</v>
      </c>
      <c r="S721" t="e">
        <f t="shared" si="89"/>
        <v>#DIV/0!</v>
      </c>
      <c r="T721">
        <f>IFERROR(VLOOKUP(C721,常规材料表!$1:$1048576,17,0),0)</f>
        <v>0</v>
      </c>
      <c r="U721">
        <f>IFERROR(VLOOKUP(C721,常规材料表!$1:$1048576,18,0),0)</f>
        <v>0</v>
      </c>
      <c r="V721">
        <f>IFERROR(VLOOKUP(T721,常规材料表!$1:$1048576,5,0),0)</f>
        <v>0</v>
      </c>
      <c r="W721">
        <f t="shared" si="90"/>
        <v>0</v>
      </c>
      <c r="X721">
        <f>IFERROR(VLOOKUP(T721,常规材料表!$1:$1048576,3,0),0)</f>
        <v>0</v>
      </c>
      <c r="Y721">
        <f t="shared" si="91"/>
        <v>0</v>
      </c>
      <c r="Z721">
        <f>IFERROR(VLOOKUP(C721,常规材料表!$1:$1048576,19,0),0)</f>
        <v>0</v>
      </c>
      <c r="AA721">
        <f>IFERROR(VLOOKUP(C721,常规材料表!$1:$1048576,20,0),0)</f>
        <v>0</v>
      </c>
      <c r="AB721">
        <f>IFERROR(VLOOKUP(Z721,常规材料表!$1:$1048576,5,0),0)</f>
        <v>0</v>
      </c>
      <c r="AC721">
        <f t="shared" si="92"/>
        <v>0</v>
      </c>
      <c r="AD721">
        <f>IFERROR(VLOOKUP(Z721,常规材料表!$1:$1048576,3,0),0)</f>
        <v>0</v>
      </c>
      <c r="AE721">
        <f t="shared" si="93"/>
        <v>0</v>
      </c>
      <c r="AF721">
        <f>IFERROR(VLOOKUP(C721,常规材料表!$1:$1048576,21,0),0)</f>
        <v>0</v>
      </c>
      <c r="AG721">
        <f>IFERROR(VLOOKUP(C721,常规材料表!$1:$1048576,22,0),0)</f>
        <v>0</v>
      </c>
      <c r="AH721">
        <f>IFERROR(VLOOKUP(AF721,常规材料表!$1:$1048576,5,0),0)</f>
        <v>0</v>
      </c>
      <c r="AI721">
        <f t="shared" si="94"/>
        <v>0</v>
      </c>
      <c r="AJ721">
        <f>IFERROR(VLOOKUP(AF721,常规材料表!$1:$1048576,3,0),0)</f>
        <v>0</v>
      </c>
      <c r="AK721">
        <f t="shared" si="95"/>
        <v>0</v>
      </c>
      <c r="AQ721" s="110"/>
      <c r="BZ721" t="s">
        <v>646</v>
      </c>
      <c r="CA721" s="112"/>
      <c r="CE721" t="s">
        <v>204</v>
      </c>
      <c r="CG721" s="122"/>
      <c r="CV721" s="388"/>
    </row>
    <row r="722" spans="1:100" customFormat="1" ht="30" customHeight="1" outlineLevel="1">
      <c r="A722" s="112"/>
      <c r="B722" s="414">
        <v>0</v>
      </c>
      <c r="C722" s="418" t="s">
        <v>622</v>
      </c>
      <c r="D722" s="655">
        <v>0.3</v>
      </c>
      <c r="E722" s="418"/>
      <c r="F722" s="418"/>
      <c r="G722" s="418"/>
      <c r="H722" s="418"/>
      <c r="I722" s="418"/>
      <c r="J722" s="54"/>
      <c r="K722" s="54" t="s">
        <v>237</v>
      </c>
      <c r="L722" s="54"/>
      <c r="O722" s="255" t="s">
        <v>772</v>
      </c>
      <c r="AQ722" s="110"/>
      <c r="BZ722" t="s">
        <v>646</v>
      </c>
      <c r="CA722" s="112"/>
      <c r="CE722" t="s">
        <v>204</v>
      </c>
      <c r="CG722" s="122"/>
      <c r="CV722" s="388"/>
    </row>
    <row r="723" spans="1:100" s="376" customFormat="1" ht="30" customHeight="1">
      <c r="A723" s="472"/>
      <c r="B723" s="473"/>
      <c r="C723" s="473"/>
      <c r="D723" s="473"/>
      <c r="E723" s="474"/>
      <c r="F723" s="473"/>
      <c r="G723" s="473"/>
      <c r="H723" s="473"/>
      <c r="I723" s="473"/>
      <c r="J723" s="475"/>
      <c r="K723" s="475"/>
      <c r="L723" s="475"/>
      <c r="O723" s="255" t="s">
        <v>772</v>
      </c>
      <c r="AQ723" s="476"/>
      <c r="BZ723" t="s">
        <v>646</v>
      </c>
      <c r="CA723" s="112"/>
      <c r="CB723"/>
      <c r="CC723"/>
      <c r="CD723"/>
      <c r="CE723" t="s">
        <v>204</v>
      </c>
      <c r="CF723"/>
      <c r="CG723" s="122"/>
    </row>
    <row r="724" spans="1:100" customFormat="1">
      <c r="A724" s="112"/>
      <c r="B724" s="112"/>
      <c r="C724" s="112"/>
      <c r="D724" s="112"/>
      <c r="E724" s="245"/>
      <c r="F724" s="112"/>
      <c r="G724" s="112"/>
      <c r="H724" s="112"/>
      <c r="I724" s="112"/>
      <c r="O724" s="255"/>
    </row>
    <row r="725" spans="1:100" customFormat="1" ht="30" customHeight="1">
      <c r="A725" s="112" t="str">
        <f>IF($C$13=1,IF(K725="报价行",1," ")," ")</f>
        <v xml:space="preserve"> </v>
      </c>
      <c r="B725" s="414" t="str">
        <f>IF(A725=1,SUM($A$11:A725),"悬臂立柱")</f>
        <v>悬臂立柱</v>
      </c>
      <c r="C725" s="623" t="s">
        <v>312</v>
      </c>
      <c r="D725" s="645">
        <v>3100</v>
      </c>
      <c r="E725" s="665" t="str">
        <f>C726</f>
        <v>C300*90*3.0t</v>
      </c>
      <c r="F725" s="460">
        <v>5</v>
      </c>
      <c r="G725" s="419">
        <f>SUM(P726*N726,P727*N727)</f>
        <v>70.24494</v>
      </c>
      <c r="H725" s="419">
        <f>SUM(H726:H728)</f>
        <v>341.11292713274349</v>
      </c>
      <c r="I725" s="460" t="s">
        <v>292</v>
      </c>
      <c r="J725" s="54"/>
      <c r="K725" s="423" t="s">
        <v>217</v>
      </c>
      <c r="L725" s="54"/>
      <c r="M725" t="s">
        <v>608</v>
      </c>
      <c r="N725" t="s">
        <v>610</v>
      </c>
      <c r="O725" s="255" t="s">
        <v>784</v>
      </c>
      <c r="P725" t="s">
        <v>611</v>
      </c>
      <c r="Q725" t="s">
        <v>612</v>
      </c>
      <c r="R725" t="s">
        <v>613</v>
      </c>
      <c r="S725" t="s">
        <v>614</v>
      </c>
      <c r="T725" t="s">
        <v>615</v>
      </c>
      <c r="U725" t="str">
        <f>T725&amp;"数量"</f>
        <v>配件1数量</v>
      </c>
      <c r="V725" t="str">
        <f>T725&amp;"单价"</f>
        <v>配件1单价</v>
      </c>
      <c r="W725" t="str">
        <f>T725&amp;"总价"</f>
        <v>配件1总价</v>
      </c>
      <c r="X725" t="str">
        <f>T725&amp;"单重"</f>
        <v>配件1单重</v>
      </c>
      <c r="Y725" t="str">
        <f>T725&amp;"总重量"</f>
        <v>配件1总重量</v>
      </c>
      <c r="Z725" t="s">
        <v>616</v>
      </c>
      <c r="AA725" t="str">
        <f>Z725&amp;"数量"</f>
        <v>配件2数量</v>
      </c>
      <c r="AB725" t="str">
        <f>Z725&amp;"单价"</f>
        <v>配件2单价</v>
      </c>
      <c r="AC725" t="str">
        <f>Z725&amp;"总价"</f>
        <v>配件2总价</v>
      </c>
      <c r="AD725" t="str">
        <f>Z725&amp;"单重"</f>
        <v>配件2单重</v>
      </c>
      <c r="AE725" t="str">
        <f>Z725&amp;"总重量"</f>
        <v>配件2总重量</v>
      </c>
      <c r="AF725" t="s">
        <v>617</v>
      </c>
      <c r="AG725" t="str">
        <f>AF725&amp;"数量"</f>
        <v>配件3数量</v>
      </c>
      <c r="AH725" t="str">
        <f>AF725&amp;"单价"</f>
        <v>配件3单价</v>
      </c>
      <c r="AI725" t="str">
        <f>AF725&amp;"总价"</f>
        <v>配件3总价</v>
      </c>
      <c r="AJ725" t="str">
        <f>AF725&amp;"单重"</f>
        <v>配件3单重</v>
      </c>
      <c r="AK725" t="str">
        <f>AF725&amp;"总重量"</f>
        <v>配件3总重量</v>
      </c>
      <c r="AQ725" s="110"/>
      <c r="AX725" t="str">
        <f>E725</f>
        <v>C300*90*3.0t</v>
      </c>
      <c r="AY725" s="494">
        <f>D725</f>
        <v>3100</v>
      </c>
      <c r="AZ725">
        <f>F725</f>
        <v>5</v>
      </c>
      <c r="BA725" s="256">
        <f>G725</f>
        <v>70.24494</v>
      </c>
      <c r="BB725">
        <f>AZ725*BA725</f>
        <v>351.22469999999998</v>
      </c>
      <c r="BC725" s="495"/>
      <c r="BR725" t="str">
        <f>I725</f>
        <v>Blue Ral5015</v>
      </c>
      <c r="BZ725" t="s">
        <v>609</v>
      </c>
      <c r="CA725" s="112"/>
      <c r="CE725" t="s">
        <v>204</v>
      </c>
      <c r="CG725" s="122"/>
      <c r="CV725" s="388"/>
    </row>
    <row r="726" spans="1:100" customFormat="1" ht="30" customHeight="1" outlineLevel="1">
      <c r="A726" s="112"/>
      <c r="B726" s="418" t="s">
        <v>10</v>
      </c>
      <c r="C726" s="460" t="s">
        <v>773</v>
      </c>
      <c r="D726" s="418">
        <f>IFERROR(IF(G726="预镀锌",VLOOKUP(C726,常规材料表!$1:$1048576,5,0),VLOOKUP(C726,常规材料表!$1:$1048576,10,0)),0)</f>
        <v>3.47</v>
      </c>
      <c r="E726" s="418">
        <f>IFERROR(IF(G726="喷塑",1,0)*VLOOKUP(C726,常规材料表!$1:$1048576,12,0)+IF(G726="热镀锌",1,0)*VLOOKUP(C726,常规材料表!$1:$1048576,13,0)+IF(G726="冷镀锌",1,0)*VLOOKUP(C726,常规材料表!$1:$1048576,15,0),0)+S726</f>
        <v>0.95</v>
      </c>
      <c r="F726" s="418">
        <f>IFERROR(VLOOKUP(C726,常规材料表!$1:$1048576,11,0)/P726+D728,0)</f>
        <v>0.72805287309088418</v>
      </c>
      <c r="G726" s="514" t="s">
        <v>236</v>
      </c>
      <c r="H726" s="418">
        <f>P726*(D726+F726*1.13+E726+S726)/1.13*N726</f>
        <v>270.96870442477882</v>
      </c>
      <c r="I726" s="623">
        <f>F725*N726</f>
        <v>5</v>
      </c>
      <c r="J726" s="460">
        <v>12</v>
      </c>
      <c r="K726" s="54" t="s">
        <v>237</v>
      </c>
      <c r="L726" s="54"/>
      <c r="M726" s="418">
        <f>H725/G725</f>
        <v>4.8560498041957683</v>
      </c>
      <c r="N726">
        <f>J726/J726</f>
        <v>1</v>
      </c>
      <c r="O726" s="255" t="s">
        <v>784</v>
      </c>
      <c r="P726" s="112">
        <f>IFERROR(VLOOKUP(C726,常规材料表!$1:$1048576,3,0)*D725/1000,0)</f>
        <v>58.404000000000003</v>
      </c>
      <c r="Q726" s="112">
        <f>IFERROR(VLOOKUP(C726,常规材料表!$1:$1048576,4,0)*D725/1000,0)</f>
        <v>2.48</v>
      </c>
      <c r="R726">
        <f>W726+AC726+AI726</f>
        <v>0</v>
      </c>
      <c r="S726">
        <f>R726/P726</f>
        <v>0</v>
      </c>
      <c r="T726">
        <f>IFERROR(VLOOKUP(C726,常规材料表!$1:$1048576,17,0),0)</f>
        <v>0</v>
      </c>
      <c r="U726">
        <f>IFERROR(VLOOKUP(C726,常规材料表!$1:$1048576,18,0),0)</f>
        <v>0</v>
      </c>
      <c r="V726">
        <f>IFERROR(VLOOKUP(T726,常规材料表!$1:$1048576,5,0),0)</f>
        <v>0</v>
      </c>
      <c r="W726">
        <f>V726*U726</f>
        <v>0</v>
      </c>
      <c r="X726">
        <f>IFERROR(VLOOKUP(T726,常规材料表!$1:$1048576,3,0),0)</f>
        <v>0</v>
      </c>
      <c r="Y726">
        <f>X726*U726</f>
        <v>0</v>
      </c>
      <c r="Z726">
        <f>IFERROR(VLOOKUP(C726,常规材料表!$1:$1048576,19,0),0)</f>
        <v>0</v>
      </c>
      <c r="AA726">
        <f>IFERROR(VLOOKUP(C726,常规材料表!$1:$1048576,20,0),0)</f>
        <v>0</v>
      </c>
      <c r="AB726">
        <f>IFERROR(VLOOKUP(Z726,常规材料表!$1:$1048576,5,0),0)</f>
        <v>0</v>
      </c>
      <c r="AC726">
        <f>AB726*AA726</f>
        <v>0</v>
      </c>
      <c r="AD726">
        <f>IFERROR(VLOOKUP(Z726,常规材料表!$1:$1048576,3,0),0)</f>
        <v>0</v>
      </c>
      <c r="AE726">
        <f>AD726*AA726</f>
        <v>0</v>
      </c>
      <c r="AF726">
        <f>IFERROR(VLOOKUP(C726,常规材料表!$1:$1048576,21,0),0)</f>
        <v>0</v>
      </c>
      <c r="AG726">
        <f>IFERROR(VLOOKUP(C726,常规材料表!$1:$1048576,22,0),0)</f>
        <v>0</v>
      </c>
      <c r="AH726">
        <f>IFERROR(VLOOKUP(AF726,常规材料表!$1:$1048576,5,0),0)</f>
        <v>0</v>
      </c>
      <c r="AI726">
        <f>AH726*AG726</f>
        <v>0</v>
      </c>
      <c r="AJ726">
        <f>IFERROR(VLOOKUP(AF726,常规材料表!$1:$1048576,3,0),0)</f>
        <v>0</v>
      </c>
      <c r="AK726">
        <f>AJ726*AG726</f>
        <v>0</v>
      </c>
      <c r="AQ726" s="110"/>
      <c r="AX726" t="s">
        <v>156</v>
      </c>
      <c r="AY726" t="s">
        <v>246</v>
      </c>
      <c r="AZ726" t="s">
        <v>102</v>
      </c>
      <c r="BA726" t="s">
        <v>158</v>
      </c>
      <c r="BB726" t="s">
        <v>247</v>
      </c>
      <c r="BC726" t="s">
        <v>248</v>
      </c>
      <c r="BD726" t="s">
        <v>249</v>
      </c>
      <c r="BE726" t="s">
        <v>250</v>
      </c>
      <c r="BF726" t="s">
        <v>251</v>
      </c>
      <c r="BZ726" t="s">
        <v>609</v>
      </c>
      <c r="CA726" s="112"/>
      <c r="CE726" t="s">
        <v>204</v>
      </c>
      <c r="CG726" s="122"/>
      <c r="CV726" s="388"/>
    </row>
    <row r="727" spans="1:100" customFormat="1" ht="30" customHeight="1" outlineLevel="1">
      <c r="A727" s="112"/>
      <c r="B727" s="418" t="s">
        <v>620</v>
      </c>
      <c r="C727" s="460" t="s">
        <v>774</v>
      </c>
      <c r="D727" s="418">
        <f>IFERROR(IF(G727="预镀锌",VLOOKUP(C727,常规材料表!$1:$1048576,5,0),VLOOKUP(C727,常规材料表!$1:$1048576,10,0)),0)</f>
        <v>5.4049762941117896</v>
      </c>
      <c r="E727" s="418">
        <f>IFERROR(IF(G727="喷塑",1,0)*VLOOKUP(C727,常规材料表!$1:$1048576,12,0)+IF(G727="热镀锌",1,0)*VLOOKUP(C727,常规材料表!$1:$1048576,13,0)+IF(G727="冷镀锌",1,0)*VLOOKUP(C727,常规材料表!$1:$1048576,15,0),0)+S727</f>
        <v>0.95</v>
      </c>
      <c r="F727" s="418">
        <f>IFERROR(VLOOKUP(C727,常规材料表!$1:$1048576,11,0)/P727+D728,0)</f>
        <v>0.3</v>
      </c>
      <c r="G727" s="514" t="str">
        <f>G726</f>
        <v>喷塑</v>
      </c>
      <c r="H727" s="418">
        <f>P727*(D727+F727*1.13+E727+S727)/1.13*N727</f>
        <v>70.144222707964644</v>
      </c>
      <c r="I727" s="623">
        <f>F725*N727</f>
        <v>10</v>
      </c>
      <c r="J727" s="460">
        <v>24</v>
      </c>
      <c r="K727" s="54" t="s">
        <v>237</v>
      </c>
      <c r="L727" s="54"/>
      <c r="N727">
        <f>J727/J726</f>
        <v>2</v>
      </c>
      <c r="O727" s="255" t="s">
        <v>784</v>
      </c>
      <c r="P727" s="112">
        <f>IFERROR(VLOOKUP(C727,常规材料表!$1:$1048576,3,0),0)</f>
        <v>5.9204699999999999</v>
      </c>
      <c r="Q727" s="112">
        <f>IFERROR(VLOOKUP(C727,常规材料表!$1:$1048576,4,0),0)</f>
        <v>0.25140000000000001</v>
      </c>
      <c r="R727">
        <f>W727+AC727+AI727</f>
        <v>0</v>
      </c>
      <c r="S727">
        <f>R727/P727</f>
        <v>0</v>
      </c>
      <c r="T727">
        <f>IFERROR(VLOOKUP(C727,常规材料表!$1:$1048576,17,0),0)</f>
        <v>0</v>
      </c>
      <c r="U727">
        <f>IFERROR(VLOOKUP(C727,常规材料表!$1:$1048576,18,0),0)</f>
        <v>0</v>
      </c>
      <c r="V727">
        <f>IFERROR(VLOOKUP(T727,常规材料表!$1:$1048576,5,0),0)</f>
        <v>0</v>
      </c>
      <c r="W727">
        <f>V727*U727</f>
        <v>0</v>
      </c>
      <c r="X727">
        <f>IFERROR(VLOOKUP(T727,常规材料表!$1:$1048576,3,0),0)</f>
        <v>0</v>
      </c>
      <c r="Y727">
        <f>X727*U727</f>
        <v>0</v>
      </c>
      <c r="Z727">
        <f>IFERROR(VLOOKUP(C727,常规材料表!$1:$1048576,19,0),0)</f>
        <v>0</v>
      </c>
      <c r="AA727">
        <f>IFERROR(VLOOKUP(C727,常规材料表!$1:$1048576,20,0),0)</f>
        <v>0</v>
      </c>
      <c r="AB727">
        <f>IFERROR(VLOOKUP(Z727,常规材料表!$1:$1048576,5,0),0)</f>
        <v>0</v>
      </c>
      <c r="AC727">
        <f>AB727*AA727</f>
        <v>0</v>
      </c>
      <c r="AD727">
        <f>IFERROR(VLOOKUP(Z727,常规材料表!$1:$1048576,3,0),0)</f>
        <v>0</v>
      </c>
      <c r="AE727">
        <f>AD727*AA727</f>
        <v>0</v>
      </c>
      <c r="AF727">
        <f>IFERROR(VLOOKUP(C727,常规材料表!$1:$1048576,21,0),0)</f>
        <v>0</v>
      </c>
      <c r="AG727">
        <f>IFERROR(VLOOKUP(C727,常规材料表!$1:$1048576,22,0),0)</f>
        <v>0</v>
      </c>
      <c r="AH727">
        <f>IFERROR(VLOOKUP(AF727,常规材料表!$1:$1048576,5,0),0)</f>
        <v>0</v>
      </c>
      <c r="AI727">
        <f>AH727*AG727</f>
        <v>0</v>
      </c>
      <c r="AJ727">
        <f>IFERROR(VLOOKUP(AF727,常规材料表!$1:$1048576,3,0),0)</f>
        <v>0</v>
      </c>
      <c r="AK727">
        <f>AJ727*AG727</f>
        <v>0</v>
      </c>
      <c r="AQ727" s="110"/>
      <c r="BZ727" t="s">
        <v>609</v>
      </c>
      <c r="CA727" s="112"/>
      <c r="CE727" t="s">
        <v>204</v>
      </c>
      <c r="CG727" s="122"/>
      <c r="CV727" s="388"/>
    </row>
    <row r="728" spans="1:100" customFormat="1" ht="30" customHeight="1" outlineLevel="1">
      <c r="A728" s="112"/>
      <c r="B728" s="414">
        <v>0</v>
      </c>
      <c r="C728" s="418" t="s">
        <v>622</v>
      </c>
      <c r="D728" s="655">
        <v>0.3</v>
      </c>
      <c r="E728" s="564"/>
      <c r="F728" s="561"/>
      <c r="G728" s="418"/>
      <c r="H728" s="418"/>
      <c r="I728" s="418"/>
      <c r="J728" s="418" t="s">
        <v>623</v>
      </c>
      <c r="K728" s="54" t="s">
        <v>237</v>
      </c>
      <c r="L728" s="54"/>
      <c r="O728" s="255" t="s">
        <v>784</v>
      </c>
      <c r="AQ728" s="110"/>
      <c r="BZ728" t="s">
        <v>609</v>
      </c>
      <c r="CA728" s="112"/>
      <c r="CE728" t="s">
        <v>204</v>
      </c>
      <c r="CG728" s="122"/>
      <c r="CV728" s="388"/>
    </row>
    <row r="729" spans="1:100" s="376" customFormat="1" ht="30" customHeight="1">
      <c r="A729" s="472"/>
      <c r="B729" s="473"/>
      <c r="C729" s="473"/>
      <c r="D729" s="473"/>
      <c r="E729" s="474"/>
      <c r="F729" s="473"/>
      <c r="G729" s="473"/>
      <c r="H729" s="473"/>
      <c r="I729" s="473"/>
      <c r="J729" s="475"/>
      <c r="K729" s="475"/>
      <c r="L729" s="475"/>
      <c r="O729" s="255" t="s">
        <v>784</v>
      </c>
      <c r="AQ729" s="476"/>
      <c r="BZ729" t="s">
        <v>609</v>
      </c>
      <c r="CA729" s="112"/>
      <c r="CB729"/>
      <c r="CC729"/>
      <c r="CD729"/>
      <c r="CE729" t="s">
        <v>204</v>
      </c>
      <c r="CF729"/>
      <c r="CG729" s="122"/>
    </row>
    <row r="730" spans="1:100" customFormat="1" ht="30" customHeight="1">
      <c r="A730" s="112" t="str">
        <f>IF($C$13=1,IF(K730="报价行",1," ")," ")</f>
        <v xml:space="preserve"> </v>
      </c>
      <c r="B730" s="414" t="str">
        <f>IF(A730=1,SUM($A$11:A730),"悬臂单底座")</f>
        <v>悬臂单底座</v>
      </c>
      <c r="C730" s="623" t="s">
        <v>644</v>
      </c>
      <c r="D730" s="645">
        <v>2721</v>
      </c>
      <c r="E730" s="665" t="str">
        <f>C731</f>
        <v>B300*90*3.0t</v>
      </c>
      <c r="F730" s="460">
        <v>5</v>
      </c>
      <c r="G730" s="419">
        <f>SUM(P731*N731,P736*N736,N732*P732,N733*P733,N734*P734,N735*P735)</f>
        <v>67.933640000000025</v>
      </c>
      <c r="H730" s="419" t="e">
        <f>SUM(H731:H737)</f>
        <v>#DIV/0!</v>
      </c>
      <c r="I730" s="460" t="s">
        <v>292</v>
      </c>
      <c r="J730" s="418"/>
      <c r="K730" s="423" t="s">
        <v>217</v>
      </c>
      <c r="L730" s="54" t="s">
        <v>624</v>
      </c>
      <c r="M730" t="s">
        <v>608</v>
      </c>
      <c r="N730" t="s">
        <v>610</v>
      </c>
      <c r="O730" s="255" t="s">
        <v>784</v>
      </c>
      <c r="P730" t="s">
        <v>611</v>
      </c>
      <c r="Q730" t="s">
        <v>612</v>
      </c>
      <c r="R730" t="s">
        <v>613</v>
      </c>
      <c r="S730" t="s">
        <v>614</v>
      </c>
      <c r="T730" t="s">
        <v>615</v>
      </c>
      <c r="U730" t="str">
        <f>T730&amp;"数量"</f>
        <v>配件1数量</v>
      </c>
      <c r="V730" t="str">
        <f>T730&amp;"单价"</f>
        <v>配件1单价</v>
      </c>
      <c r="W730" t="str">
        <f>T730&amp;"总价"</f>
        <v>配件1总价</v>
      </c>
      <c r="X730" t="str">
        <f>T730&amp;"单重"</f>
        <v>配件1单重</v>
      </c>
      <c r="Y730" t="str">
        <f>T730&amp;"总重量"</f>
        <v>配件1总重量</v>
      </c>
      <c r="Z730" t="s">
        <v>616</v>
      </c>
      <c r="AA730" t="str">
        <f>Z730&amp;"数量"</f>
        <v>配件2数量</v>
      </c>
      <c r="AB730" t="str">
        <f>Z730&amp;"单价"</f>
        <v>配件2单价</v>
      </c>
      <c r="AC730" t="str">
        <f>Z730&amp;"总价"</f>
        <v>配件2总价</v>
      </c>
      <c r="AD730" t="str">
        <f>Z730&amp;"单重"</f>
        <v>配件2单重</v>
      </c>
      <c r="AE730" t="str">
        <f>Z730&amp;"总重量"</f>
        <v>配件2总重量</v>
      </c>
      <c r="AF730" t="s">
        <v>617</v>
      </c>
      <c r="AG730" t="str">
        <f>AF730&amp;"数量"</f>
        <v>配件3数量</v>
      </c>
      <c r="AH730" t="str">
        <f>AF730&amp;"单价"</f>
        <v>配件3单价</v>
      </c>
      <c r="AI730" t="str">
        <f>AF730&amp;"总价"</f>
        <v>配件3总价</v>
      </c>
      <c r="AJ730" t="str">
        <f>AF730&amp;"单重"</f>
        <v>配件3单重</v>
      </c>
      <c r="AK730" t="str">
        <f>AF730&amp;"总重量"</f>
        <v>配件3总重量</v>
      </c>
      <c r="AQ730" s="110"/>
      <c r="AX730" t="str">
        <f>E730</f>
        <v>B300*90*3.0t</v>
      </c>
      <c r="AY730" s="494">
        <f>D730</f>
        <v>2721</v>
      </c>
      <c r="AZ730">
        <f>F730</f>
        <v>5</v>
      </c>
      <c r="BA730" s="256">
        <f>G730</f>
        <v>67.933640000000025</v>
      </c>
      <c r="BB730">
        <f>AZ730*BA730</f>
        <v>339.66820000000013</v>
      </c>
      <c r="BC730" s="495"/>
      <c r="BR730" t="str">
        <f>I730</f>
        <v>Blue Ral5015</v>
      </c>
      <c r="BZ730" t="s">
        <v>626</v>
      </c>
      <c r="CA730" s="112"/>
      <c r="CE730" t="s">
        <v>204</v>
      </c>
      <c r="CG730" s="122"/>
      <c r="CV730" s="388"/>
    </row>
    <row r="731" spans="1:100" customFormat="1" ht="30" customHeight="1" outlineLevel="1">
      <c r="A731" s="112"/>
      <c r="B731" s="418" t="s">
        <v>628</v>
      </c>
      <c r="C731" s="460" t="s">
        <v>775</v>
      </c>
      <c r="D731" s="418">
        <f>IFERROR(IF(G731="预镀锌",VLOOKUP(C731,常规材料表!$1:$1048576,5,0),VLOOKUP(C731,常规材料表!$1:$1048576,10,0)),0)</f>
        <v>3.47</v>
      </c>
      <c r="E731" s="418">
        <f>IFERROR(IF(G731="喷塑",1,0)*VLOOKUP(C731,常规材料表!$1:$1048576,12,0)+IF(G731="热镀锌",1,0)*VLOOKUP(C731,常规材料表!$1:$1048576,13,0)+IF(G731="冷镀锌",1,0)*VLOOKUP(C731,常规材料表!$1:$1048576,15,0),0)</f>
        <v>0.95</v>
      </c>
      <c r="F731" s="418">
        <f>IFERROR(VLOOKUP(C731,常规材料表!$1:$1048576,11,0)/P731+D737,0)</f>
        <v>0.70281233907647045</v>
      </c>
      <c r="G731" s="514" t="s">
        <v>236</v>
      </c>
      <c r="H731" s="418">
        <f t="shared" ref="H731:H736" si="96">P731*(D731+F731*1.13+E731+S731)/1.13*N731</f>
        <v>328.85917058407091</v>
      </c>
      <c r="I731" s="623">
        <f>F730*N731</f>
        <v>5</v>
      </c>
      <c r="J731" s="651">
        <v>12</v>
      </c>
      <c r="K731" s="54" t="s">
        <v>237</v>
      </c>
      <c r="L731" s="460">
        <v>12</v>
      </c>
      <c r="M731" s="418" t="e">
        <f>H730/G730</f>
        <v>#DIV/0!</v>
      </c>
      <c r="N731">
        <f>J731/J731</f>
        <v>1</v>
      </c>
      <c r="O731" s="255" t="s">
        <v>784</v>
      </c>
      <c r="P731" s="112">
        <f>IFERROR(VLOOKUP(C731,常规材料表!$1:$1048576,3,0)*D730/1000+Y731+AE731,0)</f>
        <v>62.063640000000007</v>
      </c>
      <c r="Q731" s="112">
        <f>IFERROR(VLOOKUP(C731,常规材料表!$1:$1048576,4,0)*D730/1000,0)</f>
        <v>2.1768000000000001</v>
      </c>
      <c r="R731">
        <f>W731+AC731+AI731</f>
        <v>48</v>
      </c>
      <c r="S731">
        <f t="shared" ref="S731:S736" si="97">R731/P731</f>
        <v>0.77339969102682338</v>
      </c>
      <c r="T731" t="s">
        <v>630</v>
      </c>
      <c r="U731">
        <f>IFERROR(VLOOKUP(C731,常规材料表!$1:$1048576,18,0),0)</f>
        <v>12</v>
      </c>
      <c r="V731">
        <f>IFERROR(VLOOKUP(T731,常规材料表!$1:$1048576,5,0),0)*X731</f>
        <v>2</v>
      </c>
      <c r="W731">
        <f t="shared" ref="W731:W736" si="98">V731*U731</f>
        <v>24</v>
      </c>
      <c r="X731">
        <f>IFERROR(VLOOKUP(T731,常规材料表!$1:$1048576,3,0),0)</f>
        <v>0.4</v>
      </c>
      <c r="Y731">
        <f t="shared" ref="Y731:Y736" si="99">X731*U731</f>
        <v>4.8000000000000007</v>
      </c>
      <c r="Z731" t="s">
        <v>631</v>
      </c>
      <c r="AA731">
        <f>IFERROR(VLOOKUP(C731,常规材料表!$1:$1048576,20,0),0)</f>
        <v>24</v>
      </c>
      <c r="AB731">
        <f>IFERROR(VLOOKUP(Z731,常规材料表!$1:$1048576,5,0),0)*AD731</f>
        <v>1</v>
      </c>
      <c r="AC731">
        <f t="shared" ref="AC731:AC736" si="100">AB731*AA731</f>
        <v>24</v>
      </c>
      <c r="AD731">
        <f>IFERROR(VLOOKUP(Z731,常规材料表!$1:$1048576,3,0),0)</f>
        <v>0.25</v>
      </c>
      <c r="AE731">
        <f t="shared" ref="AE731:AE736" si="101">AD731*AA731</f>
        <v>6</v>
      </c>
      <c r="AF731">
        <f>IFERROR(VLOOKUP(C731,常规材料表!$1:$1048576,21,0),0)</f>
        <v>0</v>
      </c>
      <c r="AG731">
        <f>IFERROR(VLOOKUP(C731,常规材料表!$1:$1048576,22,0),0)</f>
        <v>0</v>
      </c>
      <c r="AH731">
        <f>IFERROR(VLOOKUP(AF731,常规材料表!$1:$1048576,5,0),0)</f>
        <v>0</v>
      </c>
      <c r="AI731">
        <f t="shared" ref="AI731:AI736" si="102">AH731*AG731</f>
        <v>0</v>
      </c>
      <c r="AJ731">
        <f>IFERROR(VLOOKUP(AF731,常规材料表!$1:$1048576,3,0),0)</f>
        <v>0</v>
      </c>
      <c r="AK731">
        <f t="shared" ref="AK731:AK736" si="103">AJ731*AG731</f>
        <v>0</v>
      </c>
      <c r="AQ731" s="110"/>
      <c r="AX731" t="s">
        <v>156</v>
      </c>
      <c r="AY731" t="s">
        <v>246</v>
      </c>
      <c r="AZ731" t="s">
        <v>102</v>
      </c>
      <c r="BA731" t="s">
        <v>158</v>
      </c>
      <c r="BB731" t="s">
        <v>247</v>
      </c>
      <c r="BC731" t="s">
        <v>248</v>
      </c>
      <c r="BD731" t="s">
        <v>249</v>
      </c>
      <c r="BE731" t="s">
        <v>250</v>
      </c>
      <c r="BF731" t="s">
        <v>251</v>
      </c>
      <c r="BZ731" t="s">
        <v>626</v>
      </c>
      <c r="CA731" s="112"/>
      <c r="CE731" t="s">
        <v>204</v>
      </c>
      <c r="CG731" s="122"/>
      <c r="CV731" s="388"/>
    </row>
    <row r="732" spans="1:100" customFormat="1" ht="30" customHeight="1" outlineLevel="1">
      <c r="A732" s="112"/>
      <c r="B732" s="418" t="s">
        <v>633</v>
      </c>
      <c r="C732" s="460" t="s">
        <v>776</v>
      </c>
      <c r="D732" s="418">
        <f>IFERROR(IF(G732="预镀锌",VLOOKUP(C732,常规材料表!$1:$1048576,5,0),VLOOKUP(C732,常规材料表!$1:$1048576,10,0)),0)</f>
        <v>4.93</v>
      </c>
      <c r="E732" s="418">
        <f>IFERROR(IF(G732="喷塑",1,0)*VLOOKUP(C732,常规材料表!$1:$1048576,12,0)+IF(G732="热镀锌",1,0)*VLOOKUP(C732,常规材料表!$1:$1048576,13,0)+IF(G732="冷镀锌",1,0)*VLOOKUP(C732,常规材料表!$1:$1048576,15,0),0)</f>
        <v>2.2000000000000002</v>
      </c>
      <c r="F732" s="418">
        <f>IFERROR(VLOOKUP(C732,常规材料表!$1:$1048576,11,0)/P732+D737,0)</f>
        <v>0.67532103352689177</v>
      </c>
      <c r="G732" s="514" t="s">
        <v>549</v>
      </c>
      <c r="H732" s="418">
        <f t="shared" si="96"/>
        <v>22.212476638827908</v>
      </c>
      <c r="I732" s="623">
        <f>F730*N732</f>
        <v>10</v>
      </c>
      <c r="J732" s="733">
        <v>24</v>
      </c>
      <c r="K732" s="54" t="s">
        <v>237</v>
      </c>
      <c r="L732" s="54"/>
      <c r="N732">
        <f>J732/J731</f>
        <v>2</v>
      </c>
      <c r="O732" s="255" t="s">
        <v>784</v>
      </c>
      <c r="P732" s="112">
        <v>1.59</v>
      </c>
      <c r="Q732" s="112">
        <f>IFERROR(VLOOKUP(C732,常规材料表!$1:$1048576,4,0),0)</f>
        <v>0</v>
      </c>
      <c r="R732">
        <f t="shared" ref="R732:R736" si="104">W732+AC732+AI732</f>
        <v>0</v>
      </c>
      <c r="S732">
        <f t="shared" si="97"/>
        <v>0</v>
      </c>
      <c r="T732">
        <f>IFERROR(VLOOKUP(C732,常规材料表!$1:$1048576,17,0),0)</f>
        <v>0</v>
      </c>
      <c r="U732">
        <f>IFERROR(VLOOKUP(C732,常规材料表!$1:$1048576,18,0),0)</f>
        <v>0</v>
      </c>
      <c r="V732">
        <f>IFERROR(VLOOKUP(T732,常规材料表!$1:$1048576,5,0),0)</f>
        <v>0</v>
      </c>
      <c r="W732">
        <f t="shared" si="98"/>
        <v>0</v>
      </c>
      <c r="X732">
        <f>IFERROR(VLOOKUP(T732,常规材料表!$1:$1048576,3,0),0)</f>
        <v>0</v>
      </c>
      <c r="Y732">
        <f t="shared" si="99"/>
        <v>0</v>
      </c>
      <c r="Z732">
        <f>IFERROR(VLOOKUP(C732,常规材料表!$1:$1048576,19,0),0)</f>
        <v>0</v>
      </c>
      <c r="AA732">
        <f>IFERROR(VLOOKUP(C732,常规材料表!$1:$1048576,20,0),0)</f>
        <v>0</v>
      </c>
      <c r="AB732">
        <f>IFERROR(VLOOKUP(Z732,常规材料表!$1:$1048576,5,0),0)</f>
        <v>0</v>
      </c>
      <c r="AC732">
        <f t="shared" si="100"/>
        <v>0</v>
      </c>
      <c r="AD732">
        <f>IFERROR(VLOOKUP(Z732,常规材料表!$1:$1048576,3,0),0)</f>
        <v>0</v>
      </c>
      <c r="AE732">
        <f t="shared" si="101"/>
        <v>0</v>
      </c>
      <c r="AF732">
        <f>IFERROR(VLOOKUP(C732,常规材料表!$1:$1048576,21,0),0)</f>
        <v>0</v>
      </c>
      <c r="AG732">
        <f>IFERROR(VLOOKUP(C732,常规材料表!$1:$1048576,22,0),0)</f>
        <v>0</v>
      </c>
      <c r="AH732">
        <f>IFERROR(VLOOKUP(AF732,常规材料表!$1:$1048576,5,0),0)</f>
        <v>0</v>
      </c>
      <c r="AI732">
        <f t="shared" si="102"/>
        <v>0</v>
      </c>
      <c r="AJ732">
        <f>IFERROR(VLOOKUP(AF732,常规材料表!$1:$1048576,3,0),0)</f>
        <v>0</v>
      </c>
      <c r="AK732">
        <f t="shared" si="103"/>
        <v>0</v>
      </c>
      <c r="AQ732" s="110"/>
      <c r="BZ732" t="s">
        <v>626</v>
      </c>
      <c r="CA732" s="112"/>
      <c r="CE732" t="s">
        <v>204</v>
      </c>
      <c r="CG732" s="122"/>
      <c r="CV732" s="388"/>
    </row>
    <row r="733" spans="1:100" customFormat="1" ht="30" customHeight="1" outlineLevel="1">
      <c r="A733" s="112"/>
      <c r="B733" s="418" t="s">
        <v>635</v>
      </c>
      <c r="C733" s="460" t="s">
        <v>777</v>
      </c>
      <c r="D733" s="418">
        <f>IFERROR(IF(G733="预镀锌",VLOOKUP(C733,常规材料表!$1:$1048576,5,0),VLOOKUP(C733,常规材料表!$1:$1048576,10,0)),0)</f>
        <v>8.9887640449438209</v>
      </c>
      <c r="E733" s="418">
        <f>IFERROR(IF(G733="喷塑",1,0)*VLOOKUP(C733,常规材料表!$1:$1048576,12,0)+IF(G733="热镀锌",1,0)*VLOOKUP(C733,常规材料表!$1:$1048576,13,0)+IF(G733="冷镀锌",1,0)*VLOOKUP(C733,常规材料表!$1:$1048576,15,0),0)</f>
        <v>0.95</v>
      </c>
      <c r="F733" s="418">
        <f>IFERROR(VLOOKUP(C733,常规材料表!$1:$1048576,11,0)/P733+D737,0)</f>
        <v>0.73809916503453254</v>
      </c>
      <c r="G733" s="514" t="str">
        <f>G731</f>
        <v>喷塑</v>
      </c>
      <c r="H733" s="418">
        <f t="shared" si="96"/>
        <v>20.782954956746547</v>
      </c>
      <c r="I733" s="623">
        <f>F730*N733</f>
        <v>5</v>
      </c>
      <c r="J733" s="733">
        <v>12</v>
      </c>
      <c r="K733" s="54" t="s">
        <v>237</v>
      </c>
      <c r="L733" s="54"/>
      <c r="N733">
        <f>J733/J731</f>
        <v>1</v>
      </c>
      <c r="O733" s="255" t="s">
        <v>784</v>
      </c>
      <c r="P733" s="112">
        <v>2.1800000000000002</v>
      </c>
      <c r="Q733" s="112">
        <f>IFERROR(VLOOKUP(C733,常规材料表!$1:$1048576,4,0),0)</f>
        <v>0.23</v>
      </c>
      <c r="R733">
        <f t="shared" si="104"/>
        <v>0</v>
      </c>
      <c r="S733">
        <f t="shared" si="97"/>
        <v>0</v>
      </c>
      <c r="T733">
        <f>IFERROR(VLOOKUP(C733,常规材料表!$1:$1048576,17,0),0)</f>
        <v>0</v>
      </c>
      <c r="U733">
        <f>IFERROR(VLOOKUP(C733,常规材料表!$1:$1048576,18,0),0)</f>
        <v>0</v>
      </c>
      <c r="V733">
        <f>IFERROR(VLOOKUP(T733,常规材料表!$1:$1048576,5,0),0)</f>
        <v>0</v>
      </c>
      <c r="W733">
        <f t="shared" si="98"/>
        <v>0</v>
      </c>
      <c r="X733">
        <f>IFERROR(VLOOKUP(T733,常规材料表!$1:$1048576,3,0),0)</f>
        <v>0</v>
      </c>
      <c r="Y733">
        <f t="shared" si="99"/>
        <v>0</v>
      </c>
      <c r="Z733">
        <f>IFERROR(VLOOKUP(C733,常规材料表!$1:$1048576,19,0),0)</f>
        <v>0</v>
      </c>
      <c r="AA733">
        <f>IFERROR(VLOOKUP(C733,常规材料表!$1:$1048576,20,0),0)</f>
        <v>0</v>
      </c>
      <c r="AB733">
        <f>IFERROR(VLOOKUP(Z733,常规材料表!$1:$1048576,5,0),0)</f>
        <v>0</v>
      </c>
      <c r="AC733">
        <f t="shared" si="100"/>
        <v>0</v>
      </c>
      <c r="AD733">
        <f>IFERROR(VLOOKUP(Z733,常规材料表!$1:$1048576,3,0),0)</f>
        <v>0</v>
      </c>
      <c r="AE733">
        <f t="shared" si="101"/>
        <v>0</v>
      </c>
      <c r="AF733">
        <f>IFERROR(VLOOKUP(C733,常规材料表!$1:$1048576,21,0),0)</f>
        <v>0</v>
      </c>
      <c r="AG733">
        <f>IFERROR(VLOOKUP(C733,常规材料表!$1:$1048576,22,0),0)</f>
        <v>0</v>
      </c>
      <c r="AH733">
        <f>IFERROR(VLOOKUP(AF733,常规材料表!$1:$1048576,5,0),0)</f>
        <v>0</v>
      </c>
      <c r="AI733">
        <f t="shared" si="102"/>
        <v>0</v>
      </c>
      <c r="AJ733">
        <f>IFERROR(VLOOKUP(AF733,常规材料表!$1:$1048576,3,0),0)</f>
        <v>0</v>
      </c>
      <c r="AK733">
        <f t="shared" si="103"/>
        <v>0</v>
      </c>
      <c r="AQ733" s="110"/>
      <c r="BZ733" t="s">
        <v>626</v>
      </c>
      <c r="CA733" s="112"/>
      <c r="CE733" t="s">
        <v>204</v>
      </c>
      <c r="CG733" s="122"/>
      <c r="CV733" s="388"/>
    </row>
    <row r="734" spans="1:100" customFormat="1" ht="30" customHeight="1" outlineLevel="1">
      <c r="A734" s="112"/>
      <c r="B734" s="418" t="s">
        <v>637</v>
      </c>
      <c r="C734" s="460" t="s">
        <v>638</v>
      </c>
      <c r="D734" s="418">
        <f>IFERROR(VLOOKUP(C734,常规材料表!$1:$1048576,5,0),0)</f>
        <v>7.9411764705882399</v>
      </c>
      <c r="E734" s="418">
        <f>IFERROR(IF(G734="喷塑",1,0)*VLOOKUP(C734,常规材料表!$1:$1048576,12,0)+IF(G734="热镀锌",1,0)*VLOOKUP(C734,常规材料表!$1:$1048576,13,0)+IF(G734="冷镀锌",1,0)*VLOOKUP(C734,常规材料表!$1:$1048576,15,0),0)</f>
        <v>0</v>
      </c>
      <c r="F734" s="418">
        <f>IFERROR(VLOOKUP(C734,常规材料表!$1:$1048576,11,0)/P734+D737,0)</f>
        <v>0.3</v>
      </c>
      <c r="G734" s="514" t="str">
        <f>G731</f>
        <v>喷塑</v>
      </c>
      <c r="H734" s="418">
        <f t="shared" si="96"/>
        <v>3.7370707964601797</v>
      </c>
      <c r="I734" s="623">
        <f>F730*N734</f>
        <v>15</v>
      </c>
      <c r="J734" s="733">
        <f>J732+J733</f>
        <v>36</v>
      </c>
      <c r="K734" s="54" t="s">
        <v>237</v>
      </c>
      <c r="L734" s="54"/>
      <c r="N734">
        <f>J734/J731</f>
        <v>3</v>
      </c>
      <c r="O734" s="255" t="s">
        <v>784</v>
      </c>
      <c r="P734" s="112">
        <f>IFERROR(VLOOKUP(C734,常规材料表!$1:$1048576,3,0),0)</f>
        <v>0.17</v>
      </c>
      <c r="Q734" s="112">
        <f>IFERROR(VLOOKUP(C734,常规材料表!$1:$1048576,4,0),0)</f>
        <v>0</v>
      </c>
      <c r="R734">
        <f t="shared" si="104"/>
        <v>0</v>
      </c>
      <c r="S734">
        <f t="shared" si="97"/>
        <v>0</v>
      </c>
      <c r="T734">
        <f>IFERROR(VLOOKUP(C734,常规材料表!$1:$1048576,17,0),0)</f>
        <v>0</v>
      </c>
      <c r="U734">
        <f>IFERROR(VLOOKUP(C734,常规材料表!$1:$1048576,18,0),0)</f>
        <v>0</v>
      </c>
      <c r="V734">
        <f>IFERROR(VLOOKUP(T734,常规材料表!$1:$1048576,5,0),0)</f>
        <v>0</v>
      </c>
      <c r="W734">
        <f t="shared" si="98"/>
        <v>0</v>
      </c>
      <c r="X734">
        <f>IFERROR(VLOOKUP(T734,常规材料表!$1:$1048576,3,0),0)</f>
        <v>0</v>
      </c>
      <c r="Y734">
        <f t="shared" si="99"/>
        <v>0</v>
      </c>
      <c r="Z734">
        <f>IFERROR(VLOOKUP(C734,常规材料表!$1:$1048576,19,0),0)</f>
        <v>0</v>
      </c>
      <c r="AA734">
        <f>IFERROR(VLOOKUP(C734,常规材料表!$1:$1048576,20,0),0)</f>
        <v>0</v>
      </c>
      <c r="AB734">
        <f>IFERROR(VLOOKUP(Z734,常规材料表!$1:$1048576,5,0),0)</f>
        <v>0</v>
      </c>
      <c r="AC734">
        <f t="shared" si="100"/>
        <v>0</v>
      </c>
      <c r="AD734">
        <f>IFERROR(VLOOKUP(Z734,常规材料表!$1:$1048576,3,0),0)</f>
        <v>0</v>
      </c>
      <c r="AE734">
        <f t="shared" si="101"/>
        <v>0</v>
      </c>
      <c r="AF734">
        <f>IFERROR(VLOOKUP(C734,常规材料表!$1:$1048576,21,0),0)</f>
        <v>0</v>
      </c>
      <c r="AG734">
        <f>IFERROR(VLOOKUP(C734,常规材料表!$1:$1048576,22,0),0)</f>
        <v>0</v>
      </c>
      <c r="AH734">
        <f>IFERROR(VLOOKUP(AF734,常规材料表!$1:$1048576,5,0),0)</f>
        <v>0</v>
      </c>
      <c r="AI734">
        <f t="shared" si="102"/>
        <v>0</v>
      </c>
      <c r="AJ734">
        <f>IFERROR(VLOOKUP(AF734,常规材料表!$1:$1048576,3,0),0)</f>
        <v>0</v>
      </c>
      <c r="AK734">
        <f t="shared" si="103"/>
        <v>0</v>
      </c>
      <c r="AQ734" s="110"/>
      <c r="BZ734" t="s">
        <v>626</v>
      </c>
      <c r="CA734" s="112"/>
      <c r="CE734" t="s">
        <v>204</v>
      </c>
      <c r="CG734" s="122"/>
      <c r="CV734" s="388"/>
    </row>
    <row r="735" spans="1:100" customFormat="1" ht="30" customHeight="1" outlineLevel="1">
      <c r="A735" s="112"/>
      <c r="B735" s="418" t="s">
        <v>639</v>
      </c>
      <c r="C735" s="460" t="s">
        <v>778</v>
      </c>
      <c r="D735" s="418">
        <f>IFERROR(VLOOKUP(C735,常规材料表!$1:$1048576,5,0),0)</f>
        <v>0</v>
      </c>
      <c r="E735" s="418">
        <f>IFERROR(IF(G735="喷塑",1,0)*VLOOKUP(C735,常规材料表!$1:$1048576,12,0)+IF(G735="热镀锌",1,0)*VLOOKUP(C735,常规材料表!$1:$1048576,13,0)+IF(G735="冷镀锌",1,0)*VLOOKUP(C735,常规材料表!$1:$1048576,15,0),0)</f>
        <v>0</v>
      </c>
      <c r="F735" s="418">
        <f>IFERROR(VLOOKUP(C735,常规材料表!$1:$1048576,11,0)/P735+D737,0)</f>
        <v>0</v>
      </c>
      <c r="G735" s="514" t="str">
        <f>G731</f>
        <v>喷塑</v>
      </c>
      <c r="H735" s="418" t="e">
        <f t="shared" si="96"/>
        <v>#DIV/0!</v>
      </c>
      <c r="I735" s="623">
        <f>F730*N735</f>
        <v>15</v>
      </c>
      <c r="J735" s="733">
        <f>J734</f>
        <v>36</v>
      </c>
      <c r="K735" s="54" t="s">
        <v>237</v>
      </c>
      <c r="L735" s="54"/>
      <c r="N735">
        <f>J735/J731</f>
        <v>3</v>
      </c>
      <c r="O735" s="255" t="s">
        <v>784</v>
      </c>
      <c r="P735" s="112">
        <f>IFERROR(VLOOKUP(C735,常规材料表!$1:$1048576,3,0),0)</f>
        <v>0</v>
      </c>
      <c r="Q735" s="112">
        <f>IFERROR(VLOOKUP(C735,常规材料表!$1:$1048576,4,0),0)</f>
        <v>0</v>
      </c>
      <c r="R735">
        <f t="shared" si="104"/>
        <v>0</v>
      </c>
      <c r="S735" t="e">
        <f t="shared" si="97"/>
        <v>#DIV/0!</v>
      </c>
      <c r="T735">
        <f>IFERROR(VLOOKUP(C735,常规材料表!$1:$1048576,17,0),0)</f>
        <v>0</v>
      </c>
      <c r="U735">
        <f>IFERROR(VLOOKUP(C735,常规材料表!$1:$1048576,18,0),0)</f>
        <v>0</v>
      </c>
      <c r="V735">
        <f>IFERROR(VLOOKUP(T735,常规材料表!$1:$1048576,5,0),0)</f>
        <v>0</v>
      </c>
      <c r="W735">
        <f t="shared" si="98"/>
        <v>0</v>
      </c>
      <c r="X735">
        <f>IFERROR(VLOOKUP(T735,常规材料表!$1:$1048576,3,0),0)</f>
        <v>0</v>
      </c>
      <c r="Y735">
        <f t="shared" si="99"/>
        <v>0</v>
      </c>
      <c r="Z735">
        <f>IFERROR(VLOOKUP(C735,常规材料表!$1:$1048576,19,0),0)</f>
        <v>0</v>
      </c>
      <c r="AA735">
        <f>IFERROR(VLOOKUP(C735,常规材料表!$1:$1048576,20,0),0)</f>
        <v>0</v>
      </c>
      <c r="AB735">
        <f>IFERROR(VLOOKUP(Z735,常规材料表!$1:$1048576,5,0),0)</f>
        <v>0</v>
      </c>
      <c r="AC735">
        <f t="shared" si="100"/>
        <v>0</v>
      </c>
      <c r="AD735">
        <f>IFERROR(VLOOKUP(Z735,常规材料表!$1:$1048576,3,0),0)</f>
        <v>0</v>
      </c>
      <c r="AE735">
        <f t="shared" si="101"/>
        <v>0</v>
      </c>
      <c r="AF735">
        <f>IFERROR(VLOOKUP(C735,常规材料表!$1:$1048576,21,0),0)</f>
        <v>0</v>
      </c>
      <c r="AG735">
        <f>IFERROR(VLOOKUP(C735,常规材料表!$1:$1048576,22,0),0)</f>
        <v>0</v>
      </c>
      <c r="AH735">
        <f>IFERROR(VLOOKUP(AF735,常规材料表!$1:$1048576,5,0),0)</f>
        <v>0</v>
      </c>
      <c r="AI735">
        <f t="shared" si="102"/>
        <v>0</v>
      </c>
      <c r="AJ735">
        <f>IFERROR(VLOOKUP(AF735,常规材料表!$1:$1048576,3,0),0)</f>
        <v>0</v>
      </c>
      <c r="AK735">
        <f t="shared" si="103"/>
        <v>0</v>
      </c>
      <c r="AQ735" s="110"/>
      <c r="BZ735" t="s">
        <v>626</v>
      </c>
      <c r="CA735" s="112"/>
      <c r="CE735" t="s">
        <v>204</v>
      </c>
      <c r="CG735" s="122"/>
      <c r="CV735" s="388"/>
    </row>
    <row r="736" spans="1:100" customFormat="1" ht="30" customHeight="1" outlineLevel="1">
      <c r="A736" s="112"/>
      <c r="B736" s="418" t="s">
        <v>641</v>
      </c>
      <c r="C736" s="460" t="s">
        <v>779</v>
      </c>
      <c r="D736" s="418">
        <f>IFERROR(VLOOKUP(C736,常规材料表!$1:$1048576,5,0),0)</f>
        <v>0</v>
      </c>
      <c r="E736" s="418">
        <f>IFERROR(IF(G736="喷塑",1,0)*VLOOKUP(C736,常规材料表!$1:$1048576,12,0)+IF(G736="热镀锌",1,0)*VLOOKUP(C736,常规材料表!$1:$1048576,13,0)+IF(G736="冷镀锌",1,0)*VLOOKUP(C736,常规材料表!$1:$1048576,15,0),0)</f>
        <v>0</v>
      </c>
      <c r="F736" s="418">
        <f>IFERROR(VLOOKUP(C736,常规材料表!$1:$1048576,11,0)/P736+D737,0)</f>
        <v>0</v>
      </c>
      <c r="G736" s="514" t="str">
        <f>G731</f>
        <v>喷塑</v>
      </c>
      <c r="H736" s="418" t="e">
        <f t="shared" si="96"/>
        <v>#DIV/0!</v>
      </c>
      <c r="I736" s="623">
        <f>F730*N736</f>
        <v>15</v>
      </c>
      <c r="J736" s="733">
        <f>J734</f>
        <v>36</v>
      </c>
      <c r="K736" s="54" t="s">
        <v>237</v>
      </c>
      <c r="L736" s="54"/>
      <c r="N736">
        <f>J736/J731</f>
        <v>3</v>
      </c>
      <c r="O736" s="255" t="s">
        <v>784</v>
      </c>
      <c r="P736" s="112">
        <f>IFERROR(VLOOKUP(C736,常规材料表!$1:$1048576,3,0),0)</f>
        <v>0</v>
      </c>
      <c r="Q736" s="112">
        <f>IFERROR(VLOOKUP(C736,常规材料表!$1:$1048576,4,0),0)</f>
        <v>0</v>
      </c>
      <c r="R736">
        <f t="shared" si="104"/>
        <v>0</v>
      </c>
      <c r="S736" t="e">
        <f t="shared" si="97"/>
        <v>#DIV/0!</v>
      </c>
      <c r="T736">
        <f>IFERROR(VLOOKUP(C736,常规材料表!$1:$1048576,17,0),0)</f>
        <v>0</v>
      </c>
      <c r="U736">
        <f>IFERROR(VLOOKUP(C736,常规材料表!$1:$1048576,18,0),0)</f>
        <v>0</v>
      </c>
      <c r="V736">
        <f>IFERROR(VLOOKUP(T736,常规材料表!$1:$1048576,5,0),0)</f>
        <v>0</v>
      </c>
      <c r="W736">
        <f t="shared" si="98"/>
        <v>0</v>
      </c>
      <c r="X736">
        <f>IFERROR(VLOOKUP(T736,常规材料表!$1:$1048576,3,0),0)</f>
        <v>0</v>
      </c>
      <c r="Y736">
        <f t="shared" si="99"/>
        <v>0</v>
      </c>
      <c r="Z736">
        <f>IFERROR(VLOOKUP(C736,常规材料表!$1:$1048576,19,0),0)</f>
        <v>0</v>
      </c>
      <c r="AA736">
        <f>IFERROR(VLOOKUP(C736,常规材料表!$1:$1048576,20,0),0)</f>
        <v>0</v>
      </c>
      <c r="AB736">
        <f>IFERROR(VLOOKUP(Z736,常规材料表!$1:$1048576,5,0),0)</f>
        <v>0</v>
      </c>
      <c r="AC736">
        <f t="shared" si="100"/>
        <v>0</v>
      </c>
      <c r="AD736">
        <f>IFERROR(VLOOKUP(Z736,常规材料表!$1:$1048576,3,0),0)</f>
        <v>0</v>
      </c>
      <c r="AE736">
        <f t="shared" si="101"/>
        <v>0</v>
      </c>
      <c r="AF736">
        <f>IFERROR(VLOOKUP(C736,常规材料表!$1:$1048576,21,0),0)</f>
        <v>0</v>
      </c>
      <c r="AG736">
        <f>IFERROR(VLOOKUP(C736,常规材料表!$1:$1048576,22,0),0)</f>
        <v>0</v>
      </c>
      <c r="AH736">
        <f>IFERROR(VLOOKUP(AF736,常规材料表!$1:$1048576,5,0),0)</f>
        <v>0</v>
      </c>
      <c r="AI736">
        <f t="shared" si="102"/>
        <v>0</v>
      </c>
      <c r="AJ736">
        <f>IFERROR(VLOOKUP(AF736,常规材料表!$1:$1048576,3,0),0)</f>
        <v>0</v>
      </c>
      <c r="AK736">
        <f t="shared" si="103"/>
        <v>0</v>
      </c>
      <c r="AQ736" s="110"/>
      <c r="BZ736" t="s">
        <v>626</v>
      </c>
      <c r="CA736" s="112"/>
      <c r="CE736" t="s">
        <v>204</v>
      </c>
      <c r="CG736" s="122"/>
      <c r="CV736" s="388"/>
    </row>
    <row r="737" spans="1:100" customFormat="1" ht="30" customHeight="1" outlineLevel="1">
      <c r="A737" s="112"/>
      <c r="B737" s="414">
        <v>0</v>
      </c>
      <c r="C737" s="418" t="s">
        <v>622</v>
      </c>
      <c r="D737" s="655">
        <v>0.3</v>
      </c>
      <c r="E737" s="564"/>
      <c r="F737" s="561"/>
      <c r="G737" s="418"/>
      <c r="H737" s="418"/>
      <c r="I737" s="418" t="s">
        <v>102</v>
      </c>
      <c r="J737" s="418" t="s">
        <v>623</v>
      </c>
      <c r="K737" s="54" t="s">
        <v>237</v>
      </c>
      <c r="L737" s="54"/>
      <c r="O737" s="255" t="s">
        <v>784</v>
      </c>
      <c r="AQ737" s="110"/>
      <c r="BZ737" t="s">
        <v>626</v>
      </c>
      <c r="CA737" s="112"/>
      <c r="CE737" t="s">
        <v>204</v>
      </c>
      <c r="CG737" s="122"/>
      <c r="CV737" s="388"/>
    </row>
    <row r="738" spans="1:100" s="376" customFormat="1" ht="30" customHeight="1">
      <c r="A738" s="472"/>
      <c r="B738" s="473"/>
      <c r="C738" s="473"/>
      <c r="D738" s="473"/>
      <c r="E738" s="474"/>
      <c r="F738" s="473"/>
      <c r="G738" s="473"/>
      <c r="H738" s="473"/>
      <c r="I738" s="473"/>
      <c r="J738" s="475"/>
      <c r="K738" s="475"/>
      <c r="L738" s="475"/>
      <c r="O738" s="255" t="s">
        <v>784</v>
      </c>
      <c r="AQ738" s="476"/>
      <c r="BZ738" t="s">
        <v>626</v>
      </c>
      <c r="CA738" s="112"/>
      <c r="CB738"/>
      <c r="CC738"/>
      <c r="CD738"/>
      <c r="CE738" t="s">
        <v>204</v>
      </c>
      <c r="CF738"/>
      <c r="CG738" s="122"/>
    </row>
    <row r="739" spans="1:100" customFormat="1" ht="30" customHeight="1">
      <c r="A739" s="112" t="str">
        <f>IF($C$13=1,IF(K739="报价行",1," ")," ")</f>
        <v xml:space="preserve"> </v>
      </c>
      <c r="B739" s="414" t="str">
        <f>IF(A739=1,SUM($A$11:A739),"悬臂-臂")</f>
        <v>悬臂-臂</v>
      </c>
      <c r="C739" s="623" t="s">
        <v>647</v>
      </c>
      <c r="D739" s="645">
        <v>1200</v>
      </c>
      <c r="E739" s="665" t="str">
        <f>C740</f>
        <v>Mb120/50*W94*3t/25*15</v>
      </c>
      <c r="F739" s="460">
        <v>30</v>
      </c>
      <c r="G739" s="419">
        <f>SUM(P740*N740,P745*N745,N741*P741,N742*P742,N743*P743,N744*P744)</f>
        <v>4.1940293999999998</v>
      </c>
      <c r="H739" s="419" t="e">
        <f>SUM(H740:H746)</f>
        <v>#DIV/0!</v>
      </c>
      <c r="I739" s="460" t="s">
        <v>341</v>
      </c>
      <c r="J739" s="54"/>
      <c r="K739" s="423" t="s">
        <v>217</v>
      </c>
      <c r="L739" s="54"/>
      <c r="M739" t="s">
        <v>608</v>
      </c>
      <c r="N739" t="s">
        <v>610</v>
      </c>
      <c r="O739" s="255" t="s">
        <v>784</v>
      </c>
      <c r="P739" t="s">
        <v>611</v>
      </c>
      <c r="Q739" t="s">
        <v>612</v>
      </c>
      <c r="R739" t="s">
        <v>613</v>
      </c>
      <c r="S739" t="s">
        <v>614</v>
      </c>
      <c r="T739" t="s">
        <v>615</v>
      </c>
      <c r="U739" t="str">
        <f>T739&amp;"数量"</f>
        <v>配件1数量</v>
      </c>
      <c r="V739" t="str">
        <f>T739&amp;"单价"</f>
        <v>配件1单价</v>
      </c>
      <c r="W739" t="str">
        <f>T739&amp;"总价"</f>
        <v>配件1总价</v>
      </c>
      <c r="X739" t="str">
        <f>T739&amp;"单重"</f>
        <v>配件1单重</v>
      </c>
      <c r="Y739" t="str">
        <f>T739&amp;"总重量"</f>
        <v>配件1总重量</v>
      </c>
      <c r="Z739" t="s">
        <v>616</v>
      </c>
      <c r="AA739" t="str">
        <f>Z739&amp;"数量"</f>
        <v>配件2数量</v>
      </c>
      <c r="AB739" t="str">
        <f>Z739&amp;"单价"</f>
        <v>配件2单价</v>
      </c>
      <c r="AC739" t="str">
        <f>Z739&amp;"总价"</f>
        <v>配件2总价</v>
      </c>
      <c r="AD739" t="str">
        <f>Z739&amp;"单重"</f>
        <v>配件2单重</v>
      </c>
      <c r="AE739" t="str">
        <f>Z739&amp;"总重量"</f>
        <v>配件2总重量</v>
      </c>
      <c r="AF739" t="s">
        <v>617</v>
      </c>
      <c r="AG739" t="str">
        <f>AF739&amp;"数量"</f>
        <v>配件3数量</v>
      </c>
      <c r="AH739" t="str">
        <f>AF739&amp;"单价"</f>
        <v>配件3单价</v>
      </c>
      <c r="AI739" t="str">
        <f>AF739&amp;"总价"</f>
        <v>配件3总价</v>
      </c>
      <c r="AJ739" t="str">
        <f>AF739&amp;"单重"</f>
        <v>配件3单重</v>
      </c>
      <c r="AK739" t="str">
        <f>AF739&amp;"总重量"</f>
        <v>配件3总重量</v>
      </c>
      <c r="AQ739" s="110"/>
      <c r="AX739" t="str">
        <f>E739</f>
        <v>Mb120/50*W94*3t/25*15</v>
      </c>
      <c r="AY739" s="494">
        <f>D739</f>
        <v>1200</v>
      </c>
      <c r="AZ739">
        <f>F739</f>
        <v>30</v>
      </c>
      <c r="BA739" s="256">
        <f>G739</f>
        <v>4.1940293999999998</v>
      </c>
      <c r="BB739">
        <f>AZ739*BA739</f>
        <v>125.820882</v>
      </c>
      <c r="BC739" s="495"/>
      <c r="BR739" t="str">
        <f>I739</f>
        <v>Orange Ral2004</v>
      </c>
      <c r="BZ739" t="s">
        <v>646</v>
      </c>
      <c r="CA739" s="112"/>
      <c r="CE739" t="s">
        <v>204</v>
      </c>
      <c r="CG739" s="122"/>
      <c r="CV739" s="388"/>
    </row>
    <row r="740" spans="1:100" customFormat="1" ht="30" customHeight="1" outlineLevel="1">
      <c r="A740" s="112"/>
      <c r="B740" s="418" t="s">
        <v>648</v>
      </c>
      <c r="C740" s="460" t="s">
        <v>780</v>
      </c>
      <c r="D740" s="418">
        <f>IFERROR(IF(G740="预镀锌",VLOOKUP(C740,常规材料表!$1:$1048576,5,0),VLOOKUP(C740,常规材料表!$1:$1048576,10,0)),0)</f>
        <v>0</v>
      </c>
      <c r="E740" s="418">
        <f>IFERROR(IF(G740="喷塑",1,0)*VLOOKUP(C740,常规材料表!$1:$1048576,12,0)+IF(G740="热镀锌",1,0)*VLOOKUP(C740,常规材料表!$1:$1048576,13,0)+IF(G740="冷镀锌",1,0)*VLOOKUP(C740,常规材料表!$1:$1048576,15,0),0)</f>
        <v>0</v>
      </c>
      <c r="F740" s="418">
        <f>IFERROR(VLOOKUP(C740,常规材料表!$1:$1048576,11,0)/P740+D746,0)</f>
        <v>0</v>
      </c>
      <c r="G740" s="514" t="s">
        <v>236</v>
      </c>
      <c r="H740" s="418" t="e">
        <f t="shared" ref="H740:H745" si="105">P740*(D740+F740*1.13+E740+S740)/1.13*N740</f>
        <v>#DIV/0!</v>
      </c>
      <c r="I740" s="623">
        <f>F739*N740</f>
        <v>30</v>
      </c>
      <c r="J740" s="651">
        <v>84</v>
      </c>
      <c r="K740" s="54" t="s">
        <v>237</v>
      </c>
      <c r="L740" s="54"/>
      <c r="M740" s="418" t="e">
        <f>H739/G739</f>
        <v>#DIV/0!</v>
      </c>
      <c r="N740">
        <f>J740/J740</f>
        <v>1</v>
      </c>
      <c r="O740" s="255" t="s">
        <v>784</v>
      </c>
      <c r="P740" s="112">
        <f>IFERROR(VLOOKUP(C740,常规材料表!$1:$1048576,3,0)*(D739+12)/1000,0)</f>
        <v>0</v>
      </c>
      <c r="Q740" s="112">
        <f>IFERROR(VLOOKUP(C740,常规材料表!$1:$1048576,4,0)*D739/1000,0)</f>
        <v>0</v>
      </c>
      <c r="R740">
        <f t="shared" ref="R740:R745" si="106">W740+AC740+AI740</f>
        <v>0</v>
      </c>
      <c r="S740" t="e">
        <f t="shared" ref="S740:S745" si="107">R740/P740</f>
        <v>#DIV/0!</v>
      </c>
      <c r="T740">
        <f>IFERROR(VLOOKUP(C740,常规材料表!$1:$1048576,17,0),0)</f>
        <v>0</v>
      </c>
      <c r="U740">
        <f>IFERROR(VLOOKUP(C740,常规材料表!$1:$1048576,18,0),0)</f>
        <v>0</v>
      </c>
      <c r="V740">
        <f>IFERROR(VLOOKUP(T740,常规材料表!$1:$1048576,5,0),0)*X740</f>
        <v>0</v>
      </c>
      <c r="W740">
        <f t="shared" ref="W740:W745" si="108">V740*U740</f>
        <v>0</v>
      </c>
      <c r="X740">
        <f>IFERROR(VLOOKUP(T740,常规材料表!$1:$1048576,3,0),0)</f>
        <v>0</v>
      </c>
      <c r="Y740">
        <f t="shared" ref="Y740:Y745" si="109">X740*U740</f>
        <v>0</v>
      </c>
      <c r="Z740">
        <f>IFERROR(VLOOKUP(C740,常规材料表!$1:$1048576,19,0),0)</f>
        <v>0</v>
      </c>
      <c r="AA740">
        <f>IFERROR(VLOOKUP(C740,常规材料表!$1:$1048576,20,0),0)</f>
        <v>0</v>
      </c>
      <c r="AB740">
        <f>IFERROR(VLOOKUP(Z740,常规材料表!$1:$1048576,5,0),0)*AD740</f>
        <v>0</v>
      </c>
      <c r="AC740">
        <f t="shared" ref="AC740:AC745" si="110">AB740*AA740</f>
        <v>0</v>
      </c>
      <c r="AD740">
        <f>IFERROR(VLOOKUP(Z740,常规材料表!$1:$1048576,3,0),0)</f>
        <v>0</v>
      </c>
      <c r="AE740">
        <f t="shared" ref="AE740:AE745" si="111">AD740*AA740</f>
        <v>0</v>
      </c>
      <c r="AF740">
        <f>IFERROR(VLOOKUP(C740,常规材料表!$1:$1048576,21,0),0)</f>
        <v>0</v>
      </c>
      <c r="AG740">
        <f>IFERROR(VLOOKUP(C740,常规材料表!$1:$1048576,22,0),0)</f>
        <v>0</v>
      </c>
      <c r="AH740">
        <f>IFERROR(VLOOKUP(AF740,常规材料表!$1:$1048576,5,0),0)*AJ740</f>
        <v>0</v>
      </c>
      <c r="AI740">
        <f t="shared" ref="AI740:AI745" si="112">AH740*AG740</f>
        <v>0</v>
      </c>
      <c r="AJ740">
        <f>IFERROR(VLOOKUP(AF740,常规材料表!$1:$1048576,3,0),0)</f>
        <v>0</v>
      </c>
      <c r="AK740">
        <f t="shared" ref="AK740:AK745" si="113">AJ740*AG740</f>
        <v>0</v>
      </c>
      <c r="AQ740" s="110"/>
      <c r="AX740" t="s">
        <v>156</v>
      </c>
      <c r="AY740" t="s">
        <v>246</v>
      </c>
      <c r="AZ740" t="s">
        <v>102</v>
      </c>
      <c r="BA740" t="s">
        <v>158</v>
      </c>
      <c r="BB740" t="s">
        <v>247</v>
      </c>
      <c r="BC740" t="s">
        <v>248</v>
      </c>
      <c r="BD740" t="s">
        <v>249</v>
      </c>
      <c r="BE740" t="s">
        <v>250</v>
      </c>
      <c r="BF740" t="s">
        <v>251</v>
      </c>
      <c r="BZ740" t="s">
        <v>646</v>
      </c>
      <c r="CA740" s="112"/>
      <c r="CE740" t="s">
        <v>204</v>
      </c>
      <c r="CG740" s="122"/>
      <c r="CV740" s="388"/>
    </row>
    <row r="741" spans="1:100" customFormat="1" ht="30" customHeight="1" outlineLevel="1">
      <c r="A741" s="112"/>
      <c r="B741" s="418" t="s">
        <v>362</v>
      </c>
      <c r="C741" s="460" t="s">
        <v>744</v>
      </c>
      <c r="D741" s="418">
        <f>IFERROR(IF(G741="预镀锌",VLOOKUP(C741,常规材料表!$1:$1048576,5,0),VLOOKUP(C741,常规材料表!$1:$1048576,10,0)),0)</f>
        <v>6.6889632107023402</v>
      </c>
      <c r="E741" s="418">
        <f>IFERROR(IF(G741="喷塑",1,0)*VLOOKUP(C741,常规材料表!$1:$1048576,12,0)+IF(G741="热镀锌",1,0)*VLOOKUP(C741,常规材料表!$1:$1048576,13,0)+IF(G741="冷镀锌",1,0)*VLOOKUP(C741,常规材料表!$1:$1048576,15,0),0)</f>
        <v>0.95</v>
      </c>
      <c r="F741" s="418">
        <f>IFERROR(VLOOKUP(C741,常规材料表!$1:$1048576,11,0)/P741+D746,0)</f>
        <v>0.3</v>
      </c>
      <c r="G741" s="514" t="str">
        <f>G740</f>
        <v>喷塑</v>
      </c>
      <c r="H741" s="418">
        <f t="shared" si="105"/>
        <v>27.630076786929884</v>
      </c>
      <c r="I741" s="623">
        <f>F739*N741</f>
        <v>30</v>
      </c>
      <c r="J741" s="651">
        <v>84</v>
      </c>
      <c r="K741" s="54" t="s">
        <v>237</v>
      </c>
      <c r="L741" s="54"/>
      <c r="N741">
        <f>J741/J740</f>
        <v>1</v>
      </c>
      <c r="O741" s="255" t="s">
        <v>784</v>
      </c>
      <c r="P741" s="112">
        <f>IFERROR(VLOOKUP(C741,常规材料表!$1:$1048576,3,0)+Y741+AE741,0)</f>
        <v>3.4039999999999999</v>
      </c>
      <c r="Q741" s="112">
        <f>IFERROR(VLOOKUP(C741,常规材料表!$1:$1048576,4,0),0)</f>
        <v>0.152</v>
      </c>
      <c r="R741">
        <f t="shared" si="106"/>
        <v>4.0650000000000004</v>
      </c>
      <c r="S741">
        <f t="shared" si="107"/>
        <v>1.1941833137485314</v>
      </c>
      <c r="T741" t="str">
        <f>IFERROR(VLOOKUP(C741,常规材料表!$1:$1048576,17,0),0)</f>
        <v>ø20*120  8.8G</v>
      </c>
      <c r="U741">
        <f>IFERROR(VLOOKUP(C741,常规材料表!$1:$1048576,18,0),0)</f>
        <v>1</v>
      </c>
      <c r="V741">
        <f>IFERROR(VLOOKUP(T741,常规材料表!$1:$1048576,5,0),0)*X741</f>
        <v>3.85</v>
      </c>
      <c r="W741">
        <f t="shared" si="108"/>
        <v>3.85</v>
      </c>
      <c r="X741">
        <f>IFERROR(VLOOKUP(T741,常规材料表!$1:$1048576,3,0),0)</f>
        <v>0.4</v>
      </c>
      <c r="Y741">
        <f t="shared" si="109"/>
        <v>0.4</v>
      </c>
      <c r="Z741" t="str">
        <f>IFERROR(VLOOKUP(C741,常规材料表!$1:$1048576,19,0),0)</f>
        <v>ø3.5*76</v>
      </c>
      <c r="AA741">
        <f>IFERROR(VLOOKUP(C741,常规材料表!$1:$1048576,20,0),0)</f>
        <v>1</v>
      </c>
      <c r="AB741">
        <f>IFERROR(VLOOKUP(Z741,常规材料表!$1:$1048576,5,0),0)*AD741</f>
        <v>0.21500000000000061</v>
      </c>
      <c r="AC741">
        <f t="shared" si="110"/>
        <v>0.21500000000000061</v>
      </c>
      <c r="AD741">
        <f>IFERROR(VLOOKUP(Z741,常规材料表!$1:$1048576,3,0),0)</f>
        <v>1.4E-2</v>
      </c>
      <c r="AE741">
        <f t="shared" si="111"/>
        <v>1.4E-2</v>
      </c>
      <c r="AF741">
        <f>IFERROR(VLOOKUP(C741,常规材料表!$1:$1048576,21,0),0)</f>
        <v>0</v>
      </c>
      <c r="AG741">
        <f>IFERROR(VLOOKUP(C741,常规材料表!$1:$1048576,22,0),0)</f>
        <v>0</v>
      </c>
      <c r="AH741">
        <f>IFERROR(VLOOKUP(AF741,常规材料表!$1:$1048576,5,0),0)*AJ741</f>
        <v>0</v>
      </c>
      <c r="AI741">
        <f t="shared" si="112"/>
        <v>0</v>
      </c>
      <c r="AJ741">
        <f>IFERROR(VLOOKUP(AF741,常规材料表!$1:$1048576,3,0),0)</f>
        <v>0</v>
      </c>
      <c r="AK741">
        <f t="shared" si="113"/>
        <v>0</v>
      </c>
      <c r="AQ741" s="110"/>
      <c r="BZ741" t="s">
        <v>646</v>
      </c>
      <c r="CA741" s="112"/>
      <c r="CE741" t="s">
        <v>204</v>
      </c>
      <c r="CG741" s="122"/>
      <c r="CV741" s="388"/>
    </row>
    <row r="742" spans="1:100" customFormat="1" ht="30" customHeight="1" outlineLevel="1">
      <c r="A742" s="112"/>
      <c r="B742" s="418" t="s">
        <v>652</v>
      </c>
      <c r="C742" s="460" t="s">
        <v>745</v>
      </c>
      <c r="D742" s="418">
        <f>IFERROR(IF(G742="预镀锌",VLOOKUP(C742,常规材料表!$1:$1048576,5,0),VLOOKUP(C742,常规材料表!$1:$1048576,10,0)),0)</f>
        <v>6.5</v>
      </c>
      <c r="E742" s="418">
        <f>IFERROR(IF(G742="喷塑",1,0)*VLOOKUP(C742,常规材料表!$1:$1048576,12,0)+IF(G742="热镀锌",1,0)*VLOOKUP(C742,常规材料表!$1:$1048576,13,0)+IF(G742="冷镀锌",1,0)*VLOOKUP(C742,常规材料表!$1:$1048576,15,0),0)</f>
        <v>0.95</v>
      </c>
      <c r="F742" s="418">
        <f>IFERROR(VLOOKUP(C742,常规材料表!$1:$1048576,11,0)/P742+D746,0)</f>
        <v>0.3</v>
      </c>
      <c r="G742" s="514" t="str">
        <f>G740</f>
        <v>喷塑</v>
      </c>
      <c r="H742" s="418">
        <f t="shared" si="105"/>
        <v>2.1173017915929209</v>
      </c>
      <c r="I742" s="623">
        <f>F739*N742</f>
        <v>30</v>
      </c>
      <c r="J742" s="651">
        <v>84</v>
      </c>
      <c r="K742" s="54" t="s">
        <v>237</v>
      </c>
      <c r="L742" s="54"/>
      <c r="N742">
        <f>J742/J740</f>
        <v>1</v>
      </c>
      <c r="O742" s="255" t="s">
        <v>784</v>
      </c>
      <c r="P742" s="112">
        <f>IFERROR(VLOOKUP(C742,常规材料表!$1:$1048576,3,0),0)</f>
        <v>0.30717050000000001</v>
      </c>
      <c r="Q742" s="112">
        <f>IFERROR(VLOOKUP(C742,常规材料表!$1:$1048576,4,0),0)</f>
        <v>0</v>
      </c>
      <c r="R742">
        <f t="shared" si="106"/>
        <v>0</v>
      </c>
      <c r="S742">
        <f t="shared" si="107"/>
        <v>0</v>
      </c>
      <c r="T742">
        <f>IFERROR(VLOOKUP(C742,常规材料表!$1:$1048576,17,0),0)</f>
        <v>0</v>
      </c>
      <c r="U742">
        <f>IFERROR(VLOOKUP(C742,常规材料表!$1:$1048576,18,0),0)</f>
        <v>0</v>
      </c>
      <c r="V742">
        <f>IFERROR(VLOOKUP(T742,常规材料表!$1:$1048576,5,0),0)*X742</f>
        <v>0</v>
      </c>
      <c r="W742">
        <f t="shared" si="108"/>
        <v>0</v>
      </c>
      <c r="X742">
        <f>IFERROR(VLOOKUP(T742,常规材料表!$1:$1048576,3,0),0)</f>
        <v>0</v>
      </c>
      <c r="Y742">
        <f t="shared" si="109"/>
        <v>0</v>
      </c>
      <c r="Z742">
        <f>IFERROR(VLOOKUP(C742,常规材料表!$1:$1048576,19,0),0)</f>
        <v>0</v>
      </c>
      <c r="AA742">
        <f>IFERROR(VLOOKUP(C742,常规材料表!$1:$1048576,20,0),0)</f>
        <v>0</v>
      </c>
      <c r="AB742">
        <f>IFERROR(VLOOKUP(Z742,常规材料表!$1:$1048576,5,0),0)*AD742</f>
        <v>0</v>
      </c>
      <c r="AC742">
        <f t="shared" si="110"/>
        <v>0</v>
      </c>
      <c r="AD742">
        <f>IFERROR(VLOOKUP(Z742,常规材料表!$1:$1048576,3,0),0)</f>
        <v>0</v>
      </c>
      <c r="AE742">
        <f t="shared" si="111"/>
        <v>0</v>
      </c>
      <c r="AF742">
        <f>IFERROR(VLOOKUP(C742,常规材料表!$1:$1048576,21,0),0)</f>
        <v>0</v>
      </c>
      <c r="AG742">
        <f>IFERROR(VLOOKUP(C742,常规材料表!$1:$1048576,22,0),0)</f>
        <v>0</v>
      </c>
      <c r="AH742">
        <f>IFERROR(VLOOKUP(AF742,常规材料表!$1:$1048576,5,0),0)*AJ742</f>
        <v>0</v>
      </c>
      <c r="AI742">
        <f t="shared" si="112"/>
        <v>0</v>
      </c>
      <c r="AJ742">
        <f>IFERROR(VLOOKUP(AF742,常规材料表!$1:$1048576,3,0),0)</f>
        <v>0</v>
      </c>
      <c r="AK742">
        <f t="shared" si="113"/>
        <v>0</v>
      </c>
      <c r="AQ742" s="110"/>
      <c r="BZ742" t="s">
        <v>646</v>
      </c>
      <c r="CA742" s="112"/>
      <c r="CE742" t="s">
        <v>204</v>
      </c>
      <c r="CG742" s="122"/>
      <c r="CV742" s="388"/>
    </row>
    <row r="743" spans="1:100" customFormat="1" ht="30" customHeight="1" outlineLevel="1">
      <c r="A743" s="112"/>
      <c r="B743" s="418" t="s">
        <v>654</v>
      </c>
      <c r="C743" s="460" t="s">
        <v>746</v>
      </c>
      <c r="D743" s="418">
        <f>IFERROR(IF(G743="预镀锌",VLOOKUP(C743,常规材料表!$1:$1048576,5,0),VLOOKUP(C743,常规材料表!$1:$1048576,10,0)),0)</f>
        <v>6.5</v>
      </c>
      <c r="E743" s="418">
        <f>IFERROR(IF(G743="喷塑",1,0)*VLOOKUP(C743,常规材料表!$1:$1048576,12,0)+IF(G743="热镀锌",1,0)*VLOOKUP(C743,常规材料表!$1:$1048576,13,0)+IF(G743="冷镀锌",1,0)*VLOOKUP(C743,常规材料表!$1:$1048576,15,0),0)</f>
        <v>0.95</v>
      </c>
      <c r="F743" s="418">
        <f>IFERROR(VLOOKUP(C743,常规材料表!$1:$1048576,11,0)/P743+D746,0)</f>
        <v>0.3</v>
      </c>
      <c r="G743" s="514" t="str">
        <f>G740</f>
        <v>喷塑</v>
      </c>
      <c r="H743" s="418">
        <f t="shared" si="105"/>
        <v>1.5775061700000004</v>
      </c>
      <c r="I743" s="623">
        <f>F739*N743</f>
        <v>30</v>
      </c>
      <c r="J743" s="651">
        <v>84</v>
      </c>
      <c r="K743" s="54" t="s">
        <v>237</v>
      </c>
      <c r="L743" s="54"/>
      <c r="N743">
        <f>J743/J740</f>
        <v>1</v>
      </c>
      <c r="O743" s="255" t="s">
        <v>784</v>
      </c>
      <c r="P743" s="112">
        <f>IFERROR(VLOOKUP(C743,常规材料表!$1:$1048576,3,0),0)</f>
        <v>0.2288589</v>
      </c>
      <c r="Q743" s="112">
        <f>IFERROR(VLOOKUP(C743,常规材料表!$1:$1048576,4,0),0)</f>
        <v>9.4599999999999997E-3</v>
      </c>
      <c r="R743">
        <f t="shared" si="106"/>
        <v>0</v>
      </c>
      <c r="S743">
        <f t="shared" si="107"/>
        <v>0</v>
      </c>
      <c r="T743">
        <f>IFERROR(VLOOKUP(C743,常规材料表!$1:$1048576,17,0),0)</f>
        <v>0</v>
      </c>
      <c r="U743">
        <f>IFERROR(VLOOKUP(C743,常规材料表!$1:$1048576,18,0),0)</f>
        <v>0</v>
      </c>
      <c r="V743">
        <f>IFERROR(VLOOKUP(T743,常规材料表!$1:$1048576,5,0),0)*X743</f>
        <v>0</v>
      </c>
      <c r="W743">
        <f t="shared" si="108"/>
        <v>0</v>
      </c>
      <c r="X743">
        <f>IFERROR(VLOOKUP(T743,常规材料表!$1:$1048576,3,0),0)</f>
        <v>0</v>
      </c>
      <c r="Y743">
        <f t="shared" si="109"/>
        <v>0</v>
      </c>
      <c r="Z743">
        <f>IFERROR(VLOOKUP(C743,常规材料表!$1:$1048576,19,0),0)</f>
        <v>0</v>
      </c>
      <c r="AA743">
        <f>IFERROR(VLOOKUP(C743,常规材料表!$1:$1048576,20,0),0)</f>
        <v>0</v>
      </c>
      <c r="AB743">
        <f>IFERROR(VLOOKUP(Z743,常规材料表!$1:$1048576,5,0),0)*AD743</f>
        <v>0</v>
      </c>
      <c r="AC743">
        <f t="shared" si="110"/>
        <v>0</v>
      </c>
      <c r="AD743">
        <f>IFERROR(VLOOKUP(Z743,常规材料表!$1:$1048576,3,0),0)</f>
        <v>0</v>
      </c>
      <c r="AE743">
        <f t="shared" si="111"/>
        <v>0</v>
      </c>
      <c r="AF743">
        <f>IFERROR(VLOOKUP(C743,常规材料表!$1:$1048576,21,0),0)</f>
        <v>0</v>
      </c>
      <c r="AG743">
        <f>IFERROR(VLOOKUP(C743,常规材料表!$1:$1048576,22,0),0)</f>
        <v>0</v>
      </c>
      <c r="AH743">
        <f>IFERROR(VLOOKUP(AF743,常规材料表!$1:$1048576,5,0),0)*AJ743</f>
        <v>0</v>
      </c>
      <c r="AI743">
        <f t="shared" si="112"/>
        <v>0</v>
      </c>
      <c r="AJ743">
        <f>IFERROR(VLOOKUP(AF743,常规材料表!$1:$1048576,3,0),0)</f>
        <v>0</v>
      </c>
      <c r="AK743">
        <f t="shared" si="113"/>
        <v>0</v>
      </c>
      <c r="AQ743" s="110"/>
      <c r="BZ743" t="s">
        <v>646</v>
      </c>
      <c r="CA743" s="112"/>
      <c r="CE743" t="s">
        <v>204</v>
      </c>
      <c r="CG743" s="122"/>
      <c r="CV743" s="388"/>
    </row>
    <row r="744" spans="1:100" customFormat="1" ht="30" customHeight="1" outlineLevel="1">
      <c r="A744" s="112"/>
      <c r="B744" s="418" t="s">
        <v>656</v>
      </c>
      <c r="C744" s="460" t="s">
        <v>747</v>
      </c>
      <c r="D744" s="418">
        <f>IFERROR(IF(G744="预镀锌",VLOOKUP(C744,常规材料表!$1:$1048576,5,0),VLOOKUP(C744,常规材料表!$1:$1048576,10,0)),0)</f>
        <v>8.25</v>
      </c>
      <c r="E744" s="418">
        <f>IFERROR(IF(G744="喷塑",1,0)*VLOOKUP(C744,常规材料表!$1:$1048576,12,0)+IF(G744="热镀锌",1,0)*VLOOKUP(C744,常规材料表!$1:$1048576,13,0)+IF(G744="冷镀锌",1,0)*VLOOKUP(C744,常规材料表!$1:$1048576,15,0),0)</f>
        <v>0.95</v>
      </c>
      <c r="F744" s="418">
        <f>IFERROR(VLOOKUP(C744,常规材料表!$1:$1048576,11,0)/P744+D746,0)</f>
        <v>27.005122042407724</v>
      </c>
      <c r="G744" s="514" t="str">
        <f>G740</f>
        <v>喷塑</v>
      </c>
      <c r="H744" s="418">
        <f t="shared" si="105"/>
        <v>8.329771446174524</v>
      </c>
      <c r="I744" s="623">
        <f>F739*N744</f>
        <v>30</v>
      </c>
      <c r="J744" s="460">
        <f>J742</f>
        <v>84</v>
      </c>
      <c r="K744" s="54" t="s">
        <v>237</v>
      </c>
      <c r="L744" s="54"/>
      <c r="N744">
        <f>J744/J740</f>
        <v>1</v>
      </c>
      <c r="O744" s="255" t="s">
        <v>784</v>
      </c>
      <c r="P744" s="112">
        <f>IFERROR(VLOOKUP(C744,常规材料表!$1:$1048576,3,0),0)</f>
        <v>0.23699999999999999</v>
      </c>
      <c r="Q744" s="112">
        <f>IFERROR(VLOOKUP(C744,常规材料表!$1:$1048576,4,0),0)</f>
        <v>0</v>
      </c>
      <c r="R744">
        <f t="shared" si="106"/>
        <v>0</v>
      </c>
      <c r="S744">
        <f t="shared" si="107"/>
        <v>0</v>
      </c>
      <c r="T744">
        <f>IFERROR(VLOOKUP(C744,常规材料表!$1:$1048576,17,0),0)</f>
        <v>0</v>
      </c>
      <c r="U744">
        <f>IFERROR(VLOOKUP(C744,常规材料表!$1:$1048576,18,0),0)</f>
        <v>0</v>
      </c>
      <c r="V744">
        <f>IFERROR(VLOOKUP(T744,常规材料表!$1:$1048576,5,0),0)*X744</f>
        <v>0</v>
      </c>
      <c r="W744">
        <f t="shared" si="108"/>
        <v>0</v>
      </c>
      <c r="X744">
        <f>IFERROR(VLOOKUP(T744,常规材料表!$1:$1048576,3,0),0)</f>
        <v>0</v>
      </c>
      <c r="Y744">
        <f t="shared" si="109"/>
        <v>0</v>
      </c>
      <c r="Z744">
        <f>IFERROR(VLOOKUP(C744,常规材料表!$1:$1048576,19,0),0)</f>
        <v>0</v>
      </c>
      <c r="AA744">
        <f>IFERROR(VLOOKUP(C744,常规材料表!$1:$1048576,20,0),0)</f>
        <v>0</v>
      </c>
      <c r="AB744">
        <f>IFERROR(VLOOKUP(Z744,常规材料表!$1:$1048576,5,0),0)*AD744</f>
        <v>0</v>
      </c>
      <c r="AC744">
        <f t="shared" si="110"/>
        <v>0</v>
      </c>
      <c r="AD744">
        <f>IFERROR(VLOOKUP(Z744,常规材料表!$1:$1048576,3,0),0)</f>
        <v>0</v>
      </c>
      <c r="AE744">
        <f t="shared" si="111"/>
        <v>0</v>
      </c>
      <c r="AF744">
        <f>IFERROR(VLOOKUP(C744,常规材料表!$1:$1048576,21,0),0)</f>
        <v>0</v>
      </c>
      <c r="AG744">
        <f>IFERROR(VLOOKUP(C744,常规材料表!$1:$1048576,22,0),0)</f>
        <v>0</v>
      </c>
      <c r="AH744">
        <f>IFERROR(VLOOKUP(AF744,常规材料表!$1:$1048576,5,0),0)*AJ744</f>
        <v>0</v>
      </c>
      <c r="AI744">
        <f t="shared" si="112"/>
        <v>0</v>
      </c>
      <c r="AJ744">
        <f>IFERROR(VLOOKUP(AF744,常规材料表!$1:$1048576,3,0),0)</f>
        <v>0</v>
      </c>
      <c r="AK744">
        <f t="shared" si="113"/>
        <v>0</v>
      </c>
      <c r="AQ744" s="110"/>
      <c r="BZ744" t="s">
        <v>646</v>
      </c>
      <c r="CA744" s="112"/>
      <c r="CE744" t="s">
        <v>204</v>
      </c>
      <c r="CG744" s="122"/>
      <c r="CV744" s="388"/>
    </row>
    <row r="745" spans="1:100" customFormat="1" ht="30" customHeight="1" outlineLevel="1">
      <c r="A745" s="112"/>
      <c r="B745" s="418" t="s">
        <v>658</v>
      </c>
      <c r="C745" s="460" t="s">
        <v>748</v>
      </c>
      <c r="D745" s="418">
        <f>IFERROR(VLOOKUP(C745,常规材料表!$1:$1048576,5,0),0)</f>
        <v>11.764705882352899</v>
      </c>
      <c r="E745" s="418">
        <f>IFERROR(IF(G745="喷塑",1,0)*VLOOKUP(C745,常规材料表!$1:$1048576,12,0)+IF(G745="热镀锌",1,0)*VLOOKUP(C745,常规材料表!$1:$1048576,13,0)+IF(G745="冷镀锌",1,0)*VLOOKUP(C745,常规材料表!$1:$1048576,15,0),0)</f>
        <v>0</v>
      </c>
      <c r="F745" s="418">
        <f>IFERROR(VLOOKUP(C745,常规材料表!$1:$1048576,11,0)/P745+D746,0)</f>
        <v>0.3</v>
      </c>
      <c r="G745" s="514" t="str">
        <f>G740</f>
        <v>喷塑</v>
      </c>
      <c r="H745" s="418">
        <f t="shared" si="105"/>
        <v>0.18209115044247728</v>
      </c>
      <c r="I745" s="623">
        <f>F739*N745</f>
        <v>30</v>
      </c>
      <c r="J745" s="460">
        <f>J742</f>
        <v>84</v>
      </c>
      <c r="K745" s="54" t="s">
        <v>237</v>
      </c>
      <c r="L745" s="54"/>
      <c r="N745">
        <f>J745/J740</f>
        <v>1</v>
      </c>
      <c r="O745" s="255" t="s">
        <v>784</v>
      </c>
      <c r="P745" s="112">
        <f>IFERROR(VLOOKUP(C745,常规材料表!$1:$1048576,3,0),0)</f>
        <v>1.7000000000000001E-2</v>
      </c>
      <c r="Q745" s="112">
        <f>IFERROR(VLOOKUP(C745,常规材料表!$1:$1048576,4,0),0)</f>
        <v>0</v>
      </c>
      <c r="R745">
        <f t="shared" si="106"/>
        <v>0</v>
      </c>
      <c r="S745">
        <f t="shared" si="107"/>
        <v>0</v>
      </c>
      <c r="T745">
        <f>IFERROR(VLOOKUP(C745,常规材料表!$1:$1048576,17,0),0)</f>
        <v>0</v>
      </c>
      <c r="U745">
        <f>IFERROR(VLOOKUP(C745,常规材料表!$1:$1048576,18,0),0)</f>
        <v>0</v>
      </c>
      <c r="V745">
        <f>IFERROR(VLOOKUP(T745,常规材料表!$1:$1048576,5,0),0)*X745</f>
        <v>0</v>
      </c>
      <c r="W745">
        <f t="shared" si="108"/>
        <v>0</v>
      </c>
      <c r="X745">
        <f>IFERROR(VLOOKUP(T745,常规材料表!$1:$1048576,3,0),0)</f>
        <v>0</v>
      </c>
      <c r="Y745">
        <f t="shared" si="109"/>
        <v>0</v>
      </c>
      <c r="Z745">
        <f>IFERROR(VLOOKUP(C745,常规材料表!$1:$1048576,19,0),0)</f>
        <v>0</v>
      </c>
      <c r="AA745">
        <f>IFERROR(VLOOKUP(C745,常规材料表!$1:$1048576,20,0),0)</f>
        <v>0</v>
      </c>
      <c r="AB745">
        <f>IFERROR(VLOOKUP(Z745,常规材料表!$1:$1048576,5,0),0)*AD745</f>
        <v>0</v>
      </c>
      <c r="AC745">
        <f t="shared" si="110"/>
        <v>0</v>
      </c>
      <c r="AD745">
        <f>IFERROR(VLOOKUP(Z745,常规材料表!$1:$1048576,3,0),0)</f>
        <v>0</v>
      </c>
      <c r="AE745">
        <f t="shared" si="111"/>
        <v>0</v>
      </c>
      <c r="AF745">
        <f>IFERROR(VLOOKUP(C745,常规材料表!$1:$1048576,21,0),0)</f>
        <v>0</v>
      </c>
      <c r="AG745">
        <f>IFERROR(VLOOKUP(C745,常规材料表!$1:$1048576,22,0),0)</f>
        <v>0</v>
      </c>
      <c r="AH745">
        <f>IFERROR(VLOOKUP(AF745,常规材料表!$1:$1048576,5,0),0)*AJ745</f>
        <v>0</v>
      </c>
      <c r="AI745">
        <f t="shared" si="112"/>
        <v>0</v>
      </c>
      <c r="AJ745">
        <f>IFERROR(VLOOKUP(AF745,常规材料表!$1:$1048576,3,0),0)</f>
        <v>0</v>
      </c>
      <c r="AK745">
        <f t="shared" si="113"/>
        <v>0</v>
      </c>
      <c r="AQ745" s="110"/>
      <c r="BZ745" t="s">
        <v>646</v>
      </c>
      <c r="CA745" s="112"/>
      <c r="CE745" t="s">
        <v>204</v>
      </c>
      <c r="CG745" s="122"/>
      <c r="CV745" s="388"/>
    </row>
    <row r="746" spans="1:100" customFormat="1" ht="30" customHeight="1" outlineLevel="1">
      <c r="A746" s="112"/>
      <c r="B746" s="414">
        <v>0</v>
      </c>
      <c r="C746" s="418" t="s">
        <v>622</v>
      </c>
      <c r="D746" s="655">
        <v>0.3</v>
      </c>
      <c r="E746" s="564"/>
      <c r="F746" s="561"/>
      <c r="G746" s="418"/>
      <c r="H746" s="418"/>
      <c r="I746" s="418" t="s">
        <v>102</v>
      </c>
      <c r="J746" s="418" t="s">
        <v>623</v>
      </c>
      <c r="K746" s="54" t="s">
        <v>237</v>
      </c>
      <c r="L746" s="54"/>
      <c r="O746" s="255" t="s">
        <v>784</v>
      </c>
      <c r="AQ746" s="110"/>
      <c r="BZ746" t="s">
        <v>646</v>
      </c>
      <c r="CA746" s="112"/>
      <c r="CE746" t="s">
        <v>204</v>
      </c>
      <c r="CG746" s="122"/>
      <c r="CV746" s="388"/>
    </row>
    <row r="747" spans="1:100" s="376" customFormat="1" ht="30" customHeight="1">
      <c r="A747" s="472"/>
      <c r="B747" s="473"/>
      <c r="C747" s="473"/>
      <c r="D747" s="473"/>
      <c r="E747" s="474"/>
      <c r="F747" s="473"/>
      <c r="G747" s="473"/>
      <c r="H747" s="473"/>
      <c r="I747" s="473"/>
      <c r="J747" s="475"/>
      <c r="K747" s="475"/>
      <c r="L747" s="475"/>
      <c r="O747" s="255" t="s">
        <v>784</v>
      </c>
      <c r="AQ747" s="476"/>
      <c r="BZ747" t="s">
        <v>646</v>
      </c>
      <c r="CA747" s="112"/>
      <c r="CB747"/>
      <c r="CC747"/>
      <c r="CD747"/>
      <c r="CE747" t="s">
        <v>204</v>
      </c>
      <c r="CF747"/>
      <c r="CG747" s="122"/>
    </row>
    <row r="748" spans="1:100" customFormat="1" ht="30" customHeight="1">
      <c r="A748" s="112" t="str">
        <f>IF($C$13=1,IF(K748="报价行",1," ")," ")</f>
        <v xml:space="preserve"> </v>
      </c>
      <c r="B748" s="414" t="str">
        <f>IF(A748=1,SUM($A$11:A748),"悬臂背拉")</f>
        <v>悬臂背拉</v>
      </c>
      <c r="C748" s="623" t="s">
        <v>662</v>
      </c>
      <c r="D748" s="624"/>
      <c r="E748" s="547" t="str">
        <f>C749</f>
        <v>H Brace ø32*1.5t</v>
      </c>
      <c r="F748" s="460">
        <v>12</v>
      </c>
      <c r="G748" s="419">
        <f>SUM(P749*N749,P754*N754,N750*P750,N751*P751,N752*P752,N753*P753)</f>
        <v>2.8645499999999995</v>
      </c>
      <c r="H748" s="419">
        <f>SUM(H749:H755)</f>
        <v>21.447990221238953</v>
      </c>
      <c r="I748" s="460" t="s">
        <v>292</v>
      </c>
      <c r="J748" s="460">
        <v>1</v>
      </c>
      <c r="K748" s="423" t="s">
        <v>217</v>
      </c>
      <c r="L748" s="418" t="s">
        <v>660</v>
      </c>
      <c r="M748" t="s">
        <v>608</v>
      </c>
      <c r="N748" t="s">
        <v>610</v>
      </c>
      <c r="O748" s="255" t="s">
        <v>784</v>
      </c>
      <c r="P748" t="s">
        <v>611</v>
      </c>
      <c r="Q748" t="s">
        <v>612</v>
      </c>
      <c r="R748" t="s">
        <v>613</v>
      </c>
      <c r="S748" t="s">
        <v>614</v>
      </c>
      <c r="T748" t="s">
        <v>615</v>
      </c>
      <c r="U748" t="str">
        <f>T748&amp;"数量"</f>
        <v>配件1数量</v>
      </c>
      <c r="V748" t="str">
        <f>T748&amp;"单价"</f>
        <v>配件1单价</v>
      </c>
      <c r="W748" t="str">
        <f>T748&amp;"总价"</f>
        <v>配件1总价</v>
      </c>
      <c r="X748" t="str">
        <f>T748&amp;"单重"</f>
        <v>配件1单重</v>
      </c>
      <c r="Y748" t="str">
        <f>T748&amp;"总重量"</f>
        <v>配件1总重量</v>
      </c>
      <c r="Z748" t="s">
        <v>616</v>
      </c>
      <c r="AA748" t="str">
        <f>Z748&amp;"数量"</f>
        <v>配件2数量</v>
      </c>
      <c r="AB748" t="str">
        <f>Z748&amp;"单价"</f>
        <v>配件2单价</v>
      </c>
      <c r="AC748" t="str">
        <f>Z748&amp;"总价"</f>
        <v>配件2总价</v>
      </c>
      <c r="AD748" t="str">
        <f>Z748&amp;"单重"</f>
        <v>配件2单重</v>
      </c>
      <c r="AE748" t="str">
        <f>Z748&amp;"总重量"</f>
        <v>配件2总重量</v>
      </c>
      <c r="AF748" t="s">
        <v>617</v>
      </c>
      <c r="AG748" t="str">
        <f>AF748&amp;"数量"</f>
        <v>配件3数量</v>
      </c>
      <c r="AH748" t="str">
        <f>AF748&amp;"单价"</f>
        <v>配件3单价</v>
      </c>
      <c r="AI748" t="str">
        <f>AF748&amp;"总价"</f>
        <v>配件3总价</v>
      </c>
      <c r="AJ748" t="str">
        <f>AF748&amp;"单重"</f>
        <v>配件3单重</v>
      </c>
      <c r="AK748" t="str">
        <f>AF748&amp;"总重量"</f>
        <v>配件3总重量</v>
      </c>
      <c r="AQ748" s="110"/>
      <c r="AX748" t="str">
        <f>E748</f>
        <v>H Brace ø32*1.5t</v>
      </c>
      <c r="AY748" s="494">
        <f>D748</f>
        <v>0</v>
      </c>
      <c r="AZ748">
        <f>F748</f>
        <v>12</v>
      </c>
      <c r="BA748" s="256">
        <f>G748</f>
        <v>2.8645499999999995</v>
      </c>
      <c r="BB748">
        <f>AZ748*BA748</f>
        <v>34.374599999999994</v>
      </c>
      <c r="BC748" s="495"/>
      <c r="BR748" t="str">
        <f>I748</f>
        <v>Blue Ral5015</v>
      </c>
      <c r="BZ748" t="s">
        <v>646</v>
      </c>
      <c r="CA748" s="112"/>
      <c r="CE748" t="s">
        <v>204</v>
      </c>
      <c r="CG748" s="122"/>
      <c r="CV748" s="388"/>
    </row>
    <row r="749" spans="1:100" customFormat="1" ht="30" customHeight="1" outlineLevel="1">
      <c r="A749" s="112"/>
      <c r="B749" s="418" t="s">
        <v>663</v>
      </c>
      <c r="C749" s="460" t="s">
        <v>781</v>
      </c>
      <c r="D749" s="418">
        <f>IFERROR(IF(G749="预镀锌",VLOOKUP(C749,常规材料表!$1:$1048576,5,0),VLOOKUP(C749,常规材料表!$1:$1048576,10,0)),0)</f>
        <v>4.28</v>
      </c>
      <c r="E749" s="418">
        <f>IFERROR(IF(G749="喷塑",1,0)*VLOOKUP(C749,常规材料表!$1:$1048576,12,0)+IF(G749="热镀锌",1,0)*VLOOKUP(C749,常规材料表!$1:$1048576,13,0)+IF(G749="冷镀锌",1,0)*VLOOKUP(C749,常规材料表!$1:$1048576,15,0),0)</f>
        <v>0.8</v>
      </c>
      <c r="F749" s="418">
        <f>IFERROR(VLOOKUP(C749,常规材料表!$1:$1048576,11,0)/P749+D755,0)</f>
        <v>0.85407801418439733</v>
      </c>
      <c r="G749" s="514" t="s">
        <v>236</v>
      </c>
      <c r="H749" s="418">
        <f>P749*(D749+F749*1.13+E749+S749)/1.13*N749</f>
        <v>13.159478938053111</v>
      </c>
      <c r="I749" s="623">
        <f>N749*F748</f>
        <v>12</v>
      </c>
      <c r="J749" s="460">
        <v>1</v>
      </c>
      <c r="K749" s="54" t="s">
        <v>237</v>
      </c>
      <c r="L749" s="667">
        <v>1600</v>
      </c>
      <c r="M749" s="418">
        <f>H748/G748</f>
        <v>7.4873855304459536</v>
      </c>
      <c r="N749">
        <f>J749/J748</f>
        <v>1</v>
      </c>
      <c r="O749" s="255" t="s">
        <v>784</v>
      </c>
      <c r="P749" s="112">
        <f>IFERROR(VLOOKUP(C749,常规材料表!$1:$1048576,3,0)*L749/1000,0)</f>
        <v>1.8047999999999997</v>
      </c>
      <c r="Q749" s="112">
        <f>IFERROR(VLOOKUP(C749,常规材料表!$1:$1048576,4,0)*D748/1000,0)</f>
        <v>0</v>
      </c>
      <c r="R749">
        <f t="shared" ref="R749:R754" si="114">W749+AC749+AI749</f>
        <v>3.9600000000000142</v>
      </c>
      <c r="S749">
        <f t="shared" ref="S749:S754" si="115">R749/P749</f>
        <v>2.1941489361702211</v>
      </c>
      <c r="T749" t="str">
        <f>IFERROR(VLOOKUP(C749,常规材料表!$1:$1048576,17,0),0)</f>
        <v>M10*120 8.8G</v>
      </c>
      <c r="U749">
        <f>IFERROR(VLOOKUP(C749,常规材料表!$1:$1048576,18,0),0)</f>
        <v>4</v>
      </c>
      <c r="V749">
        <f>IFERROR(VLOOKUP(T749,常规材料表!$1:$1048576,5,0),0)*X749</f>
        <v>0.83000000000000307</v>
      </c>
      <c r="W749">
        <f t="shared" ref="W749:W754" si="116">V749*U749</f>
        <v>3.3200000000000123</v>
      </c>
      <c r="X749">
        <f>IFERROR(VLOOKUP(T749,常规材料表!$1:$1048576,3,0),0)</f>
        <v>7.0000000000000007E-2</v>
      </c>
      <c r="Y749">
        <f t="shared" ref="Y749:Y754" si="117">X749*U749</f>
        <v>0.28000000000000003</v>
      </c>
      <c r="Z749" t="str">
        <f>IFERROR(VLOOKUP(C749,常规材料表!$1:$1048576,19,0),0)</f>
        <v>M10*30  8.8G</v>
      </c>
      <c r="AA749">
        <f>IFERROR(VLOOKUP(C749,常规材料表!$1:$1048576,20,0),0)</f>
        <v>2</v>
      </c>
      <c r="AB749">
        <f>IFERROR(VLOOKUP(Z749,常规材料表!$1:$1048576,5,0),0)*AD749</f>
        <v>0.32000000000000101</v>
      </c>
      <c r="AC749">
        <f t="shared" ref="AC749:AC754" si="118">AB749*AA749</f>
        <v>0.64000000000000201</v>
      </c>
      <c r="AD749">
        <f>IFERROR(VLOOKUP(Z749,常规材料表!$1:$1048576,3,0),0)</f>
        <v>0.03</v>
      </c>
      <c r="AE749">
        <f t="shared" ref="AE749:AE754" si="119">AD749*AA749</f>
        <v>0.06</v>
      </c>
      <c r="AF749">
        <f>IFERROR(VLOOKUP(C749,常规材料表!$1:$1048576,21,0),0)</f>
        <v>0</v>
      </c>
      <c r="AG749">
        <f>IFERROR(VLOOKUP(C749,常规材料表!$1:$1048576,22,0),0)</f>
        <v>0</v>
      </c>
      <c r="AH749">
        <f>IFERROR(VLOOKUP(AF749,常规材料表!$1:$1048576,5,0),0)</f>
        <v>0</v>
      </c>
      <c r="AI749">
        <f t="shared" ref="AI749:AI754" si="120">AH749*AG749</f>
        <v>0</v>
      </c>
      <c r="AJ749">
        <f>IFERROR(VLOOKUP(AF749,常规材料表!$1:$1048576,3,0),0)</f>
        <v>0</v>
      </c>
      <c r="AK749">
        <f t="shared" ref="AK749:AK754" si="121">AJ749*AG749</f>
        <v>0</v>
      </c>
      <c r="AQ749" s="110"/>
      <c r="AX749" t="s">
        <v>156</v>
      </c>
      <c r="AY749" t="s">
        <v>246</v>
      </c>
      <c r="AZ749" t="s">
        <v>102</v>
      </c>
      <c r="BA749" t="s">
        <v>158</v>
      </c>
      <c r="BB749" t="s">
        <v>247</v>
      </c>
      <c r="BC749" t="s">
        <v>248</v>
      </c>
      <c r="BD749" t="s">
        <v>249</v>
      </c>
      <c r="BE749" t="s">
        <v>250</v>
      </c>
      <c r="BF749" t="s">
        <v>251</v>
      </c>
      <c r="BZ749" t="s">
        <v>646</v>
      </c>
      <c r="CA749" s="112"/>
      <c r="CE749" t="s">
        <v>204</v>
      </c>
      <c r="CG749" s="122"/>
      <c r="CV749" s="388"/>
    </row>
    <row r="750" spans="1:100" customFormat="1" ht="30" customHeight="1" outlineLevel="1">
      <c r="A750" s="112"/>
      <c r="B750" s="418" t="s">
        <v>666</v>
      </c>
      <c r="C750" s="460" t="s">
        <v>782</v>
      </c>
      <c r="D750" s="418">
        <f>IFERROR(IF(G750="预镀锌",VLOOKUP(C750,常规材料表!$1:$1048576,5,0),VLOOKUP(C750,常规材料表!$1:$1048576,10,0)),0)</f>
        <v>4.28</v>
      </c>
      <c r="E750" s="418">
        <f>IFERROR(IF(G750="喷塑",1,0)*VLOOKUP(C750,常规材料表!$1:$1048576,12,0)+IF(G750="热镀锌",1,0)*VLOOKUP(C750,常规材料表!$1:$1048576,13,0)+IF(G750="冷镀锌",1,0)*VLOOKUP(C750,常规材料表!$1:$1048576,15,0),0)</f>
        <v>0.8</v>
      </c>
      <c r="F750" s="418">
        <f>IFERROR(VLOOKUP(C750,常规材料表!$1:$1048576,11,0)/P750+D755,0)</f>
        <v>0.74105712571892313</v>
      </c>
      <c r="G750" s="514" t="str">
        <f>G749</f>
        <v>喷塑</v>
      </c>
      <c r="H750" s="418">
        <f>P750*(D750+F750*1.13+E750+S750)/1.13*N750</f>
        <v>0</v>
      </c>
      <c r="I750" s="623">
        <f>N750*F748</f>
        <v>0</v>
      </c>
      <c r="J750" s="460"/>
      <c r="K750" s="54" t="s">
        <v>237</v>
      </c>
      <c r="L750" s="667">
        <v>2010</v>
      </c>
      <c r="N750">
        <f>J750/J748</f>
        <v>0</v>
      </c>
      <c r="O750" s="255" t="s">
        <v>784</v>
      </c>
      <c r="P750" s="112">
        <f>IFERROR(VLOOKUP(C750,常规材料表!$1:$1048576,3,0)*L750/1000,0)</f>
        <v>2.26728</v>
      </c>
      <c r="Q750" s="112">
        <f>IFERROR(VLOOKUP(C750,常规材料表!$1:$1048576,4,0),0)</f>
        <v>0.10048</v>
      </c>
      <c r="R750">
        <f t="shared" si="114"/>
        <v>0</v>
      </c>
      <c r="S750">
        <f t="shared" si="115"/>
        <v>0</v>
      </c>
      <c r="T750">
        <f>IFERROR(VLOOKUP(C750,常规材料表!$1:$1048576,17,0),0)</f>
        <v>0</v>
      </c>
      <c r="U750">
        <f>IFERROR(VLOOKUP(C750,常规材料表!$1:$1048576,18,0),0)</f>
        <v>0</v>
      </c>
      <c r="V750">
        <f>IFERROR(VLOOKUP(T750,常规材料表!$1:$1048576,5,0),0)</f>
        <v>0</v>
      </c>
      <c r="W750">
        <f t="shared" si="116"/>
        <v>0</v>
      </c>
      <c r="X750">
        <f>IFERROR(VLOOKUP(T750,常规材料表!$1:$1048576,3,0),0)</f>
        <v>0</v>
      </c>
      <c r="Y750">
        <f t="shared" si="117"/>
        <v>0</v>
      </c>
      <c r="Z750">
        <f>IFERROR(VLOOKUP(C750,常规材料表!$1:$1048576,19,0),0)</f>
        <v>0</v>
      </c>
      <c r="AA750">
        <f>IFERROR(VLOOKUP(C750,常规材料表!$1:$1048576,20,0),0)</f>
        <v>0</v>
      </c>
      <c r="AB750">
        <f>IFERROR(VLOOKUP(Z750,常规材料表!$1:$1048576,5,0),0)</f>
        <v>0</v>
      </c>
      <c r="AC750">
        <f t="shared" si="118"/>
        <v>0</v>
      </c>
      <c r="AD750">
        <f>IFERROR(VLOOKUP(Z750,常规材料表!$1:$1048576,3,0),0)</f>
        <v>0</v>
      </c>
      <c r="AE750">
        <f t="shared" si="119"/>
        <v>0</v>
      </c>
      <c r="AF750">
        <f>IFERROR(VLOOKUP(C750,常规材料表!$1:$1048576,21,0),0)</f>
        <v>0</v>
      </c>
      <c r="AG750">
        <f>IFERROR(VLOOKUP(C750,常规材料表!$1:$1048576,22,0),0)</f>
        <v>0</v>
      </c>
      <c r="AH750">
        <f>IFERROR(VLOOKUP(AF750,常规材料表!$1:$1048576,5,0),0)</f>
        <v>0</v>
      </c>
      <c r="AI750">
        <f t="shared" si="120"/>
        <v>0</v>
      </c>
      <c r="AJ750">
        <f>IFERROR(VLOOKUP(AF750,常规材料表!$1:$1048576,3,0),0)</f>
        <v>0</v>
      </c>
      <c r="AK750">
        <f t="shared" si="121"/>
        <v>0</v>
      </c>
      <c r="AQ750" s="110"/>
      <c r="BZ750" t="s">
        <v>646</v>
      </c>
      <c r="CA750" s="112"/>
      <c r="CE750" t="s">
        <v>204</v>
      </c>
      <c r="CG750" s="122"/>
      <c r="CV750" s="388"/>
    </row>
    <row r="751" spans="1:100" customFormat="1" ht="30" customHeight="1" outlineLevel="1">
      <c r="A751" s="112"/>
      <c r="B751" s="418" t="s">
        <v>668</v>
      </c>
      <c r="C751" s="460" t="s">
        <v>783</v>
      </c>
      <c r="D751" s="418">
        <f>IFERROR(IF(G751="预镀锌",VLOOKUP(C751,常规材料表!$1:$1048576,5,0),VLOOKUP(C751,常规材料表!$1:$1048576,10,0)),0)</f>
        <v>7.5489502241094604</v>
      </c>
      <c r="E751" s="418">
        <f>IFERROR(IF(G751="喷塑",1,0)*VLOOKUP(C751,常规材料表!$1:$1048576,12,0)+IF(G751="热镀锌",1,0)*VLOOKUP(C751,常规材料表!$1:$1048576,13,0)+IF(G751="冷镀锌",1,0)*VLOOKUP(C751,常规材料表!$1:$1048576,15,0),0)</f>
        <v>0.95</v>
      </c>
      <c r="F751" s="418">
        <f>IFERROR(VLOOKUP(C751,常规材料表!$1:$1048576,11,0)/P751+D755,0)</f>
        <v>0.3</v>
      </c>
      <c r="G751" s="514" t="str">
        <f>G749</f>
        <v>喷塑</v>
      </c>
      <c r="H751" s="418">
        <f>P751*(D751+F751*1.13+E751+S751)/1.13*N751</f>
        <v>8.2885112831858407</v>
      </c>
      <c r="I751" s="623">
        <f>I749*2</f>
        <v>24</v>
      </c>
      <c r="J751" s="460">
        <f>J749*2</f>
        <v>2</v>
      </c>
      <c r="K751" s="54" t="s">
        <v>237</v>
      </c>
      <c r="L751" s="54"/>
      <c r="N751">
        <f>J751/J748</f>
        <v>2</v>
      </c>
      <c r="O751" s="255" t="s">
        <v>784</v>
      </c>
      <c r="P751" s="112">
        <f>IFERROR(VLOOKUP(C751,常规材料表!$1:$1048576,3,0),0)</f>
        <v>0.52987499999999998</v>
      </c>
      <c r="Q751" s="112">
        <f>IFERROR(VLOOKUP(C751,常规材料表!$1:$1048576,4,0),0)</f>
        <v>4.4999999999999998E-2</v>
      </c>
      <c r="R751">
        <f t="shared" si="114"/>
        <v>0</v>
      </c>
      <c r="S751">
        <f t="shared" si="115"/>
        <v>0</v>
      </c>
      <c r="T751">
        <f>IFERROR(VLOOKUP(C751,常规材料表!$1:$1048576,17,0),0)</f>
        <v>0</v>
      </c>
      <c r="U751">
        <f>IFERROR(VLOOKUP(C751,常规材料表!$1:$1048576,18,0),0)</f>
        <v>0</v>
      </c>
      <c r="V751">
        <f>IFERROR(VLOOKUP(T751,常规材料表!$1:$1048576,5,0),0)</f>
        <v>0</v>
      </c>
      <c r="W751">
        <f t="shared" si="116"/>
        <v>0</v>
      </c>
      <c r="X751">
        <f>IFERROR(VLOOKUP(T751,常规材料表!$1:$1048576,3,0),0)</f>
        <v>0</v>
      </c>
      <c r="Y751">
        <f t="shared" si="117"/>
        <v>0</v>
      </c>
      <c r="Z751">
        <f>IFERROR(VLOOKUP(C751,常规材料表!$1:$1048576,19,0),0)</f>
        <v>0</v>
      </c>
      <c r="AA751">
        <f>IFERROR(VLOOKUP(C751,常规材料表!$1:$1048576,20,0),0)</f>
        <v>0</v>
      </c>
      <c r="AB751">
        <f>IFERROR(VLOOKUP(Z751,常规材料表!$1:$1048576,5,0),0)</f>
        <v>0</v>
      </c>
      <c r="AC751">
        <f t="shared" si="118"/>
        <v>0</v>
      </c>
      <c r="AD751">
        <f>IFERROR(VLOOKUP(Z751,常规材料表!$1:$1048576,3,0),0)</f>
        <v>0</v>
      </c>
      <c r="AE751">
        <f t="shared" si="119"/>
        <v>0</v>
      </c>
      <c r="AF751">
        <f>IFERROR(VLOOKUP(C751,常规材料表!$1:$1048576,21,0),0)</f>
        <v>0</v>
      </c>
      <c r="AG751">
        <f>IFERROR(VLOOKUP(C751,常规材料表!$1:$1048576,22,0),0)</f>
        <v>0</v>
      </c>
      <c r="AH751">
        <f>IFERROR(VLOOKUP(AF751,常规材料表!$1:$1048576,5,0),0)</f>
        <v>0</v>
      </c>
      <c r="AI751">
        <f t="shared" si="120"/>
        <v>0</v>
      </c>
      <c r="AJ751">
        <f>IFERROR(VLOOKUP(AF751,常规材料表!$1:$1048576,3,0),0)</f>
        <v>0</v>
      </c>
      <c r="AK751">
        <f t="shared" si="121"/>
        <v>0</v>
      </c>
      <c r="AQ751" s="110"/>
      <c r="BZ751" t="s">
        <v>646</v>
      </c>
      <c r="CA751" s="112"/>
      <c r="CE751" t="s">
        <v>204</v>
      </c>
      <c r="CG751" s="122"/>
      <c r="CV751" s="388"/>
    </row>
    <row r="752" spans="1:100" customFormat="1" ht="30" customHeight="1" outlineLevel="1">
      <c r="A752" s="112"/>
      <c r="B752" s="418"/>
      <c r="C752" s="418"/>
      <c r="D752" s="418">
        <f>IFERROR(IF(G752="预镀锌",VLOOKUP(C752,常规材料表!$1:$1048576,5,0),VLOOKUP(C752,常规材料表!$1:$1048576,10,0)),0)</f>
        <v>0</v>
      </c>
      <c r="E752" s="418">
        <f>IFERROR(IF(G752="喷塑",1,0)*VLOOKUP(C752,常规材料表!$1:$1048576,12,0)+IF(G752="热镀锌",1,0)*VLOOKUP(C752,常规材料表!$1:$1048576,13,0)+IF(G752="冷镀锌",1,0)*VLOOKUP(C752,常规材料表!$1:$1048576,15,0),0)</f>
        <v>0</v>
      </c>
      <c r="F752" s="418">
        <f>IFERROR(VLOOKUP(C752,常规材料表!$1:$1048576,11,0)/P752+0.4,0)</f>
        <v>0</v>
      </c>
      <c r="G752" s="418"/>
      <c r="H752" s="418">
        <f>IFERROR(P752*(D752+F752*1.13+E752+S752)/1.13*N752,0)</f>
        <v>0</v>
      </c>
      <c r="I752" s="418" t="s">
        <v>102</v>
      </c>
      <c r="J752" s="418" t="s">
        <v>623</v>
      </c>
      <c r="K752" s="54" t="s">
        <v>237</v>
      </c>
      <c r="L752" s="54"/>
      <c r="O752" s="255" t="s">
        <v>784</v>
      </c>
      <c r="P752" s="112">
        <f>IFERROR(VLOOKUP(C752,常规材料表!$1:$1048576,3,0),0)</f>
        <v>0</v>
      </c>
      <c r="Q752" s="112">
        <f>IFERROR(VLOOKUP(C752,常规材料表!$1:$1048576,4,0),0)</f>
        <v>0</v>
      </c>
      <c r="R752">
        <f t="shared" si="114"/>
        <v>0</v>
      </c>
      <c r="S752" t="e">
        <f t="shared" si="115"/>
        <v>#DIV/0!</v>
      </c>
      <c r="T752">
        <f>IFERROR(VLOOKUP(C752,常规材料表!$1:$1048576,17,0),0)</f>
        <v>0</v>
      </c>
      <c r="U752">
        <f>IFERROR(VLOOKUP(C752,常规材料表!$1:$1048576,18,0),0)</f>
        <v>0</v>
      </c>
      <c r="V752">
        <f>IFERROR(VLOOKUP(T752,常规材料表!$1:$1048576,5,0),0)</f>
        <v>0</v>
      </c>
      <c r="W752">
        <f t="shared" si="116"/>
        <v>0</v>
      </c>
      <c r="X752">
        <f>IFERROR(VLOOKUP(T752,常规材料表!$1:$1048576,3,0),0)</f>
        <v>0</v>
      </c>
      <c r="Y752">
        <f t="shared" si="117"/>
        <v>0</v>
      </c>
      <c r="Z752">
        <f>IFERROR(VLOOKUP(C752,常规材料表!$1:$1048576,19,0),0)</f>
        <v>0</v>
      </c>
      <c r="AA752">
        <f>IFERROR(VLOOKUP(C752,常规材料表!$1:$1048576,20,0),0)</f>
        <v>0</v>
      </c>
      <c r="AB752">
        <f>IFERROR(VLOOKUP(Z752,常规材料表!$1:$1048576,5,0),0)</f>
        <v>0</v>
      </c>
      <c r="AC752">
        <f t="shared" si="118"/>
        <v>0</v>
      </c>
      <c r="AD752">
        <f>IFERROR(VLOOKUP(Z752,常规材料表!$1:$1048576,3,0),0)</f>
        <v>0</v>
      </c>
      <c r="AE752">
        <f t="shared" si="119"/>
        <v>0</v>
      </c>
      <c r="AF752">
        <f>IFERROR(VLOOKUP(C752,常规材料表!$1:$1048576,21,0),0)</f>
        <v>0</v>
      </c>
      <c r="AG752">
        <f>IFERROR(VLOOKUP(C752,常规材料表!$1:$1048576,22,0),0)</f>
        <v>0</v>
      </c>
      <c r="AH752">
        <f>IFERROR(VLOOKUP(AF752,常规材料表!$1:$1048576,5,0),0)</f>
        <v>0</v>
      </c>
      <c r="AI752">
        <f t="shared" si="120"/>
        <v>0</v>
      </c>
      <c r="AJ752">
        <f>IFERROR(VLOOKUP(AF752,常规材料表!$1:$1048576,3,0),0)</f>
        <v>0</v>
      </c>
      <c r="AK752">
        <f t="shared" si="121"/>
        <v>0</v>
      </c>
      <c r="AQ752" s="110"/>
      <c r="BZ752" t="s">
        <v>646</v>
      </c>
      <c r="CA752" s="112"/>
      <c r="CE752" t="s">
        <v>204</v>
      </c>
      <c r="CG752" s="122"/>
      <c r="CV752" s="388"/>
    </row>
    <row r="753" spans="1:100" customFormat="1" ht="30" customHeight="1" outlineLevel="1">
      <c r="A753" s="112"/>
      <c r="B753" s="418"/>
      <c r="C753" s="418"/>
      <c r="D753" s="418">
        <f>IFERROR(IF(G753="预镀锌",VLOOKUP(C753,常规材料表!$1:$1048576,5,0),VLOOKUP(C753,常规材料表!$1:$1048576,10,0)),0)</f>
        <v>0</v>
      </c>
      <c r="E753" s="418">
        <f>IFERROR(IF(G753="喷塑",1,0)*VLOOKUP(C753,常规材料表!$1:$1048576,12,0)+IF(G753="热镀锌",1,0)*VLOOKUP(C753,常规材料表!$1:$1048576,13,0)+IF(G753="冷镀锌",1,0)*VLOOKUP(C753,常规材料表!$1:$1048576,15,0),0)</f>
        <v>0</v>
      </c>
      <c r="F753" s="418">
        <f>IFERROR(VLOOKUP(C753,常规材料表!$1:$1048576,11,0)/P753+0.4,0)</f>
        <v>0</v>
      </c>
      <c r="G753" s="418"/>
      <c r="H753" s="418">
        <f>IFERROR(P753*(D753+F753*1.13+E753+S753)/1.13*N753,0)</f>
        <v>0</v>
      </c>
      <c r="I753" s="418"/>
      <c r="J753" s="54"/>
      <c r="K753" s="54" t="s">
        <v>237</v>
      </c>
      <c r="L753" s="54"/>
      <c r="O753" s="255" t="s">
        <v>784</v>
      </c>
      <c r="P753" s="112">
        <f>IFERROR(VLOOKUP(C753,常规材料表!$1:$1048576,3,0),0)</f>
        <v>0</v>
      </c>
      <c r="Q753" s="112">
        <f>IFERROR(VLOOKUP(C753,常规材料表!$1:$1048576,4,0),0)</f>
        <v>0</v>
      </c>
      <c r="R753">
        <f t="shared" si="114"/>
        <v>0</v>
      </c>
      <c r="S753" t="e">
        <f t="shared" si="115"/>
        <v>#DIV/0!</v>
      </c>
      <c r="T753">
        <f>IFERROR(VLOOKUP(C753,常规材料表!$1:$1048576,17,0),0)</f>
        <v>0</v>
      </c>
      <c r="U753">
        <f>IFERROR(VLOOKUP(C753,常规材料表!$1:$1048576,18,0),0)</f>
        <v>0</v>
      </c>
      <c r="V753">
        <f>IFERROR(VLOOKUP(T753,常规材料表!$1:$1048576,5,0),0)</f>
        <v>0</v>
      </c>
      <c r="W753">
        <f t="shared" si="116"/>
        <v>0</v>
      </c>
      <c r="X753">
        <f>IFERROR(VLOOKUP(T753,常规材料表!$1:$1048576,3,0),0)</f>
        <v>0</v>
      </c>
      <c r="Y753">
        <f t="shared" si="117"/>
        <v>0</v>
      </c>
      <c r="Z753">
        <f>IFERROR(VLOOKUP(C753,常规材料表!$1:$1048576,19,0),0)</f>
        <v>0</v>
      </c>
      <c r="AA753">
        <f>IFERROR(VLOOKUP(C753,常规材料表!$1:$1048576,20,0),0)</f>
        <v>0</v>
      </c>
      <c r="AB753">
        <f>IFERROR(VLOOKUP(Z753,常规材料表!$1:$1048576,5,0),0)</f>
        <v>0</v>
      </c>
      <c r="AC753">
        <f t="shared" si="118"/>
        <v>0</v>
      </c>
      <c r="AD753">
        <f>IFERROR(VLOOKUP(Z753,常规材料表!$1:$1048576,3,0),0)</f>
        <v>0</v>
      </c>
      <c r="AE753">
        <f t="shared" si="119"/>
        <v>0</v>
      </c>
      <c r="AF753">
        <f>IFERROR(VLOOKUP(C753,常规材料表!$1:$1048576,21,0),0)</f>
        <v>0</v>
      </c>
      <c r="AG753">
        <f>IFERROR(VLOOKUP(C753,常规材料表!$1:$1048576,22,0),0)</f>
        <v>0</v>
      </c>
      <c r="AH753">
        <f>IFERROR(VLOOKUP(AF753,常规材料表!$1:$1048576,5,0),0)</f>
        <v>0</v>
      </c>
      <c r="AI753">
        <f t="shared" si="120"/>
        <v>0</v>
      </c>
      <c r="AJ753">
        <f>IFERROR(VLOOKUP(AF753,常规材料表!$1:$1048576,3,0),0)</f>
        <v>0</v>
      </c>
      <c r="AK753">
        <f t="shared" si="121"/>
        <v>0</v>
      </c>
      <c r="AQ753" s="110"/>
      <c r="BZ753" t="s">
        <v>646</v>
      </c>
      <c r="CA753" s="112"/>
      <c r="CE753" t="s">
        <v>204</v>
      </c>
      <c r="CG753" s="122"/>
      <c r="CV753" s="388"/>
    </row>
    <row r="754" spans="1:100" customFormat="1" ht="30" customHeight="1" outlineLevel="1">
      <c r="A754" s="112"/>
      <c r="B754" s="418"/>
      <c r="C754" s="418"/>
      <c r="D754" s="418">
        <f>IFERROR(VLOOKUP(C754,常规材料表!$1:$1048576,5,0),0)</f>
        <v>0</v>
      </c>
      <c r="E754" s="418">
        <f>IFERROR(IF(G754="喷塑",1,0)*VLOOKUP(C754,常规材料表!$1:$1048576,12,0)+IF(G754="热镀锌",1,0)*VLOOKUP(C754,常规材料表!$1:$1048576,13,0)+IF(G754="冷镀锌",1,0)*VLOOKUP(C754,常规材料表!$1:$1048576,15,0),0)</f>
        <v>0</v>
      </c>
      <c r="F754" s="418">
        <f>IFERROR(VLOOKUP(C754,常规材料表!$1:$1048576,11,0)/P754+0.4,0)</f>
        <v>0</v>
      </c>
      <c r="G754" s="418"/>
      <c r="H754" s="418">
        <f>IFERROR(P754*(D754+F754*1.13+E754+S754)/1.13*N754,0)</f>
        <v>0</v>
      </c>
      <c r="I754" s="418"/>
      <c r="J754" s="54"/>
      <c r="K754" s="54" t="s">
        <v>237</v>
      </c>
      <c r="L754" s="54"/>
      <c r="O754" s="255" t="s">
        <v>784</v>
      </c>
      <c r="P754" s="112">
        <f>IFERROR(VLOOKUP(C754,常规材料表!$1:$1048576,3,0),0)</f>
        <v>0</v>
      </c>
      <c r="Q754" s="112">
        <f>IFERROR(VLOOKUP(C754,常规材料表!$1:$1048576,4,0),0)</f>
        <v>0</v>
      </c>
      <c r="R754">
        <f t="shared" si="114"/>
        <v>0</v>
      </c>
      <c r="S754" t="e">
        <f t="shared" si="115"/>
        <v>#DIV/0!</v>
      </c>
      <c r="T754">
        <f>IFERROR(VLOOKUP(C754,常规材料表!$1:$1048576,17,0),0)</f>
        <v>0</v>
      </c>
      <c r="U754">
        <f>IFERROR(VLOOKUP(C754,常规材料表!$1:$1048576,18,0),0)</f>
        <v>0</v>
      </c>
      <c r="V754">
        <f>IFERROR(VLOOKUP(T754,常规材料表!$1:$1048576,5,0),0)</f>
        <v>0</v>
      </c>
      <c r="W754">
        <f t="shared" si="116"/>
        <v>0</v>
      </c>
      <c r="X754">
        <f>IFERROR(VLOOKUP(T754,常规材料表!$1:$1048576,3,0),0)</f>
        <v>0</v>
      </c>
      <c r="Y754">
        <f t="shared" si="117"/>
        <v>0</v>
      </c>
      <c r="Z754">
        <f>IFERROR(VLOOKUP(C754,常规材料表!$1:$1048576,19,0),0)</f>
        <v>0</v>
      </c>
      <c r="AA754">
        <f>IFERROR(VLOOKUP(C754,常规材料表!$1:$1048576,20,0),0)</f>
        <v>0</v>
      </c>
      <c r="AB754">
        <f>IFERROR(VLOOKUP(Z754,常规材料表!$1:$1048576,5,0),0)</f>
        <v>0</v>
      </c>
      <c r="AC754">
        <f t="shared" si="118"/>
        <v>0</v>
      </c>
      <c r="AD754">
        <f>IFERROR(VLOOKUP(Z754,常规材料表!$1:$1048576,3,0),0)</f>
        <v>0</v>
      </c>
      <c r="AE754">
        <f t="shared" si="119"/>
        <v>0</v>
      </c>
      <c r="AF754">
        <f>IFERROR(VLOOKUP(C754,常规材料表!$1:$1048576,21,0),0)</f>
        <v>0</v>
      </c>
      <c r="AG754">
        <f>IFERROR(VLOOKUP(C754,常规材料表!$1:$1048576,22,0),0)</f>
        <v>0</v>
      </c>
      <c r="AH754">
        <f>IFERROR(VLOOKUP(AF754,常规材料表!$1:$1048576,5,0),0)</f>
        <v>0</v>
      </c>
      <c r="AI754">
        <f t="shared" si="120"/>
        <v>0</v>
      </c>
      <c r="AJ754">
        <f>IFERROR(VLOOKUP(AF754,常规材料表!$1:$1048576,3,0),0)</f>
        <v>0</v>
      </c>
      <c r="AK754">
        <f t="shared" si="121"/>
        <v>0</v>
      </c>
      <c r="AQ754" s="110"/>
      <c r="BZ754" t="s">
        <v>646</v>
      </c>
      <c r="CA754" s="112"/>
      <c r="CE754" t="s">
        <v>204</v>
      </c>
      <c r="CG754" s="122"/>
      <c r="CV754" s="388"/>
    </row>
    <row r="755" spans="1:100" customFormat="1" ht="30" customHeight="1" outlineLevel="1">
      <c r="A755" s="112"/>
      <c r="B755" s="414">
        <v>0</v>
      </c>
      <c r="C755" s="418" t="s">
        <v>622</v>
      </c>
      <c r="D755" s="655">
        <v>0.3</v>
      </c>
      <c r="E755" s="418"/>
      <c r="F755" s="418"/>
      <c r="G755" s="418"/>
      <c r="H755" s="418"/>
      <c r="I755" s="418"/>
      <c r="J755" s="54"/>
      <c r="K755" s="54" t="s">
        <v>237</v>
      </c>
      <c r="L755" s="54"/>
      <c r="O755" s="255" t="s">
        <v>784</v>
      </c>
      <c r="AQ755" s="110"/>
      <c r="BZ755" t="s">
        <v>646</v>
      </c>
      <c r="CA755" s="112"/>
      <c r="CE755" t="s">
        <v>204</v>
      </c>
      <c r="CG755" s="122"/>
      <c r="CV755" s="388"/>
    </row>
    <row r="756" spans="1:100" s="376" customFormat="1" ht="30" customHeight="1">
      <c r="A756" s="472"/>
      <c r="B756" s="473"/>
      <c r="C756" s="473"/>
      <c r="D756" s="473"/>
      <c r="E756" s="474"/>
      <c r="F756" s="473"/>
      <c r="G756" s="473"/>
      <c r="H756" s="473"/>
      <c r="I756" s="473"/>
      <c r="J756" s="475"/>
      <c r="K756" s="475"/>
      <c r="L756" s="475"/>
      <c r="O756" s="255" t="s">
        <v>784</v>
      </c>
      <c r="AQ756" s="476"/>
      <c r="BZ756" t="s">
        <v>646</v>
      </c>
      <c r="CA756" s="112"/>
      <c r="CB756"/>
      <c r="CC756"/>
      <c r="CD756"/>
      <c r="CE756" t="s">
        <v>204</v>
      </c>
      <c r="CF756"/>
      <c r="CG756" s="122"/>
    </row>
    <row r="757" spans="1:100" customFormat="1" ht="30" customHeight="1">
      <c r="A757" s="112" t="str">
        <f>IF($C$13=1,IF(K757="报价行",1," ")," ")</f>
        <v xml:space="preserve"> </v>
      </c>
      <c r="B757" s="414" t="str">
        <f>IF(A757=1,SUM($A$11:A757),"悬臂背拉")</f>
        <v>悬臂背拉</v>
      </c>
      <c r="C757" s="623" t="s">
        <v>670</v>
      </c>
      <c r="D757" s="624"/>
      <c r="E757" s="547" t="str">
        <f>C759</f>
        <v>D brace ø32*1.5t</v>
      </c>
      <c r="F757" s="460">
        <v>8</v>
      </c>
      <c r="G757" s="419">
        <f>SUM(P758*N758,P763*N763,N759*P759,N760*P760,N761*P761,N762*P762)</f>
        <v>2.26728</v>
      </c>
      <c r="H757" s="419">
        <f>SUM(H758:H764)</f>
        <v>11.87291178761062</v>
      </c>
      <c r="I757" s="460" t="str">
        <f>I748</f>
        <v>Blue Ral5015</v>
      </c>
      <c r="J757" s="460">
        <v>1</v>
      </c>
      <c r="K757" s="423" t="s">
        <v>217</v>
      </c>
      <c r="L757" s="418" t="s">
        <v>660</v>
      </c>
      <c r="M757" t="s">
        <v>608</v>
      </c>
      <c r="N757" t="s">
        <v>610</v>
      </c>
      <c r="O757" s="255" t="s">
        <v>784</v>
      </c>
      <c r="P757" t="s">
        <v>611</v>
      </c>
      <c r="Q757" t="s">
        <v>612</v>
      </c>
      <c r="R757" t="s">
        <v>613</v>
      </c>
      <c r="S757" t="s">
        <v>614</v>
      </c>
      <c r="T757" t="s">
        <v>615</v>
      </c>
      <c r="U757" t="str">
        <f>T757&amp;"数量"</f>
        <v>配件1数量</v>
      </c>
      <c r="V757" t="str">
        <f>T757&amp;"单价"</f>
        <v>配件1单价</v>
      </c>
      <c r="W757" t="str">
        <f>T757&amp;"总价"</f>
        <v>配件1总价</v>
      </c>
      <c r="X757" t="str">
        <f>T757&amp;"单重"</f>
        <v>配件1单重</v>
      </c>
      <c r="Y757" t="str">
        <f>T757&amp;"总重量"</f>
        <v>配件1总重量</v>
      </c>
      <c r="Z757" t="s">
        <v>616</v>
      </c>
      <c r="AA757" t="str">
        <f>Z757&amp;"数量"</f>
        <v>配件2数量</v>
      </c>
      <c r="AB757" t="str">
        <f>Z757&amp;"单价"</f>
        <v>配件2单价</v>
      </c>
      <c r="AC757" t="str">
        <f>Z757&amp;"总价"</f>
        <v>配件2总价</v>
      </c>
      <c r="AD757" t="str">
        <f>Z757&amp;"单重"</f>
        <v>配件2单重</v>
      </c>
      <c r="AE757" t="str">
        <f>Z757&amp;"总重量"</f>
        <v>配件2总重量</v>
      </c>
      <c r="AF757" t="s">
        <v>617</v>
      </c>
      <c r="AG757" t="str">
        <f>AF757&amp;"数量"</f>
        <v>配件3数量</v>
      </c>
      <c r="AH757" t="str">
        <f>AF757&amp;"单价"</f>
        <v>配件3单价</v>
      </c>
      <c r="AI757" t="str">
        <f>AF757&amp;"总价"</f>
        <v>配件3总价</v>
      </c>
      <c r="AJ757" t="str">
        <f>AF757&amp;"单重"</f>
        <v>配件3单重</v>
      </c>
      <c r="AK757" t="str">
        <f>AF757&amp;"总重量"</f>
        <v>配件3总重量</v>
      </c>
      <c r="AQ757" s="110"/>
      <c r="AX757" t="str">
        <f>E757</f>
        <v>D brace ø32*1.5t</v>
      </c>
      <c r="AY757" s="494">
        <f>D757</f>
        <v>0</v>
      </c>
      <c r="AZ757">
        <f>F757</f>
        <v>8</v>
      </c>
      <c r="BA757" s="256">
        <f>G757</f>
        <v>2.26728</v>
      </c>
      <c r="BB757">
        <f>AZ757*BA757</f>
        <v>18.13824</v>
      </c>
      <c r="BC757" s="495"/>
      <c r="BR757" t="str">
        <f>I757</f>
        <v>Blue Ral5015</v>
      </c>
      <c r="BZ757" t="s">
        <v>646</v>
      </c>
      <c r="CA757" s="112"/>
      <c r="CE757" t="s">
        <v>204</v>
      </c>
      <c r="CG757" s="122"/>
      <c r="CV757" s="388"/>
    </row>
    <row r="758" spans="1:100" customFormat="1" ht="30" customHeight="1" outlineLevel="1">
      <c r="A758" s="112"/>
      <c r="B758" s="418" t="s">
        <v>663</v>
      </c>
      <c r="C758" s="460" t="s">
        <v>781</v>
      </c>
      <c r="D758" s="418">
        <f>IFERROR(IF(G758="预镀锌",VLOOKUP(C758,常规材料表!$1:$1048576,5,0),VLOOKUP(C758,常规材料表!$1:$1048576,10,0)),0)</f>
        <v>4.28</v>
      </c>
      <c r="E758" s="418">
        <f>IFERROR(IF(G758="喷塑",1,0)*VLOOKUP(C758,常规材料表!$1:$1048576,12,0)+IF(G758="热镀锌",1,0)*VLOOKUP(C758,常规材料表!$1:$1048576,13,0)+IF(G758="冷镀锌",1,0)*VLOOKUP(C758,常规材料表!$1:$1048576,15,0),0)</f>
        <v>0.8</v>
      </c>
      <c r="F758" s="418">
        <f>IFERROR(VLOOKUP(C758,常规材料表!$1:$1048576,11,0)/P758+D764,0)</f>
        <v>0.85407801418439733</v>
      </c>
      <c r="G758" s="514" t="s">
        <v>236</v>
      </c>
      <c r="H758" s="418">
        <f>P758*(D758+F758*1.13+E758+S758)/1.13*N758</f>
        <v>0</v>
      </c>
      <c r="I758" s="623">
        <f>N758*F757</f>
        <v>0</v>
      </c>
      <c r="J758" s="460"/>
      <c r="K758" s="54" t="s">
        <v>237</v>
      </c>
      <c r="L758" s="667">
        <f>L749</f>
        <v>1600</v>
      </c>
      <c r="M758" s="418">
        <f>H757/G757</f>
        <v>5.2366323469578617</v>
      </c>
      <c r="N758">
        <f>J758/J757</f>
        <v>0</v>
      </c>
      <c r="O758" s="255" t="s">
        <v>784</v>
      </c>
      <c r="P758" s="112">
        <f>IFERROR(VLOOKUP(C758,常规材料表!$1:$1048576,3,0)*L758/1000,0)</f>
        <v>1.8047999999999997</v>
      </c>
      <c r="Q758" s="112">
        <f>IFERROR(VLOOKUP(C758,常规材料表!$1:$1048576,4,0)*D757/1000,0)</f>
        <v>0</v>
      </c>
      <c r="R758">
        <f t="shared" ref="R758:R763" si="122">W758+AC758+AI758</f>
        <v>3.9600000000000142</v>
      </c>
      <c r="S758">
        <f t="shared" ref="S758:S763" si="123">R758/P758</f>
        <v>2.1941489361702211</v>
      </c>
      <c r="T758" t="str">
        <f>IFERROR(VLOOKUP(C758,常规材料表!$1:$1048576,17,0),0)</f>
        <v>M10*120 8.8G</v>
      </c>
      <c r="U758">
        <f>IFERROR(VLOOKUP(C758,常规材料表!$1:$1048576,18,0),0)</f>
        <v>4</v>
      </c>
      <c r="V758">
        <f>IFERROR(VLOOKUP(T758,常规材料表!$1:$1048576,5,0),0)*X758</f>
        <v>0.83000000000000307</v>
      </c>
      <c r="W758">
        <f t="shared" ref="W758:W763" si="124">V758*U758</f>
        <v>3.3200000000000123</v>
      </c>
      <c r="X758">
        <f>IFERROR(VLOOKUP(T758,常规材料表!$1:$1048576,3,0),0)</f>
        <v>7.0000000000000007E-2</v>
      </c>
      <c r="Y758">
        <f t="shared" ref="Y758:Y763" si="125">X758*U758</f>
        <v>0.28000000000000003</v>
      </c>
      <c r="Z758" t="str">
        <f>IFERROR(VLOOKUP(C758,常规材料表!$1:$1048576,19,0),0)</f>
        <v>M10*30  8.8G</v>
      </c>
      <c r="AA758">
        <f>IFERROR(VLOOKUP(C758,常规材料表!$1:$1048576,20,0),0)</f>
        <v>2</v>
      </c>
      <c r="AB758">
        <f>IFERROR(VLOOKUP(Z758,常规材料表!$1:$1048576,5,0),0)*AD758</f>
        <v>0.32000000000000101</v>
      </c>
      <c r="AC758">
        <f t="shared" ref="AC758:AC763" si="126">AB758*AA758</f>
        <v>0.64000000000000201</v>
      </c>
      <c r="AD758">
        <f>IFERROR(VLOOKUP(Z758,常规材料表!$1:$1048576,3,0),0)</f>
        <v>0.03</v>
      </c>
      <c r="AE758">
        <f t="shared" ref="AE758:AE763" si="127">AD758*AA758</f>
        <v>0.06</v>
      </c>
      <c r="AF758">
        <f>IFERROR(VLOOKUP(C758,常规材料表!$1:$1048576,21,0),0)</f>
        <v>0</v>
      </c>
      <c r="AG758">
        <f>IFERROR(VLOOKUP(C758,常规材料表!$1:$1048576,22,0),0)</f>
        <v>0</v>
      </c>
      <c r="AH758">
        <f>IFERROR(VLOOKUP(AF758,常规材料表!$1:$1048576,5,0),0)</f>
        <v>0</v>
      </c>
      <c r="AI758">
        <f t="shared" ref="AI758:AI763" si="128">AH758*AG758</f>
        <v>0</v>
      </c>
      <c r="AJ758">
        <f>IFERROR(VLOOKUP(AF758,常规材料表!$1:$1048576,3,0),0)</f>
        <v>0</v>
      </c>
      <c r="AK758">
        <f t="shared" ref="AK758:AK763" si="129">AJ758*AG758</f>
        <v>0</v>
      </c>
      <c r="AQ758" s="110"/>
      <c r="AX758" t="s">
        <v>156</v>
      </c>
      <c r="AY758" t="s">
        <v>246</v>
      </c>
      <c r="AZ758" t="s">
        <v>102</v>
      </c>
      <c r="BA758" t="s">
        <v>158</v>
      </c>
      <c r="BB758" t="s">
        <v>247</v>
      </c>
      <c r="BC758" t="s">
        <v>248</v>
      </c>
      <c r="BD758" t="s">
        <v>249</v>
      </c>
      <c r="BE758" t="s">
        <v>250</v>
      </c>
      <c r="BF758" t="s">
        <v>251</v>
      </c>
      <c r="BZ758" t="s">
        <v>646</v>
      </c>
      <c r="CA758" s="112"/>
      <c r="CE758" t="s">
        <v>204</v>
      </c>
      <c r="CG758" s="122"/>
      <c r="CV758" s="388"/>
    </row>
    <row r="759" spans="1:100" customFormat="1" ht="30" customHeight="1" outlineLevel="1">
      <c r="A759" s="112"/>
      <c r="B759" s="418" t="s">
        <v>666</v>
      </c>
      <c r="C759" s="460" t="s">
        <v>782</v>
      </c>
      <c r="D759" s="418">
        <f>IFERROR(IF(G759="预镀锌",VLOOKUP(C759,常规材料表!$1:$1048576,5,0),VLOOKUP(C759,常规材料表!$1:$1048576,10,0)),0)</f>
        <v>4.28</v>
      </c>
      <c r="E759" s="418">
        <f>IFERROR(IF(G759="喷塑",1,0)*VLOOKUP(C759,常规材料表!$1:$1048576,12,0)+IF(G759="热镀锌",1,0)*VLOOKUP(C759,常规材料表!$1:$1048576,13,0)+IF(G759="冷镀锌",1,0)*VLOOKUP(C759,常规材料表!$1:$1048576,15,0),0)</f>
        <v>0.8</v>
      </c>
      <c r="F759" s="418">
        <f>IFERROR(VLOOKUP(C759,常规材料表!$1:$1048576,11,0)/P759+D764,0)</f>
        <v>0.74105712571892313</v>
      </c>
      <c r="G759" s="514" t="str">
        <f>G758</f>
        <v>喷塑</v>
      </c>
      <c r="H759" s="418">
        <f>P759*(D759+F759*1.13+E759+S759)/1.13*N759</f>
        <v>11.87291178761062</v>
      </c>
      <c r="I759" s="623">
        <f>N759*F757</f>
        <v>8</v>
      </c>
      <c r="J759" s="460">
        <v>1</v>
      </c>
      <c r="K759" s="54" t="s">
        <v>237</v>
      </c>
      <c r="L759" s="667">
        <f>L750</f>
        <v>2010</v>
      </c>
      <c r="N759">
        <f>J759/J757</f>
        <v>1</v>
      </c>
      <c r="O759" s="255" t="s">
        <v>784</v>
      </c>
      <c r="P759" s="112">
        <f>IFERROR(VLOOKUP(C759,常规材料表!$1:$1048576,3,0)*L759/1000,0)</f>
        <v>2.26728</v>
      </c>
      <c r="Q759" s="112">
        <f>IFERROR(VLOOKUP(C759,常规材料表!$1:$1048576,4,0),0)</f>
        <v>0.10048</v>
      </c>
      <c r="R759">
        <f t="shared" si="122"/>
        <v>0</v>
      </c>
      <c r="S759">
        <f t="shared" si="123"/>
        <v>0</v>
      </c>
      <c r="T759">
        <f>IFERROR(VLOOKUP(C759,常规材料表!$1:$1048576,17,0),0)</f>
        <v>0</v>
      </c>
      <c r="U759">
        <f>IFERROR(VLOOKUP(C759,常规材料表!$1:$1048576,18,0),0)</f>
        <v>0</v>
      </c>
      <c r="V759">
        <f>IFERROR(VLOOKUP(T759,常规材料表!$1:$1048576,5,0),0)</f>
        <v>0</v>
      </c>
      <c r="W759">
        <f t="shared" si="124"/>
        <v>0</v>
      </c>
      <c r="X759">
        <f>IFERROR(VLOOKUP(T759,常规材料表!$1:$1048576,3,0),0)</f>
        <v>0</v>
      </c>
      <c r="Y759">
        <f t="shared" si="125"/>
        <v>0</v>
      </c>
      <c r="Z759">
        <f>IFERROR(VLOOKUP(C759,常规材料表!$1:$1048576,19,0),0)</f>
        <v>0</v>
      </c>
      <c r="AA759">
        <f>IFERROR(VLOOKUP(C759,常规材料表!$1:$1048576,20,0),0)</f>
        <v>0</v>
      </c>
      <c r="AB759">
        <f>IFERROR(VLOOKUP(Z759,常规材料表!$1:$1048576,5,0),0)</f>
        <v>0</v>
      </c>
      <c r="AC759">
        <f t="shared" si="126"/>
        <v>0</v>
      </c>
      <c r="AD759">
        <f>IFERROR(VLOOKUP(Z759,常规材料表!$1:$1048576,3,0),0)</f>
        <v>0</v>
      </c>
      <c r="AE759">
        <f t="shared" si="127"/>
        <v>0</v>
      </c>
      <c r="AF759">
        <f>IFERROR(VLOOKUP(C759,常规材料表!$1:$1048576,21,0),0)</f>
        <v>0</v>
      </c>
      <c r="AG759">
        <f>IFERROR(VLOOKUP(C759,常规材料表!$1:$1048576,22,0),0)</f>
        <v>0</v>
      </c>
      <c r="AH759">
        <f>IFERROR(VLOOKUP(AF759,常规材料表!$1:$1048576,5,0),0)</f>
        <v>0</v>
      </c>
      <c r="AI759">
        <f t="shared" si="128"/>
        <v>0</v>
      </c>
      <c r="AJ759">
        <f>IFERROR(VLOOKUP(AF759,常规材料表!$1:$1048576,3,0),0)</f>
        <v>0</v>
      </c>
      <c r="AK759">
        <f t="shared" si="129"/>
        <v>0</v>
      </c>
      <c r="AQ759" s="110"/>
      <c r="BZ759" t="s">
        <v>646</v>
      </c>
      <c r="CA759" s="112"/>
      <c r="CE759" t="s">
        <v>204</v>
      </c>
      <c r="CG759" s="122"/>
      <c r="CV759" s="388"/>
    </row>
    <row r="760" spans="1:100" customFormat="1" ht="30" customHeight="1" outlineLevel="1">
      <c r="A760" s="112"/>
      <c r="B760" s="418" t="s">
        <v>668</v>
      </c>
      <c r="C760" s="460" t="s">
        <v>783</v>
      </c>
      <c r="D760" s="418">
        <f>IFERROR(IF(G760="预镀锌",VLOOKUP(C760,常规材料表!$1:$1048576,5,0),VLOOKUP(C760,常规材料表!$1:$1048576,10,0)),0)</f>
        <v>7.5489502241094604</v>
      </c>
      <c r="E760" s="418">
        <f>IFERROR(IF(G760="喷塑",1,0)*VLOOKUP(C760,常规材料表!$1:$1048576,12,0)+IF(G760="热镀锌",1,0)*VLOOKUP(C760,常规材料表!$1:$1048576,13,0)+IF(G760="冷镀锌",1,0)*VLOOKUP(C760,常规材料表!$1:$1048576,15,0),0)</f>
        <v>0.95</v>
      </c>
      <c r="F760" s="418">
        <f>IFERROR(VLOOKUP(C760,常规材料表!$1:$1048576,11,0)/P760+D764,0)</f>
        <v>0.3</v>
      </c>
      <c r="G760" s="514" t="str">
        <f>G758</f>
        <v>喷塑</v>
      </c>
      <c r="H760" s="418">
        <f>P760*(D760+F760*1.13+E760+S760)/1.13*N760</f>
        <v>0</v>
      </c>
      <c r="I760" s="623">
        <f>I758*2</f>
        <v>0</v>
      </c>
      <c r="J760" s="460">
        <f>J758*2</f>
        <v>0</v>
      </c>
      <c r="K760" s="54" t="s">
        <v>237</v>
      </c>
      <c r="L760" s="54"/>
      <c r="N760">
        <f>J760/J757</f>
        <v>0</v>
      </c>
      <c r="O760" s="255" t="s">
        <v>784</v>
      </c>
      <c r="P760" s="112">
        <f>IFERROR(VLOOKUP(C760,常规材料表!$1:$1048576,3,0),0)</f>
        <v>0.52987499999999998</v>
      </c>
      <c r="Q760" s="112">
        <f>IFERROR(VLOOKUP(C760,常规材料表!$1:$1048576,4,0),0)</f>
        <v>4.4999999999999998E-2</v>
      </c>
      <c r="R760">
        <f t="shared" si="122"/>
        <v>0</v>
      </c>
      <c r="S760">
        <f t="shared" si="123"/>
        <v>0</v>
      </c>
      <c r="T760">
        <f>IFERROR(VLOOKUP(C760,常规材料表!$1:$1048576,17,0),0)</f>
        <v>0</v>
      </c>
      <c r="U760">
        <f>IFERROR(VLOOKUP(C760,常规材料表!$1:$1048576,18,0),0)</f>
        <v>0</v>
      </c>
      <c r="V760">
        <f>IFERROR(VLOOKUP(T760,常规材料表!$1:$1048576,5,0),0)</f>
        <v>0</v>
      </c>
      <c r="W760">
        <f t="shared" si="124"/>
        <v>0</v>
      </c>
      <c r="X760">
        <f>IFERROR(VLOOKUP(T760,常规材料表!$1:$1048576,3,0),0)</f>
        <v>0</v>
      </c>
      <c r="Y760">
        <f t="shared" si="125"/>
        <v>0</v>
      </c>
      <c r="Z760">
        <f>IFERROR(VLOOKUP(C760,常规材料表!$1:$1048576,19,0),0)</f>
        <v>0</v>
      </c>
      <c r="AA760">
        <f>IFERROR(VLOOKUP(C760,常规材料表!$1:$1048576,20,0),0)</f>
        <v>0</v>
      </c>
      <c r="AB760">
        <f>IFERROR(VLOOKUP(Z760,常规材料表!$1:$1048576,5,0),0)</f>
        <v>0</v>
      </c>
      <c r="AC760">
        <f t="shared" si="126"/>
        <v>0</v>
      </c>
      <c r="AD760">
        <f>IFERROR(VLOOKUP(Z760,常规材料表!$1:$1048576,3,0),0)</f>
        <v>0</v>
      </c>
      <c r="AE760">
        <f t="shared" si="127"/>
        <v>0</v>
      </c>
      <c r="AF760">
        <f>IFERROR(VLOOKUP(C760,常规材料表!$1:$1048576,21,0),0)</f>
        <v>0</v>
      </c>
      <c r="AG760">
        <f>IFERROR(VLOOKUP(C760,常规材料表!$1:$1048576,22,0),0)</f>
        <v>0</v>
      </c>
      <c r="AH760">
        <f>IFERROR(VLOOKUP(AF760,常规材料表!$1:$1048576,5,0),0)</f>
        <v>0</v>
      </c>
      <c r="AI760">
        <f t="shared" si="128"/>
        <v>0</v>
      </c>
      <c r="AJ760">
        <f>IFERROR(VLOOKUP(AF760,常规材料表!$1:$1048576,3,0),0)</f>
        <v>0</v>
      </c>
      <c r="AK760">
        <f t="shared" si="129"/>
        <v>0</v>
      </c>
      <c r="AQ760" s="110"/>
      <c r="BZ760" t="s">
        <v>646</v>
      </c>
      <c r="CA760" s="112"/>
      <c r="CE760" t="s">
        <v>204</v>
      </c>
      <c r="CG760" s="122"/>
      <c r="CV760" s="388"/>
    </row>
    <row r="761" spans="1:100" customFormat="1" ht="30" customHeight="1" outlineLevel="1">
      <c r="A761" s="112"/>
      <c r="B761" s="418"/>
      <c r="C761" s="418"/>
      <c r="D761" s="418">
        <f>IFERROR(IF(G761="预镀锌",VLOOKUP(C761,常规材料表!$1:$1048576,5,0),VLOOKUP(C761,常规材料表!$1:$1048576,10,0)),0)</f>
        <v>0</v>
      </c>
      <c r="E761" s="418">
        <f>IFERROR(IF(G761="喷塑",1,0)*VLOOKUP(C761,常规材料表!$1:$1048576,12,0)+IF(G761="热镀锌",1,0)*VLOOKUP(C761,常规材料表!$1:$1048576,13,0)+IF(G761="冷镀锌",1,0)*VLOOKUP(C761,常规材料表!$1:$1048576,15,0),0)</f>
        <v>0</v>
      </c>
      <c r="F761" s="418">
        <f>IFERROR(VLOOKUP(C761,常规材料表!$1:$1048576,11,0)/P761+0.4,0)</f>
        <v>0</v>
      </c>
      <c r="G761" s="418"/>
      <c r="H761" s="418">
        <f>IFERROR(P761*(D761+F761*1.13+E761+S761)/1.13*N761,0)</f>
        <v>0</v>
      </c>
      <c r="I761" s="418" t="s">
        <v>102</v>
      </c>
      <c r="J761" s="418" t="s">
        <v>623</v>
      </c>
      <c r="K761" s="54" t="s">
        <v>237</v>
      </c>
      <c r="L761" s="54"/>
      <c r="O761" s="255" t="s">
        <v>784</v>
      </c>
      <c r="P761" s="112">
        <f>IFERROR(VLOOKUP(C761,常规材料表!$1:$1048576,3,0),0)</f>
        <v>0</v>
      </c>
      <c r="Q761" s="112">
        <f>IFERROR(VLOOKUP(C761,常规材料表!$1:$1048576,4,0),0)</f>
        <v>0</v>
      </c>
      <c r="R761">
        <f t="shared" si="122"/>
        <v>0</v>
      </c>
      <c r="S761" t="e">
        <f t="shared" si="123"/>
        <v>#DIV/0!</v>
      </c>
      <c r="T761">
        <f>IFERROR(VLOOKUP(C761,常规材料表!$1:$1048576,17,0),0)</f>
        <v>0</v>
      </c>
      <c r="U761">
        <f>IFERROR(VLOOKUP(C761,常规材料表!$1:$1048576,18,0),0)</f>
        <v>0</v>
      </c>
      <c r="V761">
        <f>IFERROR(VLOOKUP(T761,常规材料表!$1:$1048576,5,0),0)</f>
        <v>0</v>
      </c>
      <c r="W761">
        <f t="shared" si="124"/>
        <v>0</v>
      </c>
      <c r="X761">
        <f>IFERROR(VLOOKUP(T761,常规材料表!$1:$1048576,3,0),0)</f>
        <v>0</v>
      </c>
      <c r="Y761">
        <f t="shared" si="125"/>
        <v>0</v>
      </c>
      <c r="Z761">
        <f>IFERROR(VLOOKUP(C761,常规材料表!$1:$1048576,19,0),0)</f>
        <v>0</v>
      </c>
      <c r="AA761">
        <f>IFERROR(VLOOKUP(C761,常规材料表!$1:$1048576,20,0),0)</f>
        <v>0</v>
      </c>
      <c r="AB761">
        <f>IFERROR(VLOOKUP(Z761,常规材料表!$1:$1048576,5,0),0)</f>
        <v>0</v>
      </c>
      <c r="AC761">
        <f t="shared" si="126"/>
        <v>0</v>
      </c>
      <c r="AD761">
        <f>IFERROR(VLOOKUP(Z761,常规材料表!$1:$1048576,3,0),0)</f>
        <v>0</v>
      </c>
      <c r="AE761">
        <f t="shared" si="127"/>
        <v>0</v>
      </c>
      <c r="AF761">
        <f>IFERROR(VLOOKUP(C761,常规材料表!$1:$1048576,21,0),0)</f>
        <v>0</v>
      </c>
      <c r="AG761">
        <f>IFERROR(VLOOKUP(C761,常规材料表!$1:$1048576,22,0),0)</f>
        <v>0</v>
      </c>
      <c r="AH761">
        <f>IFERROR(VLOOKUP(AF761,常规材料表!$1:$1048576,5,0),0)</f>
        <v>0</v>
      </c>
      <c r="AI761">
        <f t="shared" si="128"/>
        <v>0</v>
      </c>
      <c r="AJ761">
        <f>IFERROR(VLOOKUP(AF761,常规材料表!$1:$1048576,3,0),0)</f>
        <v>0</v>
      </c>
      <c r="AK761">
        <f t="shared" si="129"/>
        <v>0</v>
      </c>
      <c r="AQ761" s="110"/>
      <c r="BZ761" t="s">
        <v>646</v>
      </c>
      <c r="CA761" s="112"/>
      <c r="CE761" t="s">
        <v>204</v>
      </c>
      <c r="CG761" s="122"/>
      <c r="CV761" s="388"/>
    </row>
    <row r="762" spans="1:100" customFormat="1" ht="30" customHeight="1" outlineLevel="1">
      <c r="A762" s="112"/>
      <c r="B762" s="418"/>
      <c r="C762" s="418"/>
      <c r="D762" s="418">
        <f>IFERROR(IF(G762="预镀锌",VLOOKUP(C762,常规材料表!$1:$1048576,5,0),VLOOKUP(C762,常规材料表!$1:$1048576,10,0)),0)</f>
        <v>0</v>
      </c>
      <c r="E762" s="418">
        <f>IFERROR(IF(G762="喷塑",1,0)*VLOOKUP(C762,常规材料表!$1:$1048576,12,0)+IF(G762="热镀锌",1,0)*VLOOKUP(C762,常规材料表!$1:$1048576,13,0)+IF(G762="冷镀锌",1,0)*VLOOKUP(C762,常规材料表!$1:$1048576,15,0),0)</f>
        <v>0</v>
      </c>
      <c r="F762" s="418">
        <f>IFERROR(VLOOKUP(C762,常规材料表!$1:$1048576,11,0)/P762+0.4,0)</f>
        <v>0</v>
      </c>
      <c r="G762" s="418"/>
      <c r="H762" s="418">
        <f>IFERROR(P762*(D762+F762*1.13+E762+S762)/1.13*N762,0)</f>
        <v>0</v>
      </c>
      <c r="I762" s="418"/>
      <c r="J762" s="54"/>
      <c r="K762" s="54" t="s">
        <v>237</v>
      </c>
      <c r="L762" s="54"/>
      <c r="O762" s="255" t="s">
        <v>784</v>
      </c>
      <c r="P762" s="112">
        <f>IFERROR(VLOOKUP(C762,常规材料表!$1:$1048576,3,0),0)</f>
        <v>0</v>
      </c>
      <c r="Q762" s="112">
        <f>IFERROR(VLOOKUP(C762,常规材料表!$1:$1048576,4,0),0)</f>
        <v>0</v>
      </c>
      <c r="R762">
        <f t="shared" si="122"/>
        <v>0</v>
      </c>
      <c r="S762" t="e">
        <f t="shared" si="123"/>
        <v>#DIV/0!</v>
      </c>
      <c r="T762">
        <f>IFERROR(VLOOKUP(C762,常规材料表!$1:$1048576,17,0),0)</f>
        <v>0</v>
      </c>
      <c r="U762">
        <f>IFERROR(VLOOKUP(C762,常规材料表!$1:$1048576,18,0),0)</f>
        <v>0</v>
      </c>
      <c r="V762">
        <f>IFERROR(VLOOKUP(T762,常规材料表!$1:$1048576,5,0),0)</f>
        <v>0</v>
      </c>
      <c r="W762">
        <f t="shared" si="124"/>
        <v>0</v>
      </c>
      <c r="X762">
        <f>IFERROR(VLOOKUP(T762,常规材料表!$1:$1048576,3,0),0)</f>
        <v>0</v>
      </c>
      <c r="Y762">
        <f t="shared" si="125"/>
        <v>0</v>
      </c>
      <c r="Z762">
        <f>IFERROR(VLOOKUP(C762,常规材料表!$1:$1048576,19,0),0)</f>
        <v>0</v>
      </c>
      <c r="AA762">
        <f>IFERROR(VLOOKUP(C762,常规材料表!$1:$1048576,20,0),0)</f>
        <v>0</v>
      </c>
      <c r="AB762">
        <f>IFERROR(VLOOKUP(Z762,常规材料表!$1:$1048576,5,0),0)</f>
        <v>0</v>
      </c>
      <c r="AC762">
        <f t="shared" si="126"/>
        <v>0</v>
      </c>
      <c r="AD762">
        <f>IFERROR(VLOOKUP(Z762,常规材料表!$1:$1048576,3,0),0)</f>
        <v>0</v>
      </c>
      <c r="AE762">
        <f t="shared" si="127"/>
        <v>0</v>
      </c>
      <c r="AF762">
        <f>IFERROR(VLOOKUP(C762,常规材料表!$1:$1048576,21,0),0)</f>
        <v>0</v>
      </c>
      <c r="AG762">
        <f>IFERROR(VLOOKUP(C762,常规材料表!$1:$1048576,22,0),0)</f>
        <v>0</v>
      </c>
      <c r="AH762">
        <f>IFERROR(VLOOKUP(AF762,常规材料表!$1:$1048576,5,0),0)</f>
        <v>0</v>
      </c>
      <c r="AI762">
        <f t="shared" si="128"/>
        <v>0</v>
      </c>
      <c r="AJ762">
        <f>IFERROR(VLOOKUP(AF762,常规材料表!$1:$1048576,3,0),0)</f>
        <v>0</v>
      </c>
      <c r="AK762">
        <f t="shared" si="129"/>
        <v>0</v>
      </c>
      <c r="AQ762" s="110"/>
      <c r="BZ762" t="s">
        <v>646</v>
      </c>
      <c r="CA762" s="112"/>
      <c r="CE762" t="s">
        <v>204</v>
      </c>
      <c r="CG762" s="122"/>
      <c r="CV762" s="388"/>
    </row>
    <row r="763" spans="1:100" customFormat="1" ht="30" customHeight="1" outlineLevel="1">
      <c r="A763" s="112"/>
      <c r="B763" s="418"/>
      <c r="C763" s="418"/>
      <c r="D763" s="418">
        <f>IFERROR(VLOOKUP(C763,常规材料表!$1:$1048576,5,0),0)</f>
        <v>0</v>
      </c>
      <c r="E763" s="418">
        <f>IFERROR(IF(G763="喷塑",1,0)*VLOOKUP(C763,常规材料表!$1:$1048576,12,0)+IF(G763="热镀锌",1,0)*VLOOKUP(C763,常规材料表!$1:$1048576,13,0)+IF(G763="冷镀锌",1,0)*VLOOKUP(C763,常规材料表!$1:$1048576,15,0),0)</f>
        <v>0</v>
      </c>
      <c r="F763" s="418">
        <f>IFERROR(VLOOKUP(C763,常规材料表!$1:$1048576,11,0)/P763+0.4,0)</f>
        <v>0</v>
      </c>
      <c r="G763" s="418"/>
      <c r="H763" s="418">
        <f>IFERROR(P763*(D763+F763*1.13+E763+S763)/1.13*N763,0)</f>
        <v>0</v>
      </c>
      <c r="I763" s="418"/>
      <c r="J763" s="54"/>
      <c r="K763" s="54" t="s">
        <v>237</v>
      </c>
      <c r="L763" s="54"/>
      <c r="O763" s="255" t="s">
        <v>784</v>
      </c>
      <c r="P763" s="112">
        <f>IFERROR(VLOOKUP(C763,常规材料表!$1:$1048576,3,0),0)</f>
        <v>0</v>
      </c>
      <c r="Q763" s="112">
        <f>IFERROR(VLOOKUP(C763,常规材料表!$1:$1048576,4,0),0)</f>
        <v>0</v>
      </c>
      <c r="R763">
        <f t="shared" si="122"/>
        <v>0</v>
      </c>
      <c r="S763" t="e">
        <f t="shared" si="123"/>
        <v>#DIV/0!</v>
      </c>
      <c r="T763">
        <f>IFERROR(VLOOKUP(C763,常规材料表!$1:$1048576,17,0),0)</f>
        <v>0</v>
      </c>
      <c r="U763">
        <f>IFERROR(VLOOKUP(C763,常规材料表!$1:$1048576,18,0),0)</f>
        <v>0</v>
      </c>
      <c r="V763">
        <f>IFERROR(VLOOKUP(T763,常规材料表!$1:$1048576,5,0),0)</f>
        <v>0</v>
      </c>
      <c r="W763">
        <f t="shared" si="124"/>
        <v>0</v>
      </c>
      <c r="X763">
        <f>IFERROR(VLOOKUP(T763,常规材料表!$1:$1048576,3,0),0)</f>
        <v>0</v>
      </c>
      <c r="Y763">
        <f t="shared" si="125"/>
        <v>0</v>
      </c>
      <c r="Z763">
        <f>IFERROR(VLOOKUP(C763,常规材料表!$1:$1048576,19,0),0)</f>
        <v>0</v>
      </c>
      <c r="AA763">
        <f>IFERROR(VLOOKUP(C763,常规材料表!$1:$1048576,20,0),0)</f>
        <v>0</v>
      </c>
      <c r="AB763">
        <f>IFERROR(VLOOKUP(Z763,常规材料表!$1:$1048576,5,0),0)</f>
        <v>0</v>
      </c>
      <c r="AC763">
        <f t="shared" si="126"/>
        <v>0</v>
      </c>
      <c r="AD763">
        <f>IFERROR(VLOOKUP(Z763,常规材料表!$1:$1048576,3,0),0)</f>
        <v>0</v>
      </c>
      <c r="AE763">
        <f t="shared" si="127"/>
        <v>0</v>
      </c>
      <c r="AF763">
        <f>IFERROR(VLOOKUP(C763,常规材料表!$1:$1048576,21,0),0)</f>
        <v>0</v>
      </c>
      <c r="AG763">
        <f>IFERROR(VLOOKUP(C763,常规材料表!$1:$1048576,22,0),0)</f>
        <v>0</v>
      </c>
      <c r="AH763">
        <f>IFERROR(VLOOKUP(AF763,常规材料表!$1:$1048576,5,0),0)</f>
        <v>0</v>
      </c>
      <c r="AI763">
        <f t="shared" si="128"/>
        <v>0</v>
      </c>
      <c r="AJ763">
        <f>IFERROR(VLOOKUP(AF763,常规材料表!$1:$1048576,3,0),0)</f>
        <v>0</v>
      </c>
      <c r="AK763">
        <f t="shared" si="129"/>
        <v>0</v>
      </c>
      <c r="AQ763" s="110"/>
      <c r="BZ763" t="s">
        <v>646</v>
      </c>
      <c r="CA763" s="112"/>
      <c r="CE763" t="s">
        <v>204</v>
      </c>
      <c r="CG763" s="122"/>
      <c r="CV763" s="388"/>
    </row>
    <row r="764" spans="1:100" customFormat="1" ht="30" customHeight="1" outlineLevel="1">
      <c r="A764" s="112"/>
      <c r="B764" s="414">
        <v>0</v>
      </c>
      <c r="C764" s="418" t="s">
        <v>622</v>
      </c>
      <c r="D764" s="655">
        <v>0.3</v>
      </c>
      <c r="E764" s="418"/>
      <c r="F764" s="418"/>
      <c r="G764" s="418"/>
      <c r="H764" s="418"/>
      <c r="I764" s="418"/>
      <c r="J764" s="54"/>
      <c r="K764" s="54" t="s">
        <v>237</v>
      </c>
      <c r="L764" s="54"/>
      <c r="O764" s="255" t="s">
        <v>784</v>
      </c>
      <c r="AQ764" s="110"/>
      <c r="BZ764" t="s">
        <v>646</v>
      </c>
      <c r="CA764" s="112"/>
      <c r="CE764" t="s">
        <v>204</v>
      </c>
      <c r="CG764" s="122"/>
      <c r="CV764" s="388"/>
    </row>
    <row r="765" spans="1:100" s="376" customFormat="1" ht="30" customHeight="1">
      <c r="A765" s="472"/>
      <c r="B765" s="473"/>
      <c r="C765" s="473"/>
      <c r="D765" s="473"/>
      <c r="E765" s="474"/>
      <c r="F765" s="473"/>
      <c r="G765" s="473"/>
      <c r="H765" s="473"/>
      <c r="I765" s="473"/>
      <c r="J765" s="475"/>
      <c r="K765" s="475"/>
      <c r="L765" s="475"/>
      <c r="O765" s="255" t="s">
        <v>784</v>
      </c>
      <c r="AQ765" s="476"/>
      <c r="BZ765" t="s">
        <v>646</v>
      </c>
      <c r="CA765" s="112"/>
      <c r="CB765"/>
      <c r="CC765"/>
      <c r="CD765"/>
      <c r="CE765" t="s">
        <v>204</v>
      </c>
      <c r="CF765"/>
      <c r="CG765" s="122"/>
    </row>
    <row r="766" spans="1:100" customFormat="1" ht="30" customHeight="1">
      <c r="A766" s="112" t="str">
        <f>IF($C$13=1,IF(K766="报价行",IF(F766&gt;0,1," ")," ")," ")</f>
        <v xml:space="preserve"> </v>
      </c>
      <c r="B766" s="414" t="str">
        <f>IF(A766=1,SUM($A$11:A766),"钢层板")</f>
        <v>钢层板</v>
      </c>
      <c r="C766" s="415" t="str">
        <f>B767&amp;IF(C772=1,CHAR(10)&amp;B768," ")</f>
        <v xml:space="preserve">Steel panel </v>
      </c>
      <c r="D766" s="530" t="str">
        <f>"D"&amp;D769&amp;"*W"&amp;E769</f>
        <v>D600*W600</v>
      </c>
      <c r="E766" s="415" t="str">
        <f>"t="&amp;B769&amp;IF(G769&gt;1,", divide to "&amp;G769&amp;" pcs,","  ")&amp;C770&amp;" ribs/pc"&amp;", "&amp;IF(E767&gt;0,E767&amp;" kg/level"," ")</f>
        <v xml:space="preserve">t=0.8  2 ribs/pc,  </v>
      </c>
      <c r="F766" s="418"/>
      <c r="G766" s="559">
        <f>IF(C771&gt;0,G771*G769,G770*G769)</f>
        <v>3.6208445280000006</v>
      </c>
      <c r="H766" s="420">
        <f>IFERROR((H767*1.01+J767)*G766/1.13,"-")</f>
        <v>19.417980389097352</v>
      </c>
      <c r="I766" s="421" t="s">
        <v>425</v>
      </c>
      <c r="J766" s="422"/>
      <c r="K766" s="423" t="s">
        <v>217</v>
      </c>
      <c r="L766" s="54"/>
      <c r="O766" t="s">
        <v>785</v>
      </c>
      <c r="R766" s="387"/>
      <c r="S766" s="387"/>
      <c r="T766" s="387"/>
      <c r="U766" s="387"/>
      <c r="V766" s="387"/>
      <c r="W766" s="387"/>
      <c r="X766" s="387"/>
      <c r="AQ766" s="110"/>
      <c r="AX766" t="str">
        <f>E766</f>
        <v xml:space="preserve">t=0.8  2 ribs/pc,  </v>
      </c>
      <c r="AY766" s="494" t="str">
        <f>D766</f>
        <v>D600*W600</v>
      </c>
      <c r="AZ766">
        <f>F766</f>
        <v>0</v>
      </c>
      <c r="BA766" s="256" t="e">
        <f>#REF!</f>
        <v>#REF!</v>
      </c>
      <c r="BB766" t="e">
        <f>AZ766*BA766</f>
        <v>#REF!</v>
      </c>
      <c r="BC766" s="495">
        <f>F769</f>
        <v>28</v>
      </c>
      <c r="BR766" t="str">
        <f>I766</f>
        <v>Pre gal</v>
      </c>
      <c r="BZ766" t="s">
        <v>426</v>
      </c>
      <c r="CA766" s="112" t="s">
        <v>200</v>
      </c>
      <c r="CG766" s="122"/>
      <c r="CV766" s="388"/>
    </row>
    <row r="767" spans="1:100" customFormat="1" ht="30" customHeight="1" outlineLevel="1">
      <c r="A767" s="112"/>
      <c r="B767" s="545" t="s">
        <v>427</v>
      </c>
      <c r="C767" s="380"/>
      <c r="D767" s="587">
        <f>IF(C771&gt;0,I771,((E769/G769+81)*(D769-C769+72)*2+C770*D770*(D769-C769))*1/1000000*1.05*G769)</f>
        <v>1.0284792</v>
      </c>
      <c r="E767" s="588"/>
      <c r="F767" s="558"/>
      <c r="G767" s="532" t="s">
        <v>428</v>
      </c>
      <c r="H767" s="418">
        <v>6</v>
      </c>
      <c r="I767" s="418">
        <v>7.5</v>
      </c>
      <c r="J767" s="418">
        <f>IFERROR(IF(G767="喷塑",D767*I767/G766,0),"-")</f>
        <v>0</v>
      </c>
      <c r="K767" s="54" t="s">
        <v>237</v>
      </c>
      <c r="L767" s="54"/>
      <c r="O767" t="s">
        <v>785</v>
      </c>
      <c r="R767" s="387"/>
      <c r="S767" s="387"/>
      <c r="T767" s="387"/>
      <c r="U767" s="387"/>
      <c r="V767" s="387"/>
      <c r="W767" s="387"/>
      <c r="X767" s="387"/>
      <c r="AQ767" s="110"/>
      <c r="AX767" t="s">
        <v>156</v>
      </c>
      <c r="AY767" t="s">
        <v>246</v>
      </c>
      <c r="AZ767" t="s">
        <v>102</v>
      </c>
      <c r="BA767" t="s">
        <v>158</v>
      </c>
      <c r="BB767" t="s">
        <v>247</v>
      </c>
      <c r="BC767" t="s">
        <v>248</v>
      </c>
      <c r="BD767" t="s">
        <v>249</v>
      </c>
      <c r="BE767" t="s">
        <v>250</v>
      </c>
      <c r="BF767" t="s">
        <v>251</v>
      </c>
      <c r="BG767" t="s">
        <v>252</v>
      </c>
      <c r="BH767" t="s">
        <v>253</v>
      </c>
      <c r="BI767" t="s">
        <v>254</v>
      </c>
      <c r="BJ767" t="s">
        <v>255</v>
      </c>
      <c r="BK767" t="s">
        <v>256</v>
      </c>
      <c r="BL767" t="s">
        <v>257</v>
      </c>
      <c r="BM767" t="s">
        <v>258</v>
      </c>
      <c r="BZ767" t="s">
        <v>426</v>
      </c>
      <c r="CA767" s="112" t="s">
        <v>200</v>
      </c>
      <c r="CG767" s="122"/>
      <c r="CV767" s="388"/>
    </row>
    <row r="768" spans="1:100" customFormat="1" ht="30" customHeight="1" outlineLevel="1">
      <c r="A768" s="112"/>
      <c r="B768" s="447" t="s">
        <v>426</v>
      </c>
      <c r="C768" s="418" t="s">
        <v>429</v>
      </c>
      <c r="D768" s="380"/>
      <c r="E768" s="589">
        <f>IF(C771&gt;0,0,F770*G769)</f>
        <v>483.42857142857144</v>
      </c>
      <c r="F768" s="380"/>
      <c r="G768" s="418"/>
      <c r="H768" s="382"/>
      <c r="I768" s="421"/>
      <c r="J768" s="422"/>
      <c r="K768" s="54" t="s">
        <v>237</v>
      </c>
      <c r="L768" s="54"/>
      <c r="O768" t="s">
        <v>785</v>
      </c>
      <c r="R768" s="387"/>
      <c r="S768" s="387"/>
      <c r="T768" s="387"/>
      <c r="U768" s="387"/>
      <c r="V768" s="387"/>
      <c r="W768" s="387"/>
      <c r="X768" s="387"/>
      <c r="AQ768" s="110"/>
      <c r="BZ768" t="s">
        <v>426</v>
      </c>
      <c r="CA768" s="112" t="s">
        <v>200</v>
      </c>
      <c r="CG768" s="122"/>
      <c r="CV768" s="388"/>
    </row>
    <row r="769" spans="1:100" customFormat="1" ht="30" customHeight="1" outlineLevel="1">
      <c r="A769" s="112"/>
      <c r="B769" s="590">
        <v>0.8</v>
      </c>
      <c r="C769" s="591">
        <v>40</v>
      </c>
      <c r="D769" s="592">
        <v>600</v>
      </c>
      <c r="E769" s="593">
        <v>600</v>
      </c>
      <c r="F769" s="558">
        <v>28</v>
      </c>
      <c r="G769" s="594">
        <v>1</v>
      </c>
      <c r="H769" s="595"/>
      <c r="I769" s="421" t="str">
        <f>F769&amp;"-"&amp;B769</f>
        <v>28-0.8</v>
      </c>
      <c r="J769" s="596">
        <f>IF(F769=40,105,IF(F769=30,85,IF(F769=25,75,81)))</f>
        <v>81</v>
      </c>
      <c r="K769" s="54" t="s">
        <v>237</v>
      </c>
      <c r="L769" s="54"/>
      <c r="M769" s="418"/>
      <c r="N769" s="418"/>
      <c r="O769" t="s">
        <v>785</v>
      </c>
      <c r="Q769" s="112"/>
      <c r="R769" s="387"/>
      <c r="S769" s="387"/>
      <c r="T769" s="387"/>
      <c r="U769" s="387"/>
      <c r="V769" s="387"/>
      <c r="W769" s="387"/>
      <c r="X769" s="387"/>
      <c r="AQ769" s="110"/>
      <c r="AX769" t="s">
        <v>156</v>
      </c>
      <c r="AY769" t="s">
        <v>246</v>
      </c>
      <c r="AZ769" t="s">
        <v>102</v>
      </c>
      <c r="BA769" t="s">
        <v>158</v>
      </c>
      <c r="BB769" t="s">
        <v>247</v>
      </c>
      <c r="BC769" t="s">
        <v>248</v>
      </c>
      <c r="BD769" t="s">
        <v>249</v>
      </c>
      <c r="BE769" t="s">
        <v>250</v>
      </c>
      <c r="BF769" t="s">
        <v>251</v>
      </c>
      <c r="BG769" t="s">
        <v>252</v>
      </c>
      <c r="BH769" t="s">
        <v>253</v>
      </c>
      <c r="BI769" t="s">
        <v>254</v>
      </c>
      <c r="BJ769" t="s">
        <v>255</v>
      </c>
      <c r="BK769" t="s">
        <v>256</v>
      </c>
      <c r="BL769" t="s">
        <v>257</v>
      </c>
      <c r="BM769" t="s">
        <v>258</v>
      </c>
      <c r="BZ769" t="s">
        <v>426</v>
      </c>
      <c r="CA769" s="112" t="s">
        <v>200</v>
      </c>
      <c r="CG769" s="122"/>
      <c r="CV769" s="388"/>
    </row>
    <row r="770" spans="1:100" customFormat="1" ht="30" customHeight="1" outlineLevel="1">
      <c r="A770" s="112"/>
      <c r="B770" s="597">
        <f>IF(C771&gt;0,0,B769)</f>
        <v>0.8</v>
      </c>
      <c r="C770" s="598">
        <f>IF(C771&gt;0,0,ROUNDDOWN(E769/G769/270,0))</f>
        <v>2</v>
      </c>
      <c r="D770" s="599">
        <f>IF(F769&lt;28,98,IF(F769=28,106,IF(F769=30,108,IF(F769=40,149,"特殊高度"))))*IF(C771&gt;0,0,1)</f>
        <v>106</v>
      </c>
      <c r="E770" s="600">
        <f>IF(C771&gt;0,0,VLOOKUP(I769,常规材料表!$1:$1048576,2,0))</f>
        <v>0.94</v>
      </c>
      <c r="F770" s="601">
        <f>IF(C771&gt;0,0,0.5376*1000000*E770*(C770+1)/((D769-C769)*(D769-C769)/100))</f>
        <v>483.42857142857144</v>
      </c>
      <c r="G770" s="602">
        <f>IF(C771&gt;0,0,((E769/G769+J769)*(D769-C769+J770)*B769+C770*D770*B770*(D769-C769))*7.85/1000000*1.05)</f>
        <v>3.6208445280000006</v>
      </c>
      <c r="H770" s="382"/>
      <c r="I770" s="422"/>
      <c r="J770" s="603">
        <f>IF(F769=40,96,IF(F769=30,76,IF(F769=25,66,72)))</f>
        <v>72</v>
      </c>
      <c r="K770" s="54" t="s">
        <v>237</v>
      </c>
      <c r="L770" s="54"/>
      <c r="M770" s="418"/>
      <c r="N770" s="245"/>
      <c r="O770" t="s">
        <v>785</v>
      </c>
      <c r="Q770" s="112"/>
      <c r="R770" s="387"/>
      <c r="S770" s="387"/>
      <c r="T770" s="387"/>
      <c r="U770" s="387"/>
      <c r="V770" s="387"/>
      <c r="W770" s="387"/>
      <c r="X770" s="387"/>
      <c r="AQ770" s="110"/>
      <c r="BZ770" t="s">
        <v>426</v>
      </c>
      <c r="CA770" s="112" t="s">
        <v>200</v>
      </c>
      <c r="CG770" s="122"/>
      <c r="CV770" s="388"/>
    </row>
    <row r="771" spans="1:100" customFormat="1" ht="30" customHeight="1" outlineLevel="1">
      <c r="A771" s="112"/>
      <c r="B771" s="604">
        <v>103</v>
      </c>
      <c r="C771" s="112"/>
      <c r="D771" s="597">
        <v>1.3</v>
      </c>
      <c r="E771" s="605" t="str">
        <f>IFERROR((VLOOKUP(C771,常规材料表!$1:$1048576,8,0))*4-D771*4," ")</f>
        <v xml:space="preserve"> </v>
      </c>
      <c r="F771" s="606">
        <v>5</v>
      </c>
      <c r="G771" s="607" t="str">
        <f>IF(C771&gt;0,((E769/G769+B771)*(D769+B771)*B769+F771*E771*D771*(D769))*7.85/1000000+D772," ")</f>
        <v xml:space="preserve"> </v>
      </c>
      <c r="H771" s="421"/>
      <c r="I771" s="422" t="str">
        <f>IF(C771&gt;0,((E769/G769+B771)*(D769+B771)*2+F771*E771*(D769))*1/1000000*1.05*G769," ")</f>
        <v xml:space="preserve"> </v>
      </c>
      <c r="J771" s="422"/>
      <c r="K771" s="54" t="s">
        <v>237</v>
      </c>
      <c r="L771" s="54"/>
      <c r="O771" t="s">
        <v>785</v>
      </c>
      <c r="Q771" s="112"/>
      <c r="R771" s="387"/>
      <c r="S771" s="387"/>
      <c r="T771" s="387"/>
      <c r="U771" s="387"/>
      <c r="V771" s="387"/>
      <c r="W771" s="387"/>
      <c r="X771" s="387"/>
      <c r="AQ771" s="110"/>
      <c r="CA771" s="112"/>
      <c r="CG771" s="122"/>
      <c r="CV771" s="388"/>
    </row>
    <row r="772" spans="1:100" customFormat="1" ht="30" customHeight="1" outlineLevel="1">
      <c r="A772" s="112"/>
      <c r="B772" s="414">
        <v>0</v>
      </c>
      <c r="C772" s="465">
        <f>报价辅助计算!$E$13</f>
        <v>0</v>
      </c>
      <c r="D772" s="563"/>
      <c r="E772" s="418" t="s">
        <v>430</v>
      </c>
      <c r="F772" s="561"/>
      <c r="G772" s="418"/>
      <c r="H772" s="421" t="s">
        <v>786</v>
      </c>
      <c r="I772" s="422"/>
      <c r="J772" s="422"/>
      <c r="K772" s="54" t="s">
        <v>237</v>
      </c>
      <c r="L772" s="54"/>
      <c r="O772" t="s">
        <v>785</v>
      </c>
      <c r="Q772" s="112"/>
      <c r="R772" s="387"/>
      <c r="S772" s="387"/>
      <c r="T772" s="387"/>
      <c r="U772" s="387"/>
      <c r="V772" s="387"/>
      <c r="W772" s="387"/>
      <c r="X772" s="387"/>
      <c r="AQ772" s="110"/>
      <c r="BZ772" t="s">
        <v>426</v>
      </c>
      <c r="CA772" s="112" t="s">
        <v>200</v>
      </c>
      <c r="CG772" s="122"/>
      <c r="CV772" s="388"/>
    </row>
    <row r="773" spans="1:100" s="376" customFormat="1" ht="30" customHeight="1">
      <c r="A773" s="472"/>
      <c r="B773" s="473"/>
      <c r="C773" s="473"/>
      <c r="D773" s="473"/>
      <c r="E773" s="474"/>
      <c r="F773" s="473"/>
      <c r="G773" s="473"/>
      <c r="H773" s="421"/>
      <c r="I773" s="421"/>
      <c r="J773" s="422"/>
      <c r="K773" s="475"/>
      <c r="L773" s="475"/>
      <c r="O773" t="s">
        <v>785</v>
      </c>
      <c r="Q773" s="472"/>
      <c r="R773" s="387"/>
      <c r="S773" s="387"/>
      <c r="T773" s="387"/>
      <c r="U773" s="387"/>
      <c r="V773" s="387"/>
      <c r="W773" s="387"/>
      <c r="X773" s="387"/>
      <c r="AQ773" s="476"/>
      <c r="BZ773" t="s">
        <v>426</v>
      </c>
      <c r="CA773" s="112" t="s">
        <v>200</v>
      </c>
      <c r="CB773"/>
      <c r="CC773"/>
      <c r="CD773"/>
      <c r="CE773"/>
      <c r="CF773"/>
      <c r="CG773" s="122"/>
    </row>
    <row r="774" spans="1:100" customFormat="1" ht="30" customHeight="1">
      <c r="A774" s="112" t="str">
        <f>IF($C$13=1,IF(K774="报价行",IF(F774&gt;0,1," ")," ")," ")</f>
        <v xml:space="preserve"> </v>
      </c>
      <c r="B774" s="414" t="str">
        <f>IF(A774=1,SUM($A$11:A774),"钢层板")</f>
        <v>钢层板</v>
      </c>
      <c r="C774" s="415" t="str">
        <f>B775&amp;IF(C780=1,CHAR(10)&amp;B776," ")</f>
        <v xml:space="preserve">Steel panel </v>
      </c>
      <c r="D774" s="530" t="str">
        <f>"D"&amp;D777&amp;"*W"&amp;E777</f>
        <v>D600*W300</v>
      </c>
      <c r="E774" s="415" t="str">
        <f>"t="&amp;B777&amp;IF(G777&gt;1,", divide to "&amp;G777&amp;" pcs,","  ")&amp;C778&amp;" ribs/pc"&amp;", "&amp;IF(E775&gt;0,E775&amp;" kg/level"," ")</f>
        <v xml:space="preserve">t=0.8  1 ribs/pc,  </v>
      </c>
      <c r="F774" s="418"/>
      <c r="G774" s="559">
        <f>IF(C779&gt;0,G779*G777,G778*G777)</f>
        <v>1.979202288</v>
      </c>
      <c r="H774" s="420">
        <f>IFERROR((H775*1.01+J775)*G774/1.13,"-")</f>
        <v>10.614129084318586</v>
      </c>
      <c r="I774" s="421" t="s">
        <v>425</v>
      </c>
      <c r="J774" s="422"/>
      <c r="K774" s="423" t="s">
        <v>217</v>
      </c>
      <c r="L774" s="54"/>
      <c r="O774" t="s">
        <v>787</v>
      </c>
      <c r="R774" s="387"/>
      <c r="S774" s="387"/>
      <c r="T774" s="387"/>
      <c r="U774" s="387"/>
      <c r="V774" s="387"/>
      <c r="W774" s="387"/>
      <c r="X774" s="387"/>
      <c r="AQ774" s="110"/>
      <c r="AX774" t="str">
        <f>E774</f>
        <v xml:space="preserve">t=0.8  1 ribs/pc,  </v>
      </c>
      <c r="AY774" s="494" t="str">
        <f>D774</f>
        <v>D600*W300</v>
      </c>
      <c r="AZ774">
        <f>F774</f>
        <v>0</v>
      </c>
      <c r="BA774" s="256" t="e">
        <f>#REF!</f>
        <v>#REF!</v>
      </c>
      <c r="BB774" t="e">
        <f>AZ774*BA774</f>
        <v>#REF!</v>
      </c>
      <c r="BC774" s="495">
        <f>F777</f>
        <v>28</v>
      </c>
      <c r="BR774" t="str">
        <f>I774</f>
        <v>Pre gal</v>
      </c>
      <c r="BZ774" t="s">
        <v>426</v>
      </c>
      <c r="CA774" s="112" t="s">
        <v>200</v>
      </c>
      <c r="CG774" s="122"/>
      <c r="CV774" s="388"/>
    </row>
    <row r="775" spans="1:100" customFormat="1" ht="30" customHeight="1" outlineLevel="1">
      <c r="A775" s="112"/>
      <c r="B775" s="545" t="s">
        <v>427</v>
      </c>
      <c r="C775" s="380"/>
      <c r="D775" s="587">
        <f>IF(C779&gt;0,I779,((E777/G777+81)*(D777-C777+72)*2+C778*D778*(D777-C777))*1/1000000*1.05*G777)</f>
        <v>0.56799120000000003</v>
      </c>
      <c r="E775" s="588"/>
      <c r="F775" s="558"/>
      <c r="G775" s="532" t="s">
        <v>428</v>
      </c>
      <c r="H775" s="418">
        <v>6</v>
      </c>
      <c r="I775" s="418">
        <v>7.5</v>
      </c>
      <c r="J775" s="418">
        <f>IFERROR(IF(G775="喷塑",D775*I775/G774,0),"-")</f>
        <v>0</v>
      </c>
      <c r="K775" s="54" t="s">
        <v>237</v>
      </c>
      <c r="L775" s="54"/>
      <c r="O775" t="s">
        <v>787</v>
      </c>
      <c r="R775" s="387"/>
      <c r="S775" s="387"/>
      <c r="T775" s="387"/>
      <c r="U775" s="387"/>
      <c r="V775" s="387"/>
      <c r="W775" s="387"/>
      <c r="X775" s="387"/>
      <c r="AQ775" s="110"/>
      <c r="AX775" t="s">
        <v>156</v>
      </c>
      <c r="AY775" t="s">
        <v>246</v>
      </c>
      <c r="AZ775" t="s">
        <v>102</v>
      </c>
      <c r="BA775" t="s">
        <v>158</v>
      </c>
      <c r="BB775" t="s">
        <v>247</v>
      </c>
      <c r="BC775" t="s">
        <v>248</v>
      </c>
      <c r="BD775" t="s">
        <v>249</v>
      </c>
      <c r="BE775" t="s">
        <v>250</v>
      </c>
      <c r="BF775" t="s">
        <v>251</v>
      </c>
      <c r="BG775" t="s">
        <v>252</v>
      </c>
      <c r="BH775" t="s">
        <v>253</v>
      </c>
      <c r="BI775" t="s">
        <v>254</v>
      </c>
      <c r="BJ775" t="s">
        <v>255</v>
      </c>
      <c r="BK775" t="s">
        <v>256</v>
      </c>
      <c r="BL775" t="s">
        <v>257</v>
      </c>
      <c r="BM775" t="s">
        <v>258</v>
      </c>
      <c r="BZ775" t="s">
        <v>426</v>
      </c>
      <c r="CA775" s="112" t="s">
        <v>200</v>
      </c>
      <c r="CG775" s="122"/>
      <c r="CV775" s="388"/>
    </row>
    <row r="776" spans="1:100" customFormat="1" ht="30" customHeight="1" outlineLevel="1">
      <c r="A776" s="112"/>
      <c r="B776" s="447" t="s">
        <v>426</v>
      </c>
      <c r="C776" s="418" t="s">
        <v>429</v>
      </c>
      <c r="D776" s="380"/>
      <c r="E776" s="589">
        <f>IF(C779&gt;0,0,F778*G777)</f>
        <v>322.28571428571428</v>
      </c>
      <c r="F776" s="380"/>
      <c r="G776" s="418"/>
      <c r="H776" s="382"/>
      <c r="I776" s="421"/>
      <c r="J776" s="422"/>
      <c r="K776" s="54" t="s">
        <v>237</v>
      </c>
      <c r="L776" s="54"/>
      <c r="O776" t="s">
        <v>787</v>
      </c>
      <c r="R776" s="387"/>
      <c r="S776" s="387"/>
      <c r="T776" s="387"/>
      <c r="U776" s="387"/>
      <c r="V776" s="387"/>
      <c r="W776" s="387"/>
      <c r="X776" s="387"/>
      <c r="AQ776" s="110"/>
      <c r="BZ776" t="s">
        <v>426</v>
      </c>
      <c r="CA776" s="112" t="s">
        <v>200</v>
      </c>
      <c r="CG776" s="122"/>
      <c r="CV776" s="388"/>
    </row>
    <row r="777" spans="1:100" customFormat="1" ht="30" customHeight="1" outlineLevel="1">
      <c r="A777" s="112"/>
      <c r="B777" s="590">
        <v>0.8</v>
      </c>
      <c r="C777" s="591">
        <v>40</v>
      </c>
      <c r="D777" s="592">
        <v>600</v>
      </c>
      <c r="E777" s="593">
        <v>300</v>
      </c>
      <c r="F777" s="558">
        <v>28</v>
      </c>
      <c r="G777" s="594">
        <v>1</v>
      </c>
      <c r="H777" s="595"/>
      <c r="I777" s="421" t="str">
        <f>F777&amp;"-"&amp;B777</f>
        <v>28-0.8</v>
      </c>
      <c r="J777" s="596">
        <f>IF(F777=40,105,IF(F777=30,85,IF(F777=25,75,81)))</f>
        <v>81</v>
      </c>
      <c r="K777" s="54" t="s">
        <v>237</v>
      </c>
      <c r="L777" s="54"/>
      <c r="M777" s="418"/>
      <c r="N777" s="418"/>
      <c r="O777" t="s">
        <v>787</v>
      </c>
      <c r="Q777" s="112"/>
      <c r="R777" s="387"/>
      <c r="S777" s="387"/>
      <c r="T777" s="387"/>
      <c r="U777" s="387"/>
      <c r="V777" s="387"/>
      <c r="W777" s="387"/>
      <c r="X777" s="387"/>
      <c r="AQ777" s="110"/>
      <c r="AX777" t="s">
        <v>156</v>
      </c>
      <c r="AY777" t="s">
        <v>246</v>
      </c>
      <c r="AZ777" t="s">
        <v>102</v>
      </c>
      <c r="BA777" t="s">
        <v>158</v>
      </c>
      <c r="BB777" t="s">
        <v>247</v>
      </c>
      <c r="BC777" t="s">
        <v>248</v>
      </c>
      <c r="BD777" t="s">
        <v>249</v>
      </c>
      <c r="BE777" t="s">
        <v>250</v>
      </c>
      <c r="BF777" t="s">
        <v>251</v>
      </c>
      <c r="BG777" t="s">
        <v>252</v>
      </c>
      <c r="BH777" t="s">
        <v>253</v>
      </c>
      <c r="BI777" t="s">
        <v>254</v>
      </c>
      <c r="BJ777" t="s">
        <v>255</v>
      </c>
      <c r="BK777" t="s">
        <v>256</v>
      </c>
      <c r="BL777" t="s">
        <v>257</v>
      </c>
      <c r="BM777" t="s">
        <v>258</v>
      </c>
      <c r="BZ777" t="s">
        <v>426</v>
      </c>
      <c r="CA777" s="112" t="s">
        <v>200</v>
      </c>
      <c r="CG777" s="122"/>
      <c r="CV777" s="388"/>
    </row>
    <row r="778" spans="1:100" customFormat="1" ht="30" customHeight="1" outlineLevel="1">
      <c r="A778" s="112"/>
      <c r="B778" s="597">
        <f>IF(C779&gt;0,0,B777)</f>
        <v>0.8</v>
      </c>
      <c r="C778" s="598">
        <f>IF(C779&gt;0,0,ROUNDDOWN(E777/G777/270,0))</f>
        <v>1</v>
      </c>
      <c r="D778" s="599">
        <f>IF(F777&lt;28,98,IF(F777=28,106,IF(F777=30,108,IF(F777=40,149,"特殊高度"))))*IF(C779&gt;0,0,1)</f>
        <v>106</v>
      </c>
      <c r="E778" s="600">
        <f>IF(C779&gt;0,0,VLOOKUP(I777,常规材料表!$1:$1048576,2,0))</f>
        <v>0.94</v>
      </c>
      <c r="F778" s="601">
        <f>IF(C779&gt;0,0,0.5376*1000000*E778*(C778+1)/((D777-C777)*(D777-C777)/100))</f>
        <v>322.28571428571428</v>
      </c>
      <c r="G778" s="602">
        <f>IF(C779&gt;0,0,((E777/G777+J777)*(D777-C777+J778)*B777+C778*D778*B778*(D777-C777))*7.85/1000000*1.05)</f>
        <v>1.979202288</v>
      </c>
      <c r="H778" s="382"/>
      <c r="I778" s="422"/>
      <c r="J778" s="603">
        <f>IF(F777=40,96,IF(F777=30,76,IF(F777=25,66,72)))</f>
        <v>72</v>
      </c>
      <c r="K778" s="54" t="s">
        <v>237</v>
      </c>
      <c r="L778" s="54"/>
      <c r="M778" s="418"/>
      <c r="N778" s="245"/>
      <c r="O778" t="s">
        <v>787</v>
      </c>
      <c r="Q778" s="112"/>
      <c r="R778" s="387"/>
      <c r="S778" s="387"/>
      <c r="T778" s="387"/>
      <c r="U778" s="387"/>
      <c r="V778" s="387"/>
      <c r="W778" s="387"/>
      <c r="X778" s="387"/>
      <c r="AQ778" s="110"/>
      <c r="BZ778" t="s">
        <v>426</v>
      </c>
      <c r="CA778" s="112" t="s">
        <v>200</v>
      </c>
      <c r="CG778" s="122"/>
      <c r="CV778" s="388"/>
    </row>
    <row r="779" spans="1:100" customFormat="1" ht="30" customHeight="1" outlineLevel="1">
      <c r="A779" s="112"/>
      <c r="B779" s="604">
        <v>103</v>
      </c>
      <c r="C779" s="112"/>
      <c r="D779" s="597">
        <v>1.3</v>
      </c>
      <c r="E779" s="605" t="str">
        <f>IFERROR((VLOOKUP(C779,常规材料表!$1:$1048576,8,0))*4-D779*4," ")</f>
        <v xml:space="preserve"> </v>
      </c>
      <c r="F779" s="606">
        <v>5</v>
      </c>
      <c r="G779" s="607" t="str">
        <f>IF(C779&gt;0,((E777/G777+B779)*(D777+B779)*B777+F779*E779*D779*(D777))*7.85/1000000+D780," ")</f>
        <v xml:space="preserve"> </v>
      </c>
      <c r="H779" s="421"/>
      <c r="I779" s="422" t="str">
        <f>IF(C779&gt;0,((E777/G777+B779)*(D777+B779)*2+F779*E779*(D777))*1/1000000*1.05*G777," ")</f>
        <v xml:space="preserve"> </v>
      </c>
      <c r="J779" s="422"/>
      <c r="K779" s="54" t="s">
        <v>237</v>
      </c>
      <c r="L779" s="54"/>
      <c r="O779" t="s">
        <v>787</v>
      </c>
      <c r="Q779" s="112"/>
      <c r="R779" s="387"/>
      <c r="S779" s="387"/>
      <c r="T779" s="387"/>
      <c r="U779" s="387"/>
      <c r="V779" s="387"/>
      <c r="W779" s="387"/>
      <c r="X779" s="387"/>
      <c r="AQ779" s="110"/>
      <c r="CA779" s="112"/>
      <c r="CG779" s="122"/>
      <c r="CV779" s="388"/>
    </row>
    <row r="780" spans="1:100" customFormat="1" ht="30" customHeight="1" outlineLevel="1">
      <c r="A780" s="112"/>
      <c r="B780" s="414">
        <v>0</v>
      </c>
      <c r="C780" s="465">
        <f>报价辅助计算!$E$13</f>
        <v>0</v>
      </c>
      <c r="D780" s="563"/>
      <c r="E780" s="418" t="s">
        <v>430</v>
      </c>
      <c r="F780" s="561"/>
      <c r="G780" s="418"/>
      <c r="H780" s="421" t="s">
        <v>786</v>
      </c>
      <c r="I780" s="422"/>
      <c r="J780" s="422"/>
      <c r="K780" s="54" t="s">
        <v>237</v>
      </c>
      <c r="L780" s="54"/>
      <c r="O780" t="s">
        <v>787</v>
      </c>
      <c r="Q780" s="112"/>
      <c r="R780" s="387"/>
      <c r="S780" s="387"/>
      <c r="T780" s="387"/>
      <c r="U780" s="387"/>
      <c r="V780" s="387"/>
      <c r="W780" s="387"/>
      <c r="X780" s="387"/>
      <c r="AQ780" s="110"/>
      <c r="BZ780" t="s">
        <v>426</v>
      </c>
      <c r="CA780" s="112" t="s">
        <v>200</v>
      </c>
      <c r="CG780" s="122"/>
      <c r="CV780" s="388"/>
    </row>
    <row r="781" spans="1:100" s="376" customFormat="1" ht="30" customHeight="1">
      <c r="A781" s="472"/>
      <c r="B781" s="473"/>
      <c r="C781" s="473"/>
      <c r="D781" s="473"/>
      <c r="E781" s="474"/>
      <c r="F781" s="473"/>
      <c r="G781" s="473"/>
      <c r="H781" s="421"/>
      <c r="I781" s="421"/>
      <c r="J781" s="422"/>
      <c r="K781" s="475"/>
      <c r="L781" s="475"/>
      <c r="O781" t="s">
        <v>787</v>
      </c>
      <c r="Q781" s="472"/>
      <c r="R781" s="387"/>
      <c r="S781" s="387"/>
      <c r="T781" s="387"/>
      <c r="U781" s="387"/>
      <c r="V781" s="387"/>
      <c r="W781" s="387"/>
      <c r="X781" s="387"/>
      <c r="AQ781" s="476"/>
      <c r="BZ781" t="s">
        <v>426</v>
      </c>
      <c r="CA781" s="112" t="s">
        <v>200</v>
      </c>
      <c r="CB781"/>
      <c r="CC781"/>
      <c r="CD781"/>
      <c r="CE781"/>
      <c r="CF781"/>
      <c r="CG781" s="122"/>
    </row>
    <row r="782" spans="1:100" customFormat="1" ht="24.95" customHeight="1">
      <c r="A782" s="112" t="str">
        <f>IF($C$13=1,IF(K782="报价行",IF(F782&gt;0,1," ")," ")," ")</f>
        <v xml:space="preserve"> </v>
      </c>
      <c r="B782" s="414" t="str">
        <f>IF(A782=1,SUM($A$11:A782),"楼板")</f>
        <v>楼板</v>
      </c>
      <c r="C782" s="899" t="s">
        <v>2310</v>
      </c>
      <c r="D782" s="900">
        <v>3000</v>
      </c>
      <c r="E782" s="899" t="s">
        <v>541</v>
      </c>
      <c r="F782" s="657">
        <v>500</v>
      </c>
      <c r="G782" s="901">
        <f>C783</f>
        <v>14.399999999999999</v>
      </c>
      <c r="H782" s="420">
        <f>(D783*1.01+E783)*G782/1.13</f>
        <v>73.363539823008864</v>
      </c>
      <c r="I782" s="421" t="s">
        <v>425</v>
      </c>
      <c r="J782" s="422"/>
      <c r="K782" s="902" t="s">
        <v>217</v>
      </c>
      <c r="L782" s="54"/>
      <c r="O782" s="898" t="s">
        <v>2315</v>
      </c>
      <c r="R782" s="387"/>
      <c r="S782" s="387"/>
      <c r="T782" s="387"/>
      <c r="U782" s="387"/>
      <c r="V782" s="387"/>
      <c r="W782" s="387"/>
      <c r="X782" s="387"/>
      <c r="AQ782" s="110"/>
      <c r="AX782" s="898" t="str">
        <f>E782</f>
        <v>C200*40*2.0</v>
      </c>
      <c r="AY782" s="494">
        <f>D782</f>
        <v>3000</v>
      </c>
      <c r="AZ782">
        <f>F782</f>
        <v>500</v>
      </c>
      <c r="BA782" s="256">
        <f>G782</f>
        <v>14.399999999999999</v>
      </c>
      <c r="BB782">
        <f>AZ782*BA782</f>
        <v>7199.9999999999991</v>
      </c>
      <c r="BC782" s="495"/>
      <c r="BR782" t="str">
        <f>I782</f>
        <v>Pre gal</v>
      </c>
      <c r="BZ782" t="s">
        <v>543</v>
      </c>
      <c r="CC782" s="898" t="s">
        <v>2311</v>
      </c>
      <c r="CG782" s="122"/>
      <c r="CV782" s="388"/>
    </row>
    <row r="783" spans="1:100" customFormat="1" ht="24.95" customHeight="1" outlineLevel="1">
      <c r="A783" s="112"/>
      <c r="B783" s="903" t="s">
        <v>543</v>
      </c>
      <c r="C783" s="619">
        <v>14.399999999999999</v>
      </c>
      <c r="D783" s="418">
        <f>VLOOKUP(C784,[2]常规材料表!$1:$1048576,10,0)+1.25</f>
        <v>5.7</v>
      </c>
      <c r="E783" s="418">
        <f>IF(G783="喷塑",0.3*2*9*5/C783,0)</f>
        <v>0</v>
      </c>
      <c r="F783" s="418"/>
      <c r="G783" s="514" t="s">
        <v>428</v>
      </c>
      <c r="H783" s="421"/>
      <c r="I783" s="421"/>
      <c r="J783" s="422"/>
      <c r="K783" s="904" t="s">
        <v>237</v>
      </c>
      <c r="L783" s="54"/>
      <c r="O783" s="898" t="s">
        <v>2315</v>
      </c>
      <c r="R783" s="387"/>
      <c r="S783" s="387"/>
      <c r="T783" s="387"/>
      <c r="U783" s="387"/>
      <c r="V783" s="387"/>
      <c r="W783" s="387"/>
      <c r="X783" s="387"/>
      <c r="AQ783" s="110"/>
      <c r="AX783" s="898" t="s">
        <v>156</v>
      </c>
      <c r="AY783" s="898" t="s">
        <v>246</v>
      </c>
      <c r="AZ783" s="898" t="s">
        <v>102</v>
      </c>
      <c r="BA783" s="898" t="s">
        <v>158</v>
      </c>
      <c r="BB783" s="898" t="s">
        <v>247</v>
      </c>
      <c r="BC783" s="898"/>
      <c r="BD783" s="898" t="s">
        <v>249</v>
      </c>
      <c r="BE783" s="898" t="s">
        <v>250</v>
      </c>
      <c r="BF783" s="898" t="s">
        <v>251</v>
      </c>
      <c r="BZ783" t="s">
        <v>543</v>
      </c>
      <c r="CC783" t="s">
        <v>202</v>
      </c>
      <c r="CG783" s="122"/>
      <c r="CV783" s="388"/>
    </row>
    <row r="784" spans="1:100" customFormat="1" ht="24.95" customHeight="1" outlineLevel="1">
      <c r="A784" s="112"/>
      <c r="B784" s="903" t="s">
        <v>544</v>
      </c>
      <c r="C784" s="905" t="s">
        <v>1243</v>
      </c>
      <c r="D784" s="418"/>
      <c r="E784" s="418"/>
      <c r="F784" s="418"/>
      <c r="G784" s="418"/>
      <c r="H784" s="421"/>
      <c r="I784" s="421"/>
      <c r="J784" s="422"/>
      <c r="K784" s="904" t="s">
        <v>237</v>
      </c>
      <c r="L784" s="54"/>
      <c r="O784" s="898" t="s">
        <v>2315</v>
      </c>
      <c r="R784" s="387"/>
      <c r="S784" s="387"/>
      <c r="T784" s="387"/>
      <c r="U784" s="387"/>
      <c r="V784" s="387"/>
      <c r="W784" s="387"/>
      <c r="X784" s="387"/>
      <c r="AQ784" s="110"/>
      <c r="BZ784" t="s">
        <v>543</v>
      </c>
      <c r="CC784" t="s">
        <v>202</v>
      </c>
      <c r="CG784" s="122"/>
      <c r="CV784" s="388"/>
    </row>
    <row r="785" spans="1:100" customFormat="1" ht="24.95" customHeight="1" outlineLevel="1">
      <c r="A785" s="112"/>
      <c r="B785" s="414">
        <v>0</v>
      </c>
      <c r="C785" s="418"/>
      <c r="D785" s="564"/>
      <c r="E785" s="564"/>
      <c r="F785" s="561"/>
      <c r="G785" s="418"/>
      <c r="H785" s="421"/>
      <c r="I785" s="421"/>
      <c r="J785" s="422"/>
      <c r="K785" s="904" t="s">
        <v>237</v>
      </c>
      <c r="L785" s="54"/>
      <c r="O785" s="898" t="s">
        <v>2315</v>
      </c>
      <c r="R785" s="387"/>
      <c r="S785" s="387"/>
      <c r="T785" s="387"/>
      <c r="U785" s="387"/>
      <c r="V785" s="387"/>
      <c r="W785" s="387"/>
      <c r="X785" s="387"/>
      <c r="AQ785" s="110"/>
      <c r="BZ785" t="s">
        <v>543</v>
      </c>
      <c r="CC785" t="s">
        <v>202</v>
      </c>
      <c r="CG785" s="122"/>
      <c r="CV785" s="388"/>
    </row>
    <row r="786" spans="1:100" s="377" customFormat="1" ht="24.95" customHeight="1" outlineLevel="1">
      <c r="A786" s="549"/>
      <c r="B786" s="549"/>
      <c r="C786" s="549"/>
      <c r="D786" s="895"/>
      <c r="E786" s="895"/>
      <c r="F786" s="896"/>
      <c r="G786" s="549"/>
      <c r="H786" s="549"/>
      <c r="I786" s="549"/>
      <c r="K786" s="906"/>
      <c r="AQ786" s="557"/>
      <c r="CG786" s="552"/>
    </row>
    <row r="787" spans="1:100" customFormat="1" ht="30" customHeight="1">
      <c r="A787" s="112" t="str">
        <f>IF($C$13=1,IF(K787="报价行",IF(F787&gt;0,1," ")," ")," ")</f>
        <v xml:space="preserve"> </v>
      </c>
      <c r="B787" s="414" t="str">
        <f>IF(A787=1,SUM($A$11:A787),"采购件")</f>
        <v>采购件</v>
      </c>
      <c r="C787" s="905" t="s">
        <v>2312</v>
      </c>
      <c r="D787" s="900"/>
      <c r="E787" s="641" t="s">
        <v>2313</v>
      </c>
      <c r="F787" s="460">
        <v>400</v>
      </c>
      <c r="G787" s="901">
        <v>0.85</v>
      </c>
      <c r="H787" s="901">
        <f>D788*1.01/1.13+D789/1.06</f>
        <v>39.327433628318587</v>
      </c>
      <c r="I787" s="460"/>
      <c r="J787" s="54"/>
      <c r="K787" s="902" t="s">
        <v>217</v>
      </c>
      <c r="L787" s="54"/>
      <c r="O787" s="898" t="s">
        <v>2314</v>
      </c>
      <c r="AQ787" s="110"/>
      <c r="AX787" s="898" t="str">
        <f>E787</f>
        <v>H500, for post 90</v>
      </c>
      <c r="AY787" s="494">
        <f>D787</f>
        <v>0</v>
      </c>
      <c r="AZ787">
        <f>F787</f>
        <v>400</v>
      </c>
      <c r="BA787" s="256">
        <f>G787</f>
        <v>0.85</v>
      </c>
      <c r="BB787">
        <f>AZ787*BA787</f>
        <v>340</v>
      </c>
      <c r="BC787" s="495"/>
      <c r="BR787">
        <f>I787</f>
        <v>0</v>
      </c>
      <c r="BZ787" t="s">
        <v>684</v>
      </c>
      <c r="CA787" s="907"/>
      <c r="CB787" s="898"/>
      <c r="CG787" s="122" t="s">
        <v>207</v>
      </c>
      <c r="CV787" s="388"/>
    </row>
    <row r="788" spans="1:100" customFormat="1" ht="30" customHeight="1" outlineLevel="1">
      <c r="A788" s="112"/>
      <c r="B788" s="112"/>
      <c r="C788" s="903" t="s">
        <v>1087</v>
      </c>
      <c r="D788" s="640">
        <v>44</v>
      </c>
      <c r="E788" s="486" t="s">
        <v>536</v>
      </c>
      <c r="F788" s="418"/>
      <c r="G788" s="418"/>
      <c r="H788" s="418"/>
      <c r="I788" s="418"/>
      <c r="J788" s="54"/>
      <c r="K788" s="904" t="s">
        <v>237</v>
      </c>
      <c r="L788" s="54"/>
      <c r="O788" s="898" t="s">
        <v>2314</v>
      </c>
      <c r="AQ788" s="110"/>
      <c r="AX788" s="898" t="s">
        <v>156</v>
      </c>
      <c r="AY788" s="898" t="s">
        <v>246</v>
      </c>
      <c r="AZ788" s="898" t="s">
        <v>102</v>
      </c>
      <c r="BA788" s="898" t="s">
        <v>158</v>
      </c>
      <c r="BB788" s="898" t="s">
        <v>247</v>
      </c>
      <c r="BC788" s="898"/>
      <c r="BD788" s="898" t="s">
        <v>249</v>
      </c>
      <c r="BE788" s="898" t="s">
        <v>250</v>
      </c>
      <c r="BF788" s="898" t="s">
        <v>251</v>
      </c>
      <c r="BZ788" t="s">
        <v>684</v>
      </c>
      <c r="CA788" s="907"/>
      <c r="CB788" s="898"/>
      <c r="CG788" s="122" t="s">
        <v>207</v>
      </c>
      <c r="CV788" s="388"/>
    </row>
    <row r="789" spans="1:100" customFormat="1" ht="30" customHeight="1" outlineLevel="1">
      <c r="A789" s="112"/>
      <c r="B789" s="418"/>
      <c r="C789" s="907" t="s">
        <v>538</v>
      </c>
      <c r="D789" s="640"/>
      <c r="E789" s="486" t="s">
        <v>539</v>
      </c>
      <c r="F789" s="418"/>
      <c r="G789" s="418"/>
      <c r="H789" s="418"/>
      <c r="I789" s="418"/>
      <c r="J789" s="54"/>
      <c r="K789" s="904" t="s">
        <v>237</v>
      </c>
      <c r="L789" s="54"/>
      <c r="O789" s="898" t="s">
        <v>2314</v>
      </c>
      <c r="AQ789" s="110"/>
      <c r="BZ789" t="s">
        <v>684</v>
      </c>
      <c r="CA789" s="907"/>
      <c r="CB789" s="898"/>
      <c r="CG789" s="122" t="s">
        <v>207</v>
      </c>
      <c r="CV789" s="388"/>
    </row>
    <row r="790" spans="1:100" customFormat="1" ht="30" customHeight="1" outlineLevel="1">
      <c r="A790" s="112"/>
      <c r="B790" s="418"/>
      <c r="C790" s="112"/>
      <c r="D790" s="463"/>
      <c r="E790" s="415"/>
      <c r="F790" s="418"/>
      <c r="G790" s="418"/>
      <c r="H790" s="418"/>
      <c r="I790" s="418"/>
      <c r="J790" s="54"/>
      <c r="K790" s="904" t="s">
        <v>237</v>
      </c>
      <c r="L790" s="54"/>
      <c r="O790" s="898" t="s">
        <v>2314</v>
      </c>
      <c r="AQ790" s="110"/>
      <c r="BZ790" t="s">
        <v>684</v>
      </c>
      <c r="CA790" s="907"/>
      <c r="CB790" s="898"/>
      <c r="CG790" s="122" t="s">
        <v>207</v>
      </c>
      <c r="CV790" s="388"/>
    </row>
    <row r="791" spans="1:100" customFormat="1" ht="30" customHeight="1" outlineLevel="1">
      <c r="A791" s="112"/>
      <c r="B791" s="414">
        <v>0</v>
      </c>
      <c r="C791" s="418"/>
      <c r="D791" s="418"/>
      <c r="E791" s="415"/>
      <c r="F791" s="418"/>
      <c r="G791" s="418"/>
      <c r="H791" s="418"/>
      <c r="I791" s="418"/>
      <c r="J791" s="54"/>
      <c r="K791" s="904" t="s">
        <v>237</v>
      </c>
      <c r="L791" s="54"/>
      <c r="O791" s="898" t="s">
        <v>2314</v>
      </c>
      <c r="AQ791" s="110"/>
      <c r="BZ791" t="s">
        <v>684</v>
      </c>
      <c r="CA791" s="907"/>
      <c r="CB791" s="898"/>
      <c r="CG791" s="122" t="s">
        <v>207</v>
      </c>
      <c r="CV791" s="388"/>
    </row>
    <row r="792" spans="1:100" s="377" customFormat="1" ht="30" customHeight="1" outlineLevel="1">
      <c r="A792" s="549"/>
      <c r="B792" s="549"/>
      <c r="C792" s="549"/>
      <c r="D792" s="549"/>
      <c r="E792" s="551"/>
      <c r="F792" s="549"/>
      <c r="G792" s="549"/>
      <c r="H792" s="549"/>
      <c r="I792" s="549"/>
      <c r="K792" s="906"/>
      <c r="O792" s="906"/>
      <c r="AQ792" s="557"/>
      <c r="CA792" s="908"/>
      <c r="CB792" s="906"/>
      <c r="CG792" s="552"/>
    </row>
    <row r="793" spans="1:100" customFormat="1">
      <c r="A793" s="112"/>
      <c r="B793" s="112"/>
      <c r="C793" s="112"/>
      <c r="D793" s="112"/>
      <c r="E793" s="245"/>
      <c r="F793" s="112"/>
      <c r="G793" s="112"/>
      <c r="H793" s="112"/>
      <c r="I793" s="112"/>
    </row>
    <row r="794" spans="1:100" customFormat="1" ht="30" customHeight="1">
      <c r="A794" s="112"/>
      <c r="B794" s="112"/>
      <c r="C794" s="112"/>
      <c r="D794" s="112"/>
      <c r="E794" s="245"/>
      <c r="F794" s="112"/>
      <c r="G794" s="112"/>
      <c r="H794" s="386"/>
      <c r="I794" s="386"/>
      <c r="J794" s="387"/>
      <c r="R794" s="387"/>
      <c r="S794" s="387"/>
      <c r="T794" s="387"/>
      <c r="U794" s="387"/>
      <c r="V794" s="387"/>
      <c r="W794" s="387"/>
      <c r="X794" s="387"/>
      <c r="AQ794" s="110"/>
      <c r="CG794" s="122"/>
      <c r="CV794" s="388"/>
    </row>
    <row r="795" spans="1:100" customFormat="1" ht="30" customHeight="1">
      <c r="A795" s="112"/>
      <c r="B795" s="112"/>
      <c r="C795" s="112"/>
      <c r="D795" s="112"/>
      <c r="E795" s="245"/>
      <c r="F795" s="112"/>
      <c r="G795" s="112"/>
      <c r="H795" s="386"/>
      <c r="I795" s="386"/>
      <c r="J795" s="387"/>
      <c r="R795" s="387"/>
      <c r="S795" s="387"/>
      <c r="T795" s="387"/>
      <c r="U795" s="387"/>
      <c r="V795" s="387"/>
      <c r="W795" s="387"/>
      <c r="X795" s="387"/>
      <c r="AQ795" s="110"/>
      <c r="CG795" s="122"/>
      <c r="CV795" s="388"/>
    </row>
    <row r="796" spans="1:100" customFormat="1" ht="30" customHeight="1">
      <c r="A796" s="112"/>
      <c r="B796" s="112"/>
      <c r="C796" s="112"/>
      <c r="D796" s="112"/>
      <c r="E796" s="245"/>
      <c r="F796" s="112"/>
      <c r="G796" s="112"/>
      <c r="H796" s="386"/>
      <c r="I796" s="386"/>
      <c r="J796" s="387"/>
      <c r="R796" s="387"/>
      <c r="S796" s="387"/>
      <c r="T796" s="387"/>
      <c r="U796" s="387"/>
      <c r="V796" s="387"/>
      <c r="W796" s="387"/>
      <c r="X796" s="387"/>
      <c r="AQ796" s="110"/>
      <c r="CG796" s="122"/>
      <c r="CV796" s="388"/>
    </row>
    <row r="797" spans="1:100" customFormat="1" ht="30" customHeight="1">
      <c r="A797" s="112"/>
      <c r="B797" s="112"/>
      <c r="C797" s="112"/>
      <c r="D797" s="112"/>
      <c r="E797" s="245"/>
      <c r="F797" s="112"/>
      <c r="G797" s="112"/>
      <c r="H797" s="386"/>
      <c r="I797" s="386"/>
      <c r="J797" s="387"/>
      <c r="R797" s="387"/>
      <c r="S797" s="387"/>
      <c r="T797" s="387"/>
      <c r="U797" s="387"/>
      <c r="V797" s="387"/>
      <c r="W797" s="387"/>
      <c r="X797" s="387"/>
      <c r="AQ797" s="110"/>
      <c r="CG797" s="122"/>
      <c r="CV797" s="388"/>
    </row>
    <row r="798" spans="1:100" customFormat="1" ht="30" customHeight="1">
      <c r="A798" s="112"/>
      <c r="B798" s="112"/>
      <c r="C798" s="112"/>
      <c r="D798" s="112"/>
      <c r="E798" s="245"/>
      <c r="F798" s="112"/>
      <c r="G798" s="112"/>
      <c r="H798" s="386"/>
      <c r="I798" s="386"/>
      <c r="J798" s="387"/>
      <c r="R798" s="387"/>
      <c r="S798" s="387"/>
      <c r="T798" s="387"/>
      <c r="U798" s="387"/>
      <c r="V798" s="387"/>
      <c r="W798" s="387"/>
      <c r="X798" s="387"/>
      <c r="AQ798" s="110"/>
      <c r="CG798" s="122"/>
      <c r="CV798" s="388"/>
    </row>
    <row r="799" spans="1:100" customFormat="1" ht="30" customHeight="1">
      <c r="A799" s="112"/>
      <c r="B799" s="112"/>
      <c r="C799" s="112"/>
      <c r="D799" s="112"/>
      <c r="E799" s="245"/>
      <c r="F799" s="112"/>
      <c r="G799" s="112"/>
      <c r="H799" s="386"/>
      <c r="I799" s="386"/>
      <c r="J799" s="387"/>
      <c r="R799" s="387"/>
      <c r="S799" s="387"/>
      <c r="T799" s="387"/>
      <c r="U799" s="387"/>
      <c r="V799" s="387"/>
      <c r="W799" s="387"/>
      <c r="X799" s="387"/>
      <c r="AQ799" s="110"/>
      <c r="CG799" s="122"/>
      <c r="CV799" s="388"/>
    </row>
    <row r="800" spans="1:100" customFormat="1">
      <c r="A800" s="112"/>
      <c r="B800" s="112"/>
      <c r="C800" s="112"/>
      <c r="D800" s="112"/>
      <c r="E800" s="245"/>
      <c r="F800" s="112"/>
      <c r="G800" s="112"/>
      <c r="H800" s="386"/>
      <c r="I800" s="386"/>
      <c r="J800" s="387"/>
      <c r="R800" s="387"/>
      <c r="S800" s="387"/>
      <c r="T800" s="387"/>
      <c r="U800" s="387"/>
      <c r="V800" s="387"/>
      <c r="W800" s="387"/>
      <c r="X800" s="387"/>
      <c r="AQ800" s="110"/>
      <c r="CG800" s="122"/>
      <c r="CV800" s="388"/>
    </row>
    <row r="801" spans="1:100" customFormat="1">
      <c r="A801" s="112"/>
      <c r="B801" s="112"/>
      <c r="C801" s="112"/>
      <c r="D801" s="112"/>
      <c r="E801" s="245"/>
      <c r="F801" s="112"/>
      <c r="G801" s="112"/>
      <c r="H801" s="386"/>
      <c r="I801" s="386"/>
      <c r="J801" s="387"/>
      <c r="R801" s="387"/>
      <c r="S801" s="387"/>
      <c r="T801" s="387"/>
      <c r="U801" s="387"/>
      <c r="V801" s="387"/>
      <c r="W801" s="387"/>
      <c r="X801" s="387"/>
      <c r="AQ801" s="110"/>
      <c r="CG801" s="122"/>
      <c r="CV801" s="388"/>
    </row>
    <row r="802" spans="1:100" customFormat="1">
      <c r="A802" s="112"/>
      <c r="B802" s="112"/>
      <c r="C802" s="112"/>
      <c r="D802" s="112"/>
      <c r="E802" s="245"/>
      <c r="F802" s="112"/>
      <c r="G802" s="112"/>
      <c r="H802" s="386"/>
      <c r="I802" s="386"/>
      <c r="J802" s="387"/>
      <c r="R802" s="387"/>
      <c r="S802" s="387"/>
      <c r="T802" s="387"/>
      <c r="U802" s="387"/>
      <c r="V802" s="387"/>
      <c r="W802" s="387"/>
      <c r="X802" s="387"/>
      <c r="AQ802" s="110"/>
      <c r="CG802" s="122"/>
      <c r="CV802" s="388"/>
    </row>
    <row r="803" spans="1:100" customFormat="1">
      <c r="A803" s="112"/>
      <c r="B803" s="112"/>
      <c r="C803" s="112"/>
      <c r="D803" s="112"/>
      <c r="E803" s="245"/>
      <c r="F803" s="112"/>
      <c r="G803" s="112"/>
      <c r="H803" s="386"/>
      <c r="I803" s="386"/>
      <c r="J803" s="387"/>
      <c r="R803" s="387"/>
      <c r="S803" s="387"/>
      <c r="T803" s="387"/>
      <c r="U803" s="387"/>
      <c r="V803" s="387"/>
      <c r="W803" s="387"/>
      <c r="X803" s="387"/>
      <c r="AQ803" s="110"/>
      <c r="CG803" s="122"/>
      <c r="CV803" s="388"/>
    </row>
    <row r="804" spans="1:100" customFormat="1">
      <c r="A804" s="112"/>
      <c r="B804" s="112"/>
      <c r="C804" s="112"/>
      <c r="D804" s="112"/>
      <c r="E804" s="245"/>
      <c r="F804" s="112"/>
      <c r="G804" s="112"/>
      <c r="H804" s="386"/>
      <c r="I804" s="386"/>
      <c r="J804" s="387"/>
      <c r="R804" s="387"/>
      <c r="S804" s="387"/>
      <c r="T804" s="387"/>
      <c r="U804" s="387"/>
      <c r="V804" s="387"/>
      <c r="W804" s="387"/>
      <c r="X804" s="387"/>
      <c r="AQ804" s="110"/>
      <c r="CG804" s="122"/>
      <c r="CV804" s="388"/>
    </row>
    <row r="805" spans="1:100" customFormat="1">
      <c r="A805" s="112"/>
      <c r="B805" s="112"/>
      <c r="C805" s="112"/>
      <c r="D805" s="112"/>
      <c r="E805" s="245"/>
      <c r="F805" s="112"/>
      <c r="G805" s="112"/>
      <c r="H805" s="386"/>
      <c r="I805" s="386"/>
      <c r="J805" s="387"/>
      <c r="R805" s="387"/>
      <c r="S805" s="387"/>
      <c r="T805" s="387"/>
      <c r="U805" s="387"/>
      <c r="V805" s="387"/>
      <c r="W805" s="387"/>
      <c r="X805" s="387"/>
      <c r="AQ805" s="110"/>
      <c r="CG805" s="122"/>
      <c r="CV805" s="388"/>
    </row>
    <row r="806" spans="1:100" customFormat="1">
      <c r="A806" s="112"/>
      <c r="B806" s="112"/>
      <c r="C806" s="112"/>
      <c r="D806" s="112"/>
      <c r="E806" s="245"/>
      <c r="F806" s="112"/>
      <c r="G806" s="112"/>
      <c r="H806" s="386"/>
      <c r="I806" s="386"/>
      <c r="J806" s="387"/>
      <c r="R806" s="387"/>
      <c r="S806" s="387"/>
      <c r="T806" s="387"/>
      <c r="U806" s="387"/>
      <c r="V806" s="387"/>
      <c r="W806" s="387"/>
      <c r="X806" s="387"/>
      <c r="AQ806" s="110"/>
      <c r="CG806" s="122"/>
      <c r="CV806" s="388"/>
    </row>
    <row r="807" spans="1:100" customFormat="1">
      <c r="A807" s="112"/>
      <c r="B807" s="112"/>
      <c r="C807" s="112"/>
      <c r="D807" s="112"/>
      <c r="E807" s="245"/>
      <c r="F807" s="112"/>
      <c r="G807" s="112"/>
      <c r="H807" s="386"/>
      <c r="I807" s="386"/>
      <c r="J807" s="387"/>
      <c r="R807" s="387"/>
      <c r="S807" s="387"/>
      <c r="T807" s="387"/>
      <c r="U807" s="387"/>
      <c r="V807" s="387"/>
      <c r="W807" s="387"/>
      <c r="X807" s="387"/>
      <c r="AQ807" s="110"/>
      <c r="CG807" s="122"/>
      <c r="CV807" s="388"/>
    </row>
    <row r="808" spans="1:100" customFormat="1">
      <c r="A808" s="112"/>
      <c r="B808" s="112"/>
      <c r="C808" s="112"/>
      <c r="D808" s="112"/>
      <c r="E808" s="245"/>
      <c r="F808" s="112"/>
      <c r="G808" s="112"/>
      <c r="H808" s="386"/>
      <c r="I808" s="386"/>
      <c r="J808" s="387"/>
      <c r="R808" s="387"/>
      <c r="S808" s="387"/>
      <c r="T808" s="387"/>
      <c r="U808" s="387"/>
      <c r="V808" s="387"/>
      <c r="W808" s="387"/>
      <c r="X808" s="387"/>
      <c r="AQ808" s="110"/>
      <c r="CG808" s="122"/>
      <c r="CV808" s="388"/>
    </row>
    <row r="809" spans="1:100" customFormat="1">
      <c r="A809" s="112"/>
      <c r="B809" s="112"/>
      <c r="C809" s="112"/>
      <c r="D809" s="112"/>
      <c r="E809" s="245"/>
      <c r="F809" s="112"/>
      <c r="G809" s="112"/>
      <c r="H809" s="386"/>
      <c r="I809" s="386"/>
      <c r="J809" s="387"/>
      <c r="R809" s="387"/>
      <c r="S809" s="387"/>
      <c r="T809" s="387"/>
      <c r="U809" s="387"/>
      <c r="V809" s="387"/>
      <c r="W809" s="387"/>
      <c r="X809" s="387"/>
      <c r="AQ809" s="110"/>
      <c r="CG809" s="122"/>
      <c r="CV809" s="388"/>
    </row>
    <row r="810" spans="1:100" customFormat="1">
      <c r="A810" s="112"/>
      <c r="B810" s="112"/>
      <c r="C810" s="112"/>
      <c r="D810" s="112"/>
      <c r="E810" s="245"/>
      <c r="F810" s="112"/>
      <c r="G810" s="112"/>
      <c r="H810" s="386"/>
      <c r="I810" s="386"/>
      <c r="J810" s="387"/>
      <c r="R810" s="387"/>
      <c r="S810" s="387"/>
      <c r="T810" s="387"/>
      <c r="U810" s="387"/>
      <c r="V810" s="387"/>
      <c r="W810" s="387"/>
      <c r="X810" s="387"/>
      <c r="AQ810" s="110"/>
      <c r="CG810" s="122"/>
      <c r="CV810" s="388"/>
    </row>
    <row r="811" spans="1:100" customFormat="1">
      <c r="A811" s="112"/>
      <c r="B811" s="112"/>
      <c r="C811" s="112"/>
      <c r="D811" s="112"/>
      <c r="E811" s="245"/>
      <c r="F811" s="112"/>
      <c r="G811" s="380"/>
      <c r="H811" s="386"/>
      <c r="I811" s="386"/>
      <c r="J811" s="387"/>
      <c r="R811" s="387"/>
      <c r="S811" s="387"/>
      <c r="T811" s="387"/>
      <c r="U811" s="387"/>
      <c r="V811" s="387"/>
      <c r="W811" s="387"/>
      <c r="X811" s="387"/>
      <c r="AQ811" s="110"/>
      <c r="CG811" s="122"/>
      <c r="CV811" s="388"/>
    </row>
    <row r="812" spans="1:100" ht="39.75" customHeight="1">
      <c r="B812" s="380" t="s">
        <v>788</v>
      </c>
    </row>
  </sheetData>
  <sheetProtection insertRows="0" selectLockedCells="1"/>
  <protectedRanges>
    <protectedRange algorithmName="SHA-512" hashValue="g3HbJZsM9r48v15itaEXYpNAL1rjquPUmLPRbYAPQPqSVB7akhZ2hIvNwwrCbjGIzpwZfFWw1FSw9n0i1lJzxw==" saltValue="EcDviMHPCkkc6hdqPyHAtw==" spinCount="100000" sqref="B13:D13 H13:I13" name="区域3"/>
    <protectedRange sqref="AE85 AE87 U87 G84:G85 S85:S87 AE218 AE220 U220 G217:G218 S218:S220" name="区域1_1_1"/>
    <protectedRange sqref="G126:G127 G360:G361 G211:G212 G229:G230 G236:G237 G90:G91 G102:G103 G114:G115 G108:G109 G96:G97" name="区域1_1_2"/>
    <protectedRange sqref="D508:F508 B509:C510 D519:F519 B520:C521" name="区域2_1"/>
    <protectedRange sqref="B508:C508 Q507 D507:F507 B519:C519 Q518 D518:F518" name="区域1_1"/>
    <protectedRange sqref="AE578 AE582 U582 S578:S582 G577:G578 AE586 AE590 U590 S586:S590 G585:G586 AE594 AE598 U598 S594:S598 G593:G594 AE602 AE606 U606 S602:S606 G601:G602" name="区域1_1_1_1"/>
    <protectedRange sqref="G609:G610" name="区域1_1_2_1"/>
    <protectedRange sqref="G120" name="区域1_1_1_52"/>
    <protectedRange sqref="AE121 G121 S121" name="区域1_1_1_53"/>
    <protectedRange sqref="S122" name="区域1_1_1_54"/>
    <protectedRange sqref="AE123:AE124 U123:U124 S123:S124" name="区域1_1_1_55"/>
  </protectedRanges>
  <mergeCells count="24">
    <mergeCell ref="T506:T507"/>
    <mergeCell ref="T517:T518"/>
    <mergeCell ref="P519:Q522"/>
    <mergeCell ref="P508:Q511"/>
    <mergeCell ref="P506:R506"/>
    <mergeCell ref="P517:R517"/>
    <mergeCell ref="E681:F681"/>
    <mergeCell ref="M506:M507"/>
    <mergeCell ref="M517:M518"/>
    <mergeCell ref="E270:F270"/>
    <mergeCell ref="E275:F275"/>
    <mergeCell ref="E351:F351"/>
    <mergeCell ref="E357:F357"/>
    <mergeCell ref="E394:F394"/>
    <mergeCell ref="E208:F208"/>
    <mergeCell ref="E245:F245"/>
    <mergeCell ref="E250:F250"/>
    <mergeCell ref="E255:F255"/>
    <mergeCell ref="E260:F260"/>
    <mergeCell ref="D2:F2"/>
    <mergeCell ref="E76:F76"/>
    <mergeCell ref="E81:F81"/>
    <mergeCell ref="E144:F144"/>
    <mergeCell ref="E203:F203"/>
  </mergeCells>
  <phoneticPr fontId="120" type="noConversion"/>
  <conditionalFormatting sqref="I20">
    <cfRule type="containsErrors" dxfId="268" priority="19">
      <formula>ISERROR(I20)</formula>
    </cfRule>
    <cfRule type="containsText" dxfId="267" priority="20" operator="containsText" text="#REF!">
      <formula>NOT(ISERROR(SEARCH("#REF!",I20)))</formula>
    </cfRule>
  </conditionalFormatting>
  <conditionalFormatting sqref="E23">
    <cfRule type="expression" dxfId="266" priority="157">
      <formula>MOD(E23,1)&lt;&gt;0</formula>
    </cfRule>
  </conditionalFormatting>
  <conditionalFormatting sqref="I28">
    <cfRule type="containsErrors" dxfId="265" priority="16">
      <formula>ISERROR(I28)</formula>
    </cfRule>
    <cfRule type="containsText" dxfId="264" priority="17" operator="containsText" text="#REF!">
      <formula>NOT(ISERROR(SEARCH("#REF!",I28)))</formula>
    </cfRule>
  </conditionalFormatting>
  <conditionalFormatting sqref="E31">
    <cfRule type="expression" dxfId="263" priority="73">
      <formula>MOD(E31,1)&lt;&gt;0</formula>
    </cfRule>
  </conditionalFormatting>
  <conditionalFormatting sqref="E39">
    <cfRule type="expression" dxfId="262" priority="156">
      <formula>MOD(E39,1)&lt;&gt;0</formula>
    </cfRule>
  </conditionalFormatting>
  <conditionalFormatting sqref="E46">
    <cfRule type="expression" dxfId="261" priority="155">
      <formula>MOD(E46,1)&lt;&gt;0</formula>
    </cfRule>
  </conditionalFormatting>
  <conditionalFormatting sqref="E53">
    <cfRule type="expression" dxfId="260" priority="33">
      <formula>MOD(E53,1)&lt;&gt;0</formula>
    </cfRule>
  </conditionalFormatting>
  <conditionalFormatting sqref="E60">
    <cfRule type="expression" dxfId="259" priority="154">
      <formula>MOD(E60,1)&lt;&gt;0</formula>
    </cfRule>
  </conditionalFormatting>
  <conditionalFormatting sqref="E83">
    <cfRule type="expression" dxfId="258" priority="207">
      <formula>#REF!=无</formula>
    </cfRule>
  </conditionalFormatting>
  <conditionalFormatting sqref="D86:E86">
    <cfRule type="containsErrors" dxfId="257" priority="48">
      <formula>ISERROR(D86)</formula>
    </cfRule>
    <cfRule type="containsText" dxfId="256" priority="49" operator="containsText" text="#REF!">
      <formula>NOT(ISERROR(SEARCH("#REF!",D86)))</formula>
    </cfRule>
  </conditionalFormatting>
  <conditionalFormatting sqref="D87:E87">
    <cfRule type="containsErrors" dxfId="255" priority="46">
      <formula>ISERROR(D87)</formula>
    </cfRule>
    <cfRule type="containsText" dxfId="254" priority="47" operator="containsText" text="#REF!">
      <formula>NOT(ISERROR(SEARCH("#REF!",D87)))</formula>
    </cfRule>
  </conditionalFormatting>
  <conditionalFormatting sqref="E89">
    <cfRule type="expression" dxfId="253" priority="165">
      <formula>#REF!=无</formula>
    </cfRule>
  </conditionalFormatting>
  <conditionalFormatting sqref="D92">
    <cfRule type="containsErrors" dxfId="252" priority="40">
      <formula>ISERROR(D92)</formula>
    </cfRule>
    <cfRule type="containsText" dxfId="251" priority="41" operator="containsText" text="#REF!">
      <formula>NOT(ISERROR(SEARCH("#REF!",D92)))</formula>
    </cfRule>
  </conditionalFormatting>
  <conditionalFormatting sqref="E92">
    <cfRule type="containsErrors" dxfId="250" priority="52">
      <formula>ISERROR(E92)</formula>
    </cfRule>
    <cfRule type="containsText" dxfId="249" priority="53" operator="containsText" text="#REF!">
      <formula>NOT(ISERROR(SEARCH("#REF!",E92)))</formula>
    </cfRule>
  </conditionalFormatting>
  <conditionalFormatting sqref="D93:E93">
    <cfRule type="containsErrors" dxfId="248" priority="50">
      <formula>ISERROR(D93)</formula>
    </cfRule>
    <cfRule type="containsText" dxfId="247" priority="51" operator="containsText" text="#REF!">
      <formula>NOT(ISERROR(SEARCH("#REF!",D93)))</formula>
    </cfRule>
  </conditionalFormatting>
  <conditionalFormatting sqref="E95">
    <cfRule type="expression" dxfId="246" priority="32">
      <formula>#REF!=无</formula>
    </cfRule>
  </conditionalFormatting>
  <conditionalFormatting sqref="D98">
    <cfRule type="containsErrors" dxfId="245" priority="26">
      <formula>ISERROR(D98)</formula>
    </cfRule>
    <cfRule type="containsText" dxfId="244" priority="27" operator="containsText" text="#REF!">
      <formula>NOT(ISERROR(SEARCH("#REF!",D98)))</formula>
    </cfRule>
  </conditionalFormatting>
  <conditionalFormatting sqref="E98">
    <cfRule type="containsErrors" dxfId="243" priority="30">
      <formula>ISERROR(E98)</formula>
    </cfRule>
    <cfRule type="containsText" dxfId="242" priority="31" operator="containsText" text="#REF!">
      <formula>NOT(ISERROR(SEARCH("#REF!",E98)))</formula>
    </cfRule>
  </conditionalFormatting>
  <conditionalFormatting sqref="D99:E99">
    <cfRule type="containsErrors" dxfId="241" priority="28">
      <formula>ISERROR(D99)</formula>
    </cfRule>
    <cfRule type="containsText" dxfId="240" priority="29" operator="containsText" text="#REF!">
      <formula>NOT(ISERROR(SEARCH("#REF!",D99)))</formula>
    </cfRule>
  </conditionalFormatting>
  <conditionalFormatting sqref="E101">
    <cfRule type="expression" dxfId="239" priority="150">
      <formula>#REF!=无</formula>
    </cfRule>
  </conditionalFormatting>
  <conditionalFormatting sqref="D104">
    <cfRule type="containsErrors" dxfId="238" priority="38">
      <formula>ISERROR(D104)</formula>
    </cfRule>
    <cfRule type="containsText" dxfId="237" priority="39" operator="containsText" text="#REF!">
      <formula>NOT(ISERROR(SEARCH("#REF!",D104)))</formula>
    </cfRule>
  </conditionalFormatting>
  <conditionalFormatting sqref="E104">
    <cfRule type="containsErrors" dxfId="236" priority="56">
      <formula>ISERROR(E104)</formula>
    </cfRule>
    <cfRule type="containsText" dxfId="235" priority="57" operator="containsText" text="#REF!">
      <formula>NOT(ISERROR(SEARCH("#REF!",E104)))</formula>
    </cfRule>
  </conditionalFormatting>
  <conditionalFormatting sqref="D105:E105">
    <cfRule type="containsErrors" dxfId="234" priority="54">
      <formula>ISERROR(D105)</formula>
    </cfRule>
    <cfRule type="containsText" dxfId="233" priority="55" operator="containsText" text="#REF!">
      <formula>NOT(ISERROR(SEARCH("#REF!",D105)))</formula>
    </cfRule>
  </conditionalFormatting>
  <conditionalFormatting sqref="E107">
    <cfRule type="expression" dxfId="232" priority="72">
      <formula>#REF!=无</formula>
    </cfRule>
  </conditionalFormatting>
  <conditionalFormatting sqref="D110:E110">
    <cfRule type="containsErrors" dxfId="231" priority="60">
      <formula>ISERROR(D110)</formula>
    </cfRule>
    <cfRule type="containsText" dxfId="230" priority="61" operator="containsText" text="#REF!">
      <formula>NOT(ISERROR(SEARCH("#REF!",D110)))</formula>
    </cfRule>
  </conditionalFormatting>
  <conditionalFormatting sqref="D111:E111">
    <cfRule type="containsErrors" dxfId="229" priority="58">
      <formula>ISERROR(D111)</formula>
    </cfRule>
    <cfRule type="containsText" dxfId="228" priority="59" operator="containsText" text="#REF!">
      <formula>NOT(ISERROR(SEARCH("#REF!",D111)))</formula>
    </cfRule>
  </conditionalFormatting>
  <conditionalFormatting sqref="E113">
    <cfRule type="expression" dxfId="227" priority="149">
      <formula>#REF!=无</formula>
    </cfRule>
  </conditionalFormatting>
  <conditionalFormatting sqref="D116">
    <cfRule type="containsErrors" dxfId="226" priority="36">
      <formula>ISERROR(D116)</formula>
    </cfRule>
    <cfRule type="containsText" dxfId="225" priority="37" operator="containsText" text="#REF!">
      <formula>NOT(ISERROR(SEARCH("#REF!",D116)))</formula>
    </cfRule>
  </conditionalFormatting>
  <conditionalFormatting sqref="E116">
    <cfRule type="containsErrors" dxfId="224" priority="64">
      <formula>ISERROR(E116)</formula>
    </cfRule>
    <cfRule type="containsText" dxfId="223" priority="65" operator="containsText" text="#REF!">
      <formula>NOT(ISERROR(SEARCH("#REF!",E116)))</formula>
    </cfRule>
  </conditionalFormatting>
  <conditionalFormatting sqref="D117:E117">
    <cfRule type="containsErrors" dxfId="222" priority="62">
      <formula>ISERROR(D117)</formula>
    </cfRule>
    <cfRule type="containsText" dxfId="221" priority="63" operator="containsText" text="#REF!">
      <formula>NOT(ISERROR(SEARCH("#REF!",D117)))</formula>
    </cfRule>
  </conditionalFormatting>
  <conditionalFormatting sqref="B119:AU119">
    <cfRule type="containsText" dxfId="220" priority="93" operator="containsText" text="#REF!">
      <formula>NOT(ISERROR(SEARCH("#REF!",B119)))</formula>
    </cfRule>
  </conditionalFormatting>
  <conditionalFormatting sqref="B119:AM119">
    <cfRule type="containsErrors" dxfId="219" priority="92">
      <formula>ISERROR(B119)</formula>
    </cfRule>
  </conditionalFormatting>
  <conditionalFormatting sqref="E119">
    <cfRule type="expression" dxfId="218" priority="94">
      <formula>#REF!=无</formula>
    </cfRule>
  </conditionalFormatting>
  <conditionalFormatting sqref="D121">
    <cfRule type="containsErrors" dxfId="217" priority="75">
      <formula>ISERROR(D121)</formula>
    </cfRule>
    <cfRule type="containsText" dxfId="216" priority="76" operator="containsText" text="#REF!">
      <formula>NOT(ISERROR(SEARCH("#REF!",D121)))</formula>
    </cfRule>
  </conditionalFormatting>
  <conditionalFormatting sqref="D122">
    <cfRule type="containsErrors" dxfId="215" priority="34">
      <formula>ISERROR(D122)</formula>
    </cfRule>
    <cfRule type="containsText" dxfId="214" priority="35" operator="containsText" text="#REF!">
      <formula>NOT(ISERROR(SEARCH("#REF!",D122)))</formula>
    </cfRule>
  </conditionalFormatting>
  <conditionalFormatting sqref="E122">
    <cfRule type="containsErrors" dxfId="213" priority="44">
      <formula>ISERROR(E122)</formula>
    </cfRule>
    <cfRule type="containsText" dxfId="212" priority="45" operator="containsText" text="#REF!">
      <formula>NOT(ISERROR(SEARCH("#REF!",E122)))</formula>
    </cfRule>
  </conditionalFormatting>
  <conditionalFormatting sqref="D123:E123">
    <cfRule type="containsErrors" dxfId="211" priority="42">
      <formula>ISERROR(D123)</formula>
    </cfRule>
    <cfRule type="containsText" dxfId="210" priority="43" operator="containsText" text="#REF!">
      <formula>NOT(ISERROR(SEARCH("#REF!",D123)))</formula>
    </cfRule>
  </conditionalFormatting>
  <conditionalFormatting sqref="E125">
    <cfRule type="expression" dxfId="209" priority="148">
      <formula>#REF!=无</formula>
    </cfRule>
  </conditionalFormatting>
  <conditionalFormatting sqref="D131:E131">
    <cfRule type="expression" dxfId="208" priority="224">
      <formula>#REF!=无</formula>
    </cfRule>
  </conditionalFormatting>
  <conditionalFormatting sqref="D136:E136">
    <cfRule type="expression" dxfId="207" priority="81">
      <formula>#REF!=无</formula>
    </cfRule>
  </conditionalFormatting>
  <conditionalFormatting sqref="B155:C155">
    <cfRule type="cellIs" dxfId="206" priority="184" operator="equal">
      <formula>0</formula>
    </cfRule>
  </conditionalFormatting>
  <conditionalFormatting sqref="D155">
    <cfRule type="cellIs" dxfId="205" priority="185" operator="equal">
      <formula>0</formula>
    </cfRule>
  </conditionalFormatting>
  <conditionalFormatting sqref="G155">
    <cfRule type="cellIs" dxfId="204" priority="182" operator="equal">
      <formula>0</formula>
    </cfRule>
  </conditionalFormatting>
  <conditionalFormatting sqref="D159:E159">
    <cfRule type="expression" dxfId="203" priority="221">
      <formula>#REF!=无</formula>
    </cfRule>
  </conditionalFormatting>
  <conditionalFormatting sqref="D164:E164">
    <cfRule type="expression" dxfId="202" priority="217">
      <formula>#REF!=无</formula>
    </cfRule>
  </conditionalFormatting>
  <conditionalFormatting sqref="D169:E169">
    <cfRule type="expression" dxfId="201" priority="203">
      <formula>#REF!=无</formula>
    </cfRule>
  </conditionalFormatting>
  <conditionalFormatting sqref="D174">
    <cfRule type="expression" dxfId="200" priority="202">
      <formula>#REF!=无</formula>
    </cfRule>
  </conditionalFormatting>
  <conditionalFormatting sqref="E174">
    <cfRule type="expression" dxfId="199" priority="201">
      <formula>#REF!=无</formula>
    </cfRule>
  </conditionalFormatting>
  <conditionalFormatting sqref="E216">
    <cfRule type="expression" dxfId="198" priority="71">
      <formula>#REF!=无</formula>
    </cfRule>
  </conditionalFormatting>
  <conditionalFormatting sqref="D219:E219">
    <cfRule type="containsErrors" dxfId="197" priority="69">
      <formula>ISERROR(D219)</formula>
    </cfRule>
    <cfRule type="containsText" dxfId="196" priority="70" operator="containsText" text="#REF!">
      <formula>NOT(ISERROR(SEARCH("#REF!",D219)))</formula>
    </cfRule>
  </conditionalFormatting>
  <conditionalFormatting sqref="D220:E220">
    <cfRule type="containsErrors" dxfId="195" priority="67">
      <formula>ISERROR(D220)</formula>
    </cfRule>
    <cfRule type="containsText" dxfId="194" priority="68" operator="containsText" text="#REF!">
      <formula>NOT(ISERROR(SEARCH("#REF!",D220)))</formula>
    </cfRule>
  </conditionalFormatting>
  <conditionalFormatting sqref="D222:F222">
    <cfRule type="expression" dxfId="193" priority="66">
      <formula>#REF!=无</formula>
    </cfRule>
  </conditionalFormatting>
  <conditionalFormatting sqref="E228">
    <cfRule type="expression" dxfId="192" priority="190">
      <formula>#REF!=无</formula>
    </cfRule>
  </conditionalFormatting>
  <conditionalFormatting sqref="E235">
    <cfRule type="expression" dxfId="191" priority="189">
      <formula>#REF!=无</formula>
    </cfRule>
  </conditionalFormatting>
  <conditionalFormatting sqref="D277:E277">
    <cfRule type="expression" dxfId="190" priority="186">
      <formula>#REF!=无</formula>
    </cfRule>
  </conditionalFormatting>
  <conditionalFormatting sqref="D290:E290">
    <cfRule type="expression" dxfId="189" priority="223">
      <formula>#REF!=无</formula>
    </cfRule>
  </conditionalFormatting>
  <conditionalFormatting sqref="D295:E295">
    <cfRule type="expression" dxfId="188" priority="222">
      <formula>#REF!=无</formula>
    </cfRule>
  </conditionalFormatting>
  <conditionalFormatting sqref="D337:E337">
    <cfRule type="expression" dxfId="187" priority="216">
      <formula>#REF!=无</formula>
    </cfRule>
  </conditionalFormatting>
  <conditionalFormatting sqref="D342:E342">
    <cfRule type="expression" dxfId="186" priority="215">
      <formula>#REF!=无</formula>
    </cfRule>
  </conditionalFormatting>
  <conditionalFormatting sqref="D361">
    <cfRule type="containsErrors" dxfId="185" priority="74">
      <formula>ISERROR(D361)</formula>
    </cfRule>
  </conditionalFormatting>
  <conditionalFormatting sqref="D371:E371">
    <cfRule type="expression" dxfId="184" priority="214">
      <formula>#REF!=无</formula>
    </cfRule>
  </conditionalFormatting>
  <conditionalFormatting sqref="D376:E376">
    <cfRule type="expression" dxfId="183" priority="213">
      <formula>#REF!=无</formula>
    </cfRule>
  </conditionalFormatting>
  <conditionalFormatting sqref="D381:E381">
    <cfRule type="expression" dxfId="182" priority="212">
      <formula>#REF!=无</formula>
    </cfRule>
  </conditionalFormatting>
  <conditionalFormatting sqref="D386:F386">
    <cfRule type="expression" dxfId="181" priority="168">
      <formula>#REF!=无</formula>
    </cfRule>
  </conditionalFormatting>
  <conditionalFormatting sqref="D396:E396">
    <cfRule type="expression" dxfId="180" priority="208">
      <formula>#REF!=无</formula>
    </cfRule>
  </conditionalFormatting>
  <conditionalFormatting sqref="D412">
    <cfRule type="expression" dxfId="179" priority="181">
      <formula>#REF!=无</formula>
    </cfRule>
  </conditionalFormatting>
  <conditionalFormatting sqref="E412">
    <cfRule type="expression" dxfId="178" priority="180">
      <formula>#REF!=无</formula>
    </cfRule>
  </conditionalFormatting>
  <conditionalFormatting sqref="D417">
    <cfRule type="expression" dxfId="177" priority="179">
      <formula>#REF!=无</formula>
    </cfRule>
  </conditionalFormatting>
  <conditionalFormatting sqref="E417">
    <cfRule type="expression" dxfId="176" priority="178">
      <formula>#REF!=无</formula>
    </cfRule>
  </conditionalFormatting>
  <conditionalFormatting sqref="D426">
    <cfRule type="expression" dxfId="175" priority="161">
      <formula>#REF!=无</formula>
    </cfRule>
  </conditionalFormatting>
  <conditionalFormatting sqref="E426">
    <cfRule type="expression" dxfId="174" priority="160">
      <formula>#REF!=无</formula>
    </cfRule>
  </conditionalFormatting>
  <conditionalFormatting sqref="D435">
    <cfRule type="expression" dxfId="173" priority="177">
      <formula>#REF!=无</formula>
    </cfRule>
  </conditionalFormatting>
  <conditionalFormatting sqref="E435">
    <cfRule type="expression" dxfId="172" priority="176">
      <formula>#REF!=无</formula>
    </cfRule>
  </conditionalFormatting>
  <conditionalFormatting sqref="D444">
    <cfRule type="expression" dxfId="171" priority="175">
      <formula>#REF!=无</formula>
    </cfRule>
  </conditionalFormatting>
  <conditionalFormatting sqref="E444">
    <cfRule type="expression" dxfId="170" priority="174">
      <formula>#REF!=无</formula>
    </cfRule>
  </conditionalFormatting>
  <conditionalFormatting sqref="D453">
    <cfRule type="expression" dxfId="169" priority="172">
      <formula>#REF!=无</formula>
    </cfRule>
  </conditionalFormatting>
  <conditionalFormatting sqref="E453">
    <cfRule type="expression" dxfId="168" priority="171">
      <formula>#REF!=无</formula>
    </cfRule>
  </conditionalFormatting>
  <conditionalFormatting sqref="D463:E463">
    <cfRule type="expression" dxfId="167" priority="204">
      <formula>#REF!=无</formula>
    </cfRule>
  </conditionalFormatting>
  <conditionalFormatting sqref="D470:E470">
    <cfRule type="expression" dxfId="166" priority="188">
      <formula>#REF!=无</formula>
    </cfRule>
  </conditionalFormatting>
  <conditionalFormatting sqref="D475:E475">
    <cfRule type="expression" dxfId="165" priority="187">
      <formula>#REF!=无</formula>
    </cfRule>
  </conditionalFormatting>
  <conditionalFormatting sqref="D485:E485">
    <cfRule type="expression" dxfId="164" priority="170">
      <formula>#REF!=无</formula>
    </cfRule>
  </conditionalFormatting>
  <conditionalFormatting sqref="D497:E497">
    <cfRule type="expression" dxfId="163" priority="225">
      <formula>#REF!=无</formula>
    </cfRule>
  </conditionalFormatting>
  <conditionalFormatting sqref="D502:E502">
    <cfRule type="expression" dxfId="162" priority="220">
      <formula>#REF!=无</formula>
    </cfRule>
  </conditionalFormatting>
  <conditionalFormatting sqref="D506:E506">
    <cfRule type="expression" dxfId="161" priority="167">
      <formula>#REF!=无</formula>
    </cfRule>
  </conditionalFormatting>
  <conditionalFormatting sqref="D513:E513">
    <cfRule type="expression" dxfId="160" priority="159">
      <formula>#REF!=无</formula>
    </cfRule>
  </conditionalFormatting>
  <conditionalFormatting sqref="D517:E517">
    <cfRule type="expression" dxfId="159" priority="158">
      <formula>#REF!=无</formula>
    </cfRule>
  </conditionalFormatting>
  <conditionalFormatting sqref="D524:E524">
    <cfRule type="expression" dxfId="158" priority="218">
      <formula>#REF!=无</formula>
    </cfRule>
  </conditionalFormatting>
  <conditionalFormatting sqref="D539:E539">
    <cfRule type="expression" dxfId="157" priority="169">
      <formula>#REF!=无</formula>
    </cfRule>
  </conditionalFormatting>
  <conditionalFormatting sqref="E576">
    <cfRule type="expression" dxfId="156" priority="147">
      <formula>#REF!=无</formula>
    </cfRule>
  </conditionalFormatting>
  <conditionalFormatting sqref="E584">
    <cfRule type="expression" dxfId="155" priority="146">
      <formula>#REF!=无</formula>
    </cfRule>
  </conditionalFormatting>
  <conditionalFormatting sqref="E592">
    <cfRule type="expression" dxfId="154" priority="145">
      <formula>#REF!=无</formula>
    </cfRule>
  </conditionalFormatting>
  <conditionalFormatting sqref="E600">
    <cfRule type="expression" dxfId="153" priority="144">
      <formula>#REF!=无</formula>
    </cfRule>
  </conditionalFormatting>
  <conditionalFormatting sqref="E608">
    <cfRule type="expression" dxfId="152" priority="143">
      <formula>#REF!=无</formula>
    </cfRule>
  </conditionalFormatting>
  <conditionalFormatting sqref="D615:E615">
    <cfRule type="expression" dxfId="151" priority="140">
      <formula>#REF!=无</formula>
    </cfRule>
  </conditionalFormatting>
  <conditionalFormatting sqref="D620:E620">
    <cfRule type="expression" dxfId="150" priority="139">
      <formula>#REF!=无</formula>
    </cfRule>
  </conditionalFormatting>
  <conditionalFormatting sqref="D625:E625">
    <cfRule type="expression" dxfId="149" priority="138">
      <formula>#REF!=无</formula>
    </cfRule>
  </conditionalFormatting>
  <conditionalFormatting sqref="D634:E634">
    <cfRule type="expression" dxfId="148" priority="137">
      <formula>#REF!=无</formula>
    </cfRule>
  </conditionalFormatting>
  <conditionalFormatting sqref="D653:E653">
    <cfRule type="expression" dxfId="147" priority="136">
      <formula>#REF!=无</formula>
    </cfRule>
  </conditionalFormatting>
  <conditionalFormatting sqref="D658:E658">
    <cfRule type="expression" dxfId="146" priority="132">
      <formula>#REF!=无</formula>
    </cfRule>
  </conditionalFormatting>
  <conditionalFormatting sqref="D663">
    <cfRule type="expression" dxfId="145" priority="134">
      <formula>#REF!=无</formula>
    </cfRule>
  </conditionalFormatting>
  <conditionalFormatting sqref="E663">
    <cfRule type="expression" dxfId="144" priority="133">
      <formula>#REF!=无</formula>
    </cfRule>
  </conditionalFormatting>
  <conditionalFormatting sqref="D668:E668">
    <cfRule type="expression" dxfId="143" priority="131">
      <formula>#REF!=无</formula>
    </cfRule>
  </conditionalFormatting>
  <conditionalFormatting sqref="D673:E673">
    <cfRule type="expression" dxfId="142" priority="130">
      <formula>#REF!=无</formula>
    </cfRule>
  </conditionalFormatting>
  <conditionalFormatting sqref="D683">
    <cfRule type="expression" dxfId="141" priority="127">
      <formula>#REF!=无</formula>
    </cfRule>
  </conditionalFormatting>
  <conditionalFormatting sqref="E683">
    <cfRule type="expression" dxfId="140" priority="126">
      <formula>#REF!=无</formula>
    </cfRule>
  </conditionalFormatting>
  <conditionalFormatting sqref="D688">
    <cfRule type="expression" dxfId="139" priority="125">
      <formula>#REF!=无</formula>
    </cfRule>
  </conditionalFormatting>
  <conditionalFormatting sqref="E688">
    <cfRule type="expression" dxfId="138" priority="124">
      <formula>#REF!=无</formula>
    </cfRule>
  </conditionalFormatting>
  <conditionalFormatting sqref="D697">
    <cfRule type="expression" dxfId="137" priority="123">
      <formula>#REF!=无</formula>
    </cfRule>
  </conditionalFormatting>
  <conditionalFormatting sqref="E697">
    <cfRule type="expression" dxfId="136" priority="122">
      <formula>#REF!=无</formula>
    </cfRule>
  </conditionalFormatting>
  <conditionalFormatting sqref="D706">
    <cfRule type="expression" dxfId="135" priority="121">
      <formula>#REF!=无</formula>
    </cfRule>
  </conditionalFormatting>
  <conditionalFormatting sqref="E706">
    <cfRule type="expression" dxfId="134" priority="120">
      <formula>#REF!=无</formula>
    </cfRule>
  </conditionalFormatting>
  <conditionalFormatting sqref="D715">
    <cfRule type="expression" dxfId="133" priority="119">
      <formula>#REF!=无</formula>
    </cfRule>
  </conditionalFormatting>
  <conditionalFormatting sqref="E715">
    <cfRule type="expression" dxfId="132" priority="118">
      <formula>#REF!=无</formula>
    </cfRule>
  </conditionalFormatting>
  <conditionalFormatting sqref="D725">
    <cfRule type="expression" dxfId="131" priority="117">
      <formula>#REF!=无</formula>
    </cfRule>
  </conditionalFormatting>
  <conditionalFormatting sqref="E725">
    <cfRule type="expression" dxfId="130" priority="116">
      <formula>#REF!=无</formula>
    </cfRule>
  </conditionalFormatting>
  <conditionalFormatting sqref="D730">
    <cfRule type="expression" dxfId="129" priority="115">
      <formula>#REF!=无</formula>
    </cfRule>
  </conditionalFormatting>
  <conditionalFormatting sqref="E730">
    <cfRule type="expression" dxfId="128" priority="114">
      <formula>#REF!=无</formula>
    </cfRule>
  </conditionalFormatting>
  <conditionalFormatting sqref="D739">
    <cfRule type="expression" dxfId="127" priority="113">
      <formula>#REF!=无</formula>
    </cfRule>
  </conditionalFormatting>
  <conditionalFormatting sqref="E739">
    <cfRule type="expression" dxfId="126" priority="112">
      <formula>#REF!=无</formula>
    </cfRule>
  </conditionalFormatting>
  <conditionalFormatting sqref="D748">
    <cfRule type="expression" dxfId="125" priority="111">
      <formula>#REF!=无</formula>
    </cfRule>
  </conditionalFormatting>
  <conditionalFormatting sqref="E748">
    <cfRule type="expression" dxfId="124" priority="110">
      <formula>#REF!=无</formula>
    </cfRule>
  </conditionalFormatting>
  <conditionalFormatting sqref="D757">
    <cfRule type="expression" dxfId="123" priority="109">
      <formula>#REF!=无</formula>
    </cfRule>
  </conditionalFormatting>
  <conditionalFormatting sqref="E757">
    <cfRule type="expression" dxfId="122" priority="108">
      <formula>#REF!=无</formula>
    </cfRule>
  </conditionalFormatting>
  <conditionalFormatting sqref="B770:C770">
    <cfRule type="cellIs" dxfId="121" priority="101" operator="equal">
      <formula>0</formula>
    </cfRule>
  </conditionalFormatting>
  <conditionalFormatting sqref="D770">
    <cfRule type="cellIs" dxfId="120" priority="102" operator="equal">
      <formula>0</formula>
    </cfRule>
  </conditionalFormatting>
  <conditionalFormatting sqref="G770">
    <cfRule type="cellIs" dxfId="119" priority="99" operator="equal">
      <formula>0</formula>
    </cfRule>
  </conditionalFormatting>
  <conditionalFormatting sqref="B778:C778">
    <cfRule type="cellIs" dxfId="118" priority="97" operator="equal">
      <formula>0</formula>
    </cfRule>
  </conditionalFormatting>
  <conditionalFormatting sqref="D778">
    <cfRule type="cellIs" dxfId="117" priority="98" operator="equal">
      <formula>0</formula>
    </cfRule>
  </conditionalFormatting>
  <conditionalFormatting sqref="G778">
    <cfRule type="cellIs" dxfId="116" priority="95" operator="equal">
      <formula>0</formula>
    </cfRule>
  </conditionalFormatting>
  <conditionalFormatting sqref="O120:O123">
    <cfRule type="containsErrors" dxfId="115" priority="82">
      <formula>ISERROR(O120)</formula>
    </cfRule>
    <cfRule type="containsText" dxfId="114" priority="83" operator="containsText" text="#REF!">
      <formula>NOT(ISERROR(SEARCH("#REF!",O120)))</formula>
    </cfRule>
  </conditionalFormatting>
  <conditionalFormatting sqref="B65:E65 G65:AM65 B66:AM67 B73:AM85 J1:AM64 B1:H64 I1:I19 I21:I27 I29:I64 B288:C288 E384:AM384 B384:C384 F86:AM87 B118:AM121 B86:C87 B124:AM218 B289:AM383 B248:D248 B249:C249 B250:AM287 G248:AM248 F249:AM249 B245:AM247 G243:AM243 F244:AM244 B244:D244 B243:C243 B234:AM242 F233:AM233 B233:C233 B232:D232 G232:AM232 B221:AM231 O96:AM99 B96:N97 B94:AM95 F98:N99 B98:C99 B100:AM103 F122:AM123 B122:C123 F92:AM93 B92:C93 F104:AM105 B104:C105 B106:AM109 F110:AM111 B110:C111 B112:AM115 F116:AM117 B116:C117 F219:AM220 B88:AM91 B219:C220 E288:AM288 B385:AM436 B793:AM1048576 B438:AM781 B437:P437 R437:AM437">
    <cfRule type="containsErrors" dxfId="113" priority="106">
      <formula>ISERROR(B1)</formula>
    </cfRule>
  </conditionalFormatting>
  <conditionalFormatting sqref="B65:E65 G65:AU65 B66:AU67 B73:AU85 J1:AU64 B1:H64 I1:I19 I21:I27 I29:I64 B288:C288 E384:AU384 B384:C384 F86:AU87 B118:AU121 B86:C87 B124:AU218 B289:AU383 B248:D248 B249:C249 B250:AU287 G248:AU248 F249:AU249 B245:AU247 G243:AU243 F244:AU244 B244:D244 B243:C243 B234:AU242 F233:AU233 B233:C233 B232:D232 G232:AU232 B221:AU231 O96:AU99 B96:N97 B94:AU95 F98:N99 B98:C99 B100:AU103 F122:AU123 B122:C123 F92:AU93 B92:C93 F104:AU105 B104:C105 B106:AU109 F110:AU111 B110:C111 B112:AU115 F116:AU117 B116:C117 F219:AU220 B88:AU91 B219:C220 E288:AU288 B385:AU436 B793:AU1048576 B438:AU781 B437:P437 R437:AU437">
    <cfRule type="containsText" dxfId="112" priority="107" operator="containsText" text="#REF!">
      <formula>NOT(ISERROR(SEARCH("#REF!",B1)))</formula>
    </cfRule>
  </conditionalFormatting>
  <conditionalFormatting sqref="B70:E70 G70:AU70 B71:AU72 B68:AU69">
    <cfRule type="containsText" dxfId="111" priority="23" operator="containsText" text="#REF!">
      <formula>NOT(ISERROR(SEARCH("#REF!",B68)))</formula>
    </cfRule>
  </conditionalFormatting>
  <conditionalFormatting sqref="B70:E70 G70:AM70 B71:AM72 B68:AM69">
    <cfRule type="containsErrors" dxfId="110" priority="22">
      <formula>ISERROR(B68)</formula>
    </cfRule>
  </conditionalFormatting>
  <conditionalFormatting sqref="B120:N120 P120:AU120">
    <cfRule type="containsText" dxfId="109" priority="91" operator="containsText" text="#REF!">
      <formula>NOT(ISERROR(SEARCH("#REF!",B120)))</formula>
    </cfRule>
  </conditionalFormatting>
  <conditionalFormatting sqref="B120:N120 P120:AM120">
    <cfRule type="containsErrors" dxfId="108" priority="90">
      <formula>ISERROR(B120)</formula>
    </cfRule>
  </conditionalFormatting>
  <conditionalFormatting sqref="B121:C121 E121:N121 P121:AU121">
    <cfRule type="containsText" dxfId="107" priority="89" operator="containsText" text="#REF!">
      <formula>NOT(ISERROR(SEARCH("#REF!",B121)))</formula>
    </cfRule>
  </conditionalFormatting>
  <conditionalFormatting sqref="B121:C121 E121:N121 P121:AM121">
    <cfRule type="containsErrors" dxfId="106" priority="88">
      <formula>ISERROR(B121)</formula>
    </cfRule>
  </conditionalFormatting>
  <conditionalFormatting sqref="B122:C122 F122:N122 P122:AU122">
    <cfRule type="containsText" dxfId="105" priority="87" operator="containsText" text="#REF!">
      <formula>NOT(ISERROR(SEARCH("#REF!",B122)))</formula>
    </cfRule>
  </conditionalFormatting>
  <conditionalFormatting sqref="B122:C122 F122:N122 P122:AM122">
    <cfRule type="containsErrors" dxfId="104" priority="86">
      <formula>ISERROR(B122)</formula>
    </cfRule>
  </conditionalFormatting>
  <conditionalFormatting sqref="B124:AU124 F123:N123 P123:AU123 B123:C123">
    <cfRule type="containsText" dxfId="103" priority="85" operator="containsText" text="#REF!">
      <formula>NOT(ISERROR(SEARCH("#REF!",B123)))</formula>
    </cfRule>
  </conditionalFormatting>
  <conditionalFormatting sqref="B124:AM124 F123:N123 P123:AM123 B123:C123">
    <cfRule type="containsErrors" dxfId="102" priority="84">
      <formula>ISERROR(B123)</formula>
    </cfRule>
  </conditionalFormatting>
  <conditionalFormatting sqref="E153 E155:F155">
    <cfRule type="cellIs" dxfId="101" priority="183" operator="equal">
      <formula>0</formula>
    </cfRule>
  </conditionalFormatting>
  <conditionalFormatting sqref="A793:XFD793 P724:XFD724 A724:N724">
    <cfRule type="cellIs" dxfId="100" priority="129" operator="equal">
      <formula>0</formula>
    </cfRule>
  </conditionalFormatting>
  <conditionalFormatting sqref="E768 E770:F770">
    <cfRule type="cellIs" dxfId="99" priority="100" operator="equal">
      <formula>0</formula>
    </cfRule>
  </conditionalFormatting>
  <conditionalFormatting sqref="E776 E778:F778">
    <cfRule type="cellIs" dxfId="98" priority="96" operator="equal">
      <formula>0</formula>
    </cfRule>
  </conditionalFormatting>
  <conditionalFormatting sqref="B786:AM786 B782:N785 P782:AM785">
    <cfRule type="containsErrors" dxfId="97" priority="14">
      <formula>ISERROR(B782)</formula>
    </cfRule>
  </conditionalFormatting>
  <conditionalFormatting sqref="B786:AU786 B782:N785 P782:AU785">
    <cfRule type="containsText" dxfId="96" priority="15" operator="containsText" text="#REF!">
      <formula>NOT(ISERROR(SEARCH("#REF!",B782)))</formula>
    </cfRule>
  </conditionalFormatting>
  <conditionalFormatting sqref="O787">
    <cfRule type="containsText" dxfId="95" priority="10" operator="containsText" text="#REF!">
      <formula>NOT(ISERROR(SEARCH("#REF!",O787)))</formula>
    </cfRule>
  </conditionalFormatting>
  <conditionalFormatting sqref="O787">
    <cfRule type="containsErrors" dxfId="94" priority="9">
      <formula>ISERROR(O787)</formula>
    </cfRule>
  </conditionalFormatting>
  <conditionalFormatting sqref="O788">
    <cfRule type="containsText" dxfId="93" priority="8" operator="containsText" text="#REF!">
      <formula>NOT(ISERROR(SEARCH("#REF!",O788)))</formula>
    </cfRule>
  </conditionalFormatting>
  <conditionalFormatting sqref="O788">
    <cfRule type="containsErrors" dxfId="92" priority="7">
      <formula>ISERROR(O788)</formula>
    </cfRule>
  </conditionalFormatting>
  <conditionalFormatting sqref="O789">
    <cfRule type="containsText" dxfId="91" priority="6" operator="containsText" text="#REF!">
      <formula>NOT(ISERROR(SEARCH("#REF!",O789)))</formula>
    </cfRule>
  </conditionalFormatting>
  <conditionalFormatting sqref="O789">
    <cfRule type="containsErrors" dxfId="90" priority="5">
      <formula>ISERROR(O789)</formula>
    </cfRule>
  </conditionalFormatting>
  <conditionalFormatting sqref="O790">
    <cfRule type="containsText" dxfId="89" priority="4" operator="containsText" text="#REF!">
      <formula>NOT(ISERROR(SEARCH("#REF!",O790)))</formula>
    </cfRule>
  </conditionalFormatting>
  <conditionalFormatting sqref="O790">
    <cfRule type="containsErrors" dxfId="88" priority="3">
      <formula>ISERROR(O790)</formula>
    </cfRule>
  </conditionalFormatting>
  <conditionalFormatting sqref="O791:O792">
    <cfRule type="containsText" dxfId="87" priority="2" operator="containsText" text="#REF!">
      <formula>NOT(ISERROR(SEARCH("#REF!",O791)))</formula>
    </cfRule>
  </conditionalFormatting>
  <conditionalFormatting sqref="O791:O792">
    <cfRule type="containsErrors" dxfId="86" priority="1">
      <formula>ISERROR(O791)</formula>
    </cfRule>
  </conditionalFormatting>
  <dataValidations count="16">
    <dataValidation type="list" allowBlank="1" showInputMessage="1" showErrorMessage="1" sqref="D13" xr:uid="{00000000-0002-0000-0500-000001000000}">
      <formula1>D12</formula1>
    </dataValidation>
    <dataValidation type="list" allowBlank="1" showInputMessage="1" showErrorMessage="1" sqref="E13:F13" xr:uid="{00000000-0002-0000-0500-000002000000}">
      <formula1>H11</formula1>
    </dataValidation>
    <dataValidation type="list" allowBlank="1" showInputMessage="1" showErrorMessage="1" sqref="H13:I13" xr:uid="{00000000-0002-0000-0500-000003000000}">
      <formula1>E13</formula1>
    </dataValidation>
    <dataValidation type="list" allowBlank="1" showInputMessage="1" showErrorMessage="1" sqref="E21 E29 E37" xr:uid="{00000000-0002-0000-0500-000007000000}">
      <formula1>"D,Z,X"</formula1>
    </dataValidation>
    <dataValidation type="list" allowBlank="1" showInputMessage="1" showErrorMessage="1" sqref="F22 F30 F38 Q43 Q50 D182 D190 Q195 Q283 Q544 Q569" xr:uid="{00000000-0002-0000-0500-000009000000}">
      <formula1>"600,675"</formula1>
    </dataValidation>
    <dataValidation type="list" allowBlank="1" showInputMessage="1" showErrorMessage="1" sqref="I33 I36 I44 I51 I58 N182 N190 F285 E546 E571" xr:uid="{00000000-0002-0000-0500-00000C000000}">
      <formula1>"印尼,外部冲孔时填写印尼"</formula1>
    </dataValidation>
    <dataValidation type="list" allowBlank="1" showInputMessage="1" showErrorMessage="1" sqref="G58 G132 G137 G142 G152 H154 G160 G165 G170 G175 G196 G201 G206 G243 G248 G253 G258 G263 G268 G273 G278 G291 G296 G307 G312 G317 G322 G327 G332 G338 G343 G348 G354 G367 G372 G377 G382 G392 G397 G464 G471 G476 G481 G486 G498 G503 H507 G514 H518 G525 G530 G535 G540 G616 G621 G654 G659 G664 G669 G674 G679 G767 H769 G775 H777 G20:G22 G28:G30 G36:G38 G44:G45 G51:G52 G64:G65 G69:G70 G74:G75 G79:G80 G84:G85 G90:G91 G96:G97 G102:G103 G108:G109 G114:G115 G120:G121 G126:G127 G180:G181 G188:G189 G211:G212 G217:G218 G223:G224 G229:G230 G236:G237 G284:G285 G360:G361 G387:G388 G413:G414 G418:G423 G427:G432 G436:G441 G445:G447 G454:G456 G545:G546 G570:G571 G577:G578 G585:G586 G593:G594 G601:G602 G609:G610 G626:G631 G635:G640 G684:G685 G689:G694 G698:G703 G707:G709 G716:G718 G726:G727 G731:G736 G740:G745 G749:G751 G758:G760 G783" xr:uid="{00000000-0002-0000-0500-00000D000000}">
      <formula1>"预镀锌,喷塑,热镀锌,冷镀锌"</formula1>
    </dataValidation>
    <dataValidation type="list" allowBlank="1" showInputMessage="1" showErrorMessage="1" sqref="D65 D70 F223 F387" xr:uid="{00000000-0002-0000-0500-00000F000000}">
      <formula1>"1,2"</formula1>
    </dataValidation>
    <dataValidation type="list" allowBlank="1" showInputMessage="1" showErrorMessage="1" sqref="D66 D71" xr:uid="{00000000-0002-0000-0500-000010000000}">
      <formula1>"55,60,90,100,120,140"</formula1>
    </dataValidation>
    <dataValidation type="list" allowBlank="1" showInputMessage="1" showErrorMessage="1" sqref="D147 D644 D649" xr:uid="{00000000-0002-0000-0500-000017000000}">
      <formula1>"折弯式网层板,非折弯式网层板,定制折弯式网层板,定制非折弯式网层板"</formula1>
    </dataValidation>
    <dataValidation type="list" allowBlank="1" showInputMessage="1" showErrorMessage="1" sqref="G147 G644 G649" xr:uid="{00000000-0002-0000-0500-000018000000}">
      <formula1>"喷塑,镀锌"</formula1>
    </dataValidation>
    <dataValidation type="list" allowBlank="1" showInputMessage="1" sqref="B154" xr:uid="{00000000-0002-0000-0500-000019000000}">
      <formula1>"0.4,0.5,0.6,0.7,0.8,1,1.2,1.5,2,"</formula1>
    </dataValidation>
    <dataValidation type="list" allowBlank="1" showInputMessage="1" showErrorMessage="1" sqref="F154 F769 F777" xr:uid="{00000000-0002-0000-0500-00001A000000}">
      <formula1>"20,25,28,30,40"</formula1>
    </dataValidation>
    <dataValidation type="list" allowBlank="1" showInputMessage="1" showErrorMessage="1" sqref="N181 N189" xr:uid="{00000000-0002-0000-0500-00001B000000}">
      <formula1>"D,Z"</formula1>
    </dataValidation>
    <dataValidation type="list" allowBlank="1" showInputMessage="1" showErrorMessage="1" sqref="C264" xr:uid="{00000000-0002-0000-0500-00001F000000}">
      <formula1>$C$265:$D$265</formula1>
    </dataValidation>
    <dataValidation type="list" allowBlank="1" showInputMessage="1" showErrorMessage="1" sqref="B769 B777" xr:uid="{00000000-0002-0000-0500-000030000000}">
      <formula1>"0.6,0.7,0.8,1,1.2"</formula1>
    </dataValidation>
  </dataValidations>
  <hyperlinks>
    <hyperlink ref="D12" location="'报价辅助计算 模板'!B161" display="驶入式货架" xr:uid="{00000000-0004-0000-0500-000000000000}"/>
    <hyperlink ref="E12" location="'报价辅助计算 模板'!B216" display="阁楼平台" xr:uid="{00000000-0004-0000-0500-000001000000}"/>
    <hyperlink ref="F12" location="'报价辅助计算 模板'!B270" display="穿梭板货架" xr:uid="{00000000-0004-0000-0500-000002000000}"/>
    <hyperlink ref="G12" location="'报价辅助计算 模板'!B347" display="悬臂货架" xr:uid="{00000000-0004-0000-0500-000003000000}"/>
    <hyperlink ref="E13" location="'报价辅助计算 模板'!B380" display="客户定制" xr:uid="{00000000-0004-0000-0500-000004000000}"/>
    <hyperlink ref="F13" location="'报价辅助计算 模板'!B403" display="附件" xr:uid="{00000000-0004-0000-0500-000005000000}"/>
    <hyperlink ref="G13" location="报价辅助计算模板!A19" display="返回顶部" xr:uid="{00000000-0004-0000-0500-000006000000}"/>
    <hyperlink ref="C12" location="'报价辅助计算 模板'!B19" display="标准货架" xr:uid="{00000000-0004-0000-0500-000007000000}"/>
  </hyperlinks>
  <pageMargins left="0.7" right="0.7" top="0.75" bottom="0.75" header="0.3" footer="0.3"/>
  <pageSetup paperSize="9" orientation="portrait"/>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21" id="{00000000-000E-0000-0500-000006000000}">
            <xm:f>Sheet1!$A$3&lt;&gt;1</xm:f>
            <x14:dxf>
              <font>
                <color theme="3" tint="0.79992065187536243"/>
              </font>
              <numFmt numFmtId="0" formatCode="General"/>
              <fill>
                <patternFill patternType="solid">
                  <fgColor theme="3" tint="0.79992065187536243"/>
                  <bgColor theme="3" tint="0.79992065187536243"/>
                </patternFill>
              </fill>
            </x14:dxf>
          </x14:cfRule>
          <xm:sqref>I20</xm:sqref>
        </x14:conditionalFormatting>
        <x14:conditionalFormatting xmlns:xm="http://schemas.microsoft.com/office/excel/2006/main">
          <x14:cfRule type="expression" priority="18" id="{00000000-000E-0000-0500-000003000000}">
            <xm:f>Sheet1!$A$3&lt;&gt;1</xm:f>
            <x14:dxf>
              <font>
                <color theme="3" tint="0.79992065187536243"/>
              </font>
              <numFmt numFmtId="0" formatCode="General"/>
              <fill>
                <patternFill patternType="solid">
                  <fgColor theme="3" tint="0.79992065187536243"/>
                  <bgColor theme="3" tint="0.79992065187536243"/>
                </patternFill>
              </fill>
            </x14:dxf>
          </x14:cfRule>
          <xm:sqref>I28</xm:sqref>
        </x14:conditionalFormatting>
        <x14:conditionalFormatting xmlns:xm="http://schemas.microsoft.com/office/excel/2006/main">
          <x14:cfRule type="expression" priority="1150" id="{00000000-000E-0000-0500-00006F040000}">
            <xm:f>Sheet1!$A$3&lt;&gt;1</xm:f>
            <x14:dxf>
              <font>
                <color theme="3" tint="0.79992065187536243"/>
              </font>
              <numFmt numFmtId="0" formatCode="General"/>
              <fill>
                <patternFill patternType="solid">
                  <fgColor theme="3" tint="0.79992065187536243"/>
                  <bgColor theme="3" tint="0.79992065187536243"/>
                </patternFill>
              </fill>
            </x14:dxf>
          </x14:cfRule>
          <xm:sqref>J1:J67 H1:H67 I1:I19 I21:I27 I29:I67 I104:J105 H142:I142 I133:J134 H350:J543 H73:J103 H104 H349:I349 H198:J348 H106:J109 H112:J115 I110:J111 H110 H135:J137 H140:J141 I138:J139 H794:J1048576 H156:J196 I197:J197 E153 D152 I155:J155 H154:J154 H150:J152 I153:J153 F149 I149:J149 H143:J148 H130:J132 I128:J129 H128 H118:J127 I116:J117 H116</xm:sqref>
        </x14:conditionalFormatting>
        <x14:conditionalFormatting xmlns:xm="http://schemas.microsoft.com/office/excel/2006/main">
          <x14:cfRule type="expression" priority="1151" id="{00000000-000E-0000-0500-000070040000}">
            <xm:f>Sheet1!$A$3&lt;&gt;1</xm:f>
            <x14:dxf>
              <font>
                <color theme="3" tint="0.79992065187536243"/>
              </font>
              <fill>
                <patternFill patternType="solid">
                  <bgColor theme="3" tint="0.79992065187536243"/>
                </patternFill>
              </fill>
            </x14:dxf>
          </x14:cfRule>
          <xm:sqref>R1:X67 R73:X543 R794:X1048576</xm:sqref>
        </x14:conditionalFormatting>
        <x14:conditionalFormatting xmlns:xm="http://schemas.microsoft.com/office/excel/2006/main">
          <x14:cfRule type="expression" priority="24" id="{00000000-000E-0000-0500-000009000000}">
            <xm:f>Sheet1!$A$3&lt;&gt;1</xm:f>
            <x14:dxf>
              <font>
                <color theme="3" tint="0.79992065187536243"/>
              </font>
              <numFmt numFmtId="0" formatCode="General"/>
              <fill>
                <patternFill patternType="solid">
                  <fgColor theme="3" tint="0.79992065187536243"/>
                  <bgColor theme="3" tint="0.79992065187536243"/>
                </patternFill>
              </fill>
            </x14:dxf>
          </x14:cfRule>
          <xm:sqref>H68:J72</xm:sqref>
        </x14:conditionalFormatting>
        <x14:conditionalFormatting xmlns:xm="http://schemas.microsoft.com/office/excel/2006/main">
          <x14:cfRule type="expression" priority="25" id="{00000000-000E-0000-0500-00000A000000}">
            <xm:f>Sheet1!$A$3&lt;&gt;1</xm:f>
            <x14:dxf>
              <font>
                <color theme="3" tint="0.79992065187536243"/>
              </font>
              <fill>
                <patternFill patternType="solid">
                  <bgColor theme="3" tint="0.79992065187536243"/>
                </patternFill>
              </fill>
            </x14:dxf>
          </x14:cfRule>
          <xm:sqref>R68:X72</xm:sqref>
        </x14:conditionalFormatting>
        <x14:conditionalFormatting xmlns:xm="http://schemas.microsoft.com/office/excel/2006/main">
          <x14:cfRule type="expression" priority="103" id="{00000000-000E-0000-0500-000058000000}">
            <xm:f>Sheet1!$A$3&lt;&gt;1</xm:f>
            <x14:dxf>
              <font>
                <color theme="3" tint="0.79992065187536243"/>
              </font>
              <numFmt numFmtId="0" formatCode="General"/>
              <fill>
                <patternFill patternType="solid">
                  <fgColor theme="3" tint="0.79992065187536243"/>
                  <bgColor theme="3" tint="0.79992065187536243"/>
                </patternFill>
              </fill>
            </x14:dxf>
          </x14:cfRule>
          <xm:sqref>I768:J768 H779:J781 E776 D775 I778:J778 H777:J777 H771:J775 I776:J776 E768 D767 I770:J770 H769:J769 H766:J767</xm:sqref>
        </x14:conditionalFormatting>
        <x14:conditionalFormatting xmlns:xm="http://schemas.microsoft.com/office/excel/2006/main">
          <x14:cfRule type="expression" priority="104" id="{00000000-000E-0000-0500-000059000000}">
            <xm:f>Sheet1!$A$3&lt;&gt;1</xm:f>
            <x14:dxf>
              <font>
                <color theme="3" tint="0.79992065187536243"/>
              </font>
              <fill>
                <patternFill patternType="solid">
                  <bgColor theme="3" tint="0.79992065187536243"/>
                </patternFill>
              </fill>
            </x14:dxf>
          </x14:cfRule>
          <xm:sqref>R766:X781</xm:sqref>
        </x14:conditionalFormatting>
      </x14:conditionalFormattings>
    </ext>
    <ext xmlns:x14="http://schemas.microsoft.com/office/spreadsheetml/2009/9/main" uri="{CCE6A557-97BC-4b89-ADB6-D9C93CAAB3DF}">
      <x14:dataValidations xmlns:xm="http://schemas.microsoft.com/office/excel/2006/main" count="35">
        <x14:dataValidation type="list" allowBlank="1" showInputMessage="1" showErrorMessage="1" xr:uid="{00000000-0002-0000-0500-000016000000}">
          <x14:formula1>
            <xm:f>材料信息更新!$B$55:$B$69</xm:f>
          </x14:formula1>
          <xm:sqref>C132 C137</xm:sqref>
        </x14:dataValidation>
        <x14:dataValidation type="list" allowBlank="1" showInputMessage="1" showErrorMessage="1" xr:uid="{00000000-0002-0000-0500-000000000000}">
          <x14:formula1>
            <xm:f>下拉菜单!$AU:$AU</xm:f>
          </x14:formula1>
          <xm:sqref>B13</xm:sqref>
        </x14:dataValidation>
        <x14:dataValidation type="list" allowBlank="1" showInputMessage="1" showErrorMessage="1" xr:uid="{00000000-0002-0000-0500-000004000000}">
          <x14:formula1>
            <xm:f>下拉菜单!$P:$P</xm:f>
          </x14:formula1>
          <xm:sqref>I19 J133:J134 I799:I990 I774:I776 I766:I768 I461:I528 I452:I453 I443:I444 I434:I435 I425:I426 I416:I417 I410:I412 I315:I400 I220:I310 I208:I216 I198:I200 I192:I196 I184:I187 I167:I179 I162:I164 I149:I153 I145:I147 I140:I141 I135:I137 I87:I132 I61:I83 I55:I57 I52:I53 I48:I50 I45:I46 I40:I43 I34:I35 I26:I27 I405 I205 I159 I32 I24</xm:sqref>
        </x14:dataValidation>
        <x14:dataValidation type="list" allowBlank="1" showInputMessage="1" showErrorMessage="1" xr:uid="{00000000-0002-0000-0500-000005000000}">
          <x14:formula1>
            <xm:f>下拉菜单!$F:$F</xm:f>
          </x14:formula1>
          <xm:sqref>D20 D284 D188 D180 D58 D51 D44 D36 D28</xm:sqref>
        </x14:dataValidation>
        <x14:dataValidation type="list" allowBlank="1" showInputMessage="1" showErrorMessage="1" xr:uid="{00000000-0002-0000-0500-000006000000}">
          <x14:formula1>
            <xm:f>下拉菜单!$G:$G</xm:f>
          </x14:formula1>
          <xm:sqref>D21 D189 D181 D37 D29</xm:sqref>
        </x14:dataValidation>
        <x14:dataValidation type="list" allowBlank="1" showInputMessage="1" showErrorMessage="1" xr:uid="{00000000-0002-0000-0500-000008000000}">
          <x14:formula1>
            <xm:f>下拉菜单!$H:$H</xm:f>
          </x14:formula1>
          <xm:sqref>D22 E195 D52 D45 D38 D30</xm:sqref>
        </x14:dataValidation>
        <x14:dataValidation type="list" allowBlank="1" showInputMessage="1" showErrorMessage="1" xr:uid="{00000000-0002-0000-0500-00000A000000}">
          <x14:formula1>
            <xm:f>下拉菜单!$AR:$AR</xm:f>
          </x14:formula1>
          <xm:sqref>C23 C286 F71 F66 C60 C53 C46 C39 C31</xm:sqref>
        </x14:dataValidation>
        <x14:dataValidation type="list" allowBlank="1" showInputMessage="1" showErrorMessage="1" xr:uid="{00000000-0002-0000-0500-00000B000000}">
          <x14:formula1>
            <xm:f>下拉菜单!$AS:$AS</xm:f>
          </x14:formula1>
          <xm:sqref>D23 E288 B219 D198 B86 D60 D53 D46 D39 D31</xm:sqref>
        </x14:dataValidation>
        <x14:dataValidation type="list" allowBlank="1" showInputMessage="1" showErrorMessage="1" xr:uid="{00000000-0002-0000-0500-00000E000000}">
          <x14:formula1>
            <xm:f>下拉菜单!$N:$N</xm:f>
          </x14:formula1>
          <xm:sqref>D64 D236 D229 E210 D96 D90 D79 D74 D69</xm:sqref>
        </x14:dataValidation>
        <x14:dataValidation type="list" allowBlank="1" showInputMessage="1" showErrorMessage="1" xr:uid="{00000000-0002-0000-0500-000011000000}">
          <x14:formula1>
            <xm:f>下拉菜单!$O:$O</xm:f>
          </x14:formula1>
          <xm:sqref>D75 D388 D224 D80</xm:sqref>
        </x14:dataValidation>
        <x14:dataValidation type="list" allowBlank="1" showInputMessage="1" showErrorMessage="1" xr:uid="{00000000-0002-0000-0500-000012000000}">
          <x14:formula1>
            <xm:f>下拉菜单!$I:$I</xm:f>
          </x14:formula1>
          <xm:sqref>D84 D217 D120 D114</xm:sqref>
        </x14:dataValidation>
        <x14:dataValidation type="list" allowBlank="1" showInputMessage="1" showErrorMessage="1" xr:uid="{00000000-0002-0000-0500-000013000000}">
          <x14:formula1>
            <xm:f>下拉菜单!$J:$J</xm:f>
          </x14:formula1>
          <xm:sqref>D85 D361 D237 D230 D218 D127 D121 D115 D103 D91</xm:sqref>
        </x14:dataValidation>
        <x14:dataValidation type="list" allowBlank="1" showInputMessage="1" showErrorMessage="1" xr:uid="{00000000-0002-0000-0500-000014000000}">
          <x14:formula1>
            <xm:f>下拉菜单!$K:$K</xm:f>
          </x14:formula1>
          <xm:sqref>D97 D109</xm:sqref>
        </x14:dataValidation>
        <x14:dataValidation type="list" allowBlank="1" showInputMessage="1" showErrorMessage="1" xr:uid="{00000000-0002-0000-0500-000015000000}">
          <x14:formula1>
            <xm:f>下拉菜单!$BI:$BI</xm:f>
          </x14:formula1>
          <xm:sqref>D102 D108</xm:sqref>
        </x14:dataValidation>
        <x14:dataValidation type="list" allowBlank="1" showInputMessage="1" showErrorMessage="1" xr:uid="{00000000-0002-0000-0500-00001C000000}">
          <x14:formula1>
            <xm:f>下拉菜单!$Q:$Q</xm:f>
          </x14:formula1>
          <xm:sqref>E200 C274 C269</xm:sqref>
        </x14:dataValidation>
        <x14:dataValidation type="list" allowBlank="1" showInputMessage="1" showErrorMessage="1" xr:uid="{00000000-0002-0000-0500-00001D000000}">
          <x14:formula1>
            <xm:f>下拉菜单!$M:$M</xm:f>
          </x14:formula1>
          <xm:sqref>D212</xm:sqref>
        </x14:dataValidation>
        <x14:dataValidation type="list" allowBlank="1" showInputMessage="1" xr:uid="{00000000-0002-0000-0500-00001E000000}">
          <x14:formula1>
            <xm:f>下拉菜单!$G:$G</xm:f>
          </x14:formula1>
          <xm:sqref>D223 D387</xm:sqref>
        </x14:dataValidation>
        <x14:dataValidation type="list" allowBlank="1" showInputMessage="1" showErrorMessage="1" xr:uid="{00000000-0002-0000-0500-000020000000}">
          <x14:formula1>
            <xm:f>下拉菜单!$AI:$AI</xm:f>
          </x14:formula1>
          <xm:sqref>C278</xm:sqref>
        </x14:dataValidation>
        <x14:dataValidation type="list" allowBlank="1" showInputMessage="1" showErrorMessage="1" xr:uid="{00000000-0002-0000-0500-000021000000}">
          <x14:formula1>
            <xm:f>下拉菜单!$R:$R</xm:f>
          </x14:formula1>
          <xm:sqref>C308</xm:sqref>
        </x14:dataValidation>
        <x14:dataValidation type="list" allowBlank="1" showInputMessage="1" showErrorMessage="1" xr:uid="{00000000-0002-0000-0500-000022000000}">
          <x14:formula1>
            <xm:f>下拉菜单!$AL:$AL</xm:f>
          </x14:formula1>
          <xm:sqref>D360 C382 C377 C368</xm:sqref>
        </x14:dataValidation>
        <x14:dataValidation type="list" allowBlank="1" showInputMessage="1" showErrorMessage="1" xr:uid="{00000000-0002-0000-0500-000023000000}">
          <x14:formula1>
            <xm:f>下拉菜单!$S:$S</xm:f>
          </x14:formula1>
          <xm:sqref>C413</xm:sqref>
        </x14:dataValidation>
        <x14:dataValidation type="list" allowBlank="1" showInputMessage="1" showErrorMessage="1" xr:uid="{00000000-0002-0000-0500-000024000000}">
          <x14:formula1>
            <xm:f>下拉菜单!$T:$T</xm:f>
          </x14:formula1>
          <xm:sqref>C414</xm:sqref>
        </x14:dataValidation>
        <x14:dataValidation type="list" allowBlank="1" showInputMessage="1" showErrorMessage="1" xr:uid="{00000000-0002-0000-0500-000025000000}">
          <x14:formula1>
            <xm:f>下拉菜单!$U:$U</xm:f>
          </x14:formula1>
          <xm:sqref>C418 C427</xm:sqref>
        </x14:dataValidation>
        <x14:dataValidation type="list" allowBlank="1" showInputMessage="1" showErrorMessage="1" xr:uid="{00000000-0002-0000-0500-000026000000}">
          <x14:formula1>
            <xm:f>下拉菜单!$V:$V</xm:f>
          </x14:formula1>
          <xm:sqref>C419 C428</xm:sqref>
        </x14:dataValidation>
        <x14:dataValidation type="list" allowBlank="1" showInputMessage="1" showErrorMessage="1" xr:uid="{00000000-0002-0000-0500-000027000000}">
          <x14:formula1>
            <xm:f>下拉菜单!$W:$W</xm:f>
          </x14:formula1>
          <xm:sqref>C420 C429</xm:sqref>
        </x14:dataValidation>
        <x14:dataValidation type="list" allowBlank="1" showInputMessage="1" showErrorMessage="1" xr:uid="{00000000-0002-0000-0500-000028000000}">
          <x14:formula1>
            <xm:f>下拉菜单!$Y:$Y</xm:f>
          </x14:formula1>
          <xm:sqref>C421 C430</xm:sqref>
        </x14:dataValidation>
        <x14:dataValidation type="list" allowBlank="1" showInputMessage="1" showErrorMessage="1" xr:uid="{00000000-0002-0000-0500-000029000000}">
          <x14:formula1>
            <xm:f>下拉菜单!$Z:$Z</xm:f>
          </x14:formula1>
          <xm:sqref>C436</xm:sqref>
        </x14:dataValidation>
        <x14:dataValidation type="list" allowBlank="1" showInputMessage="1" showErrorMessage="1" xr:uid="{00000000-0002-0000-0500-00002A000000}">
          <x14:formula1>
            <xm:f>下拉菜单!$AA:$AA</xm:f>
          </x14:formula1>
          <xm:sqref>C437</xm:sqref>
        </x14:dataValidation>
        <x14:dataValidation type="list" allowBlank="1" showInputMessage="1" showErrorMessage="1" xr:uid="{00000000-0002-0000-0500-00002B000000}">
          <x14:formula1>
            <xm:f>下拉菜单!$AB:$AB</xm:f>
          </x14:formula1>
          <xm:sqref>C438</xm:sqref>
        </x14:dataValidation>
        <x14:dataValidation type="list" allowBlank="1" showInputMessage="1" showErrorMessage="1" xr:uid="{00000000-0002-0000-0500-00002C000000}">
          <x14:formula1>
            <xm:f>下拉菜单!$AC:$AC</xm:f>
          </x14:formula1>
          <xm:sqref>C439</xm:sqref>
        </x14:dataValidation>
        <x14:dataValidation type="list" allowBlank="1" showInputMessage="1" showErrorMessage="1" xr:uid="{00000000-0002-0000-0500-00002D000000}">
          <x14:formula1>
            <xm:f>下拉菜单!$AD:$AD</xm:f>
          </x14:formula1>
          <xm:sqref>C440</xm:sqref>
        </x14:dataValidation>
        <x14:dataValidation type="list" allowBlank="1" showInputMessage="1" showErrorMessage="1" xr:uid="{00000000-0002-0000-0500-00002E000000}">
          <x14:formula1>
            <xm:f>下拉菜单!$AE:$AE</xm:f>
          </x14:formula1>
          <xm:sqref>C441</xm:sqref>
        </x14:dataValidation>
        <x14:dataValidation type="list" allowBlank="1" showInputMessage="1" showErrorMessage="1" xr:uid="{00000000-0002-0000-0500-00002F000000}">
          <x14:formula1>
            <xm:f>下拉菜单!$AG:$AG</xm:f>
          </x14:formula1>
          <xm:sqref>C447 C456</xm:sqref>
        </x14:dataValidation>
        <x14:dataValidation type="list" allowBlank="1" showInputMessage="1" showErrorMessage="1" xr:uid="{00000000-0002-0000-0500-000031000000}">
          <x14:formula1>
            <xm:f>下拉菜单!$X:$X</xm:f>
          </x14:formula1>
          <xm:sqref>C422:C423 C431:C432</xm:sqref>
        </x14:dataValidation>
        <x14:dataValidation type="list" allowBlank="1" showInputMessage="1" showErrorMessage="1" xr:uid="{00000000-0002-0000-0500-000032000000}">
          <x14:formula1>
            <xm:f>下拉菜单!$AF:$AF</xm:f>
          </x14:formula1>
          <xm:sqref>C445:C446 C454:C455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FFF00"/>
  </sheetPr>
  <dimension ref="A1:AE617"/>
  <sheetViews>
    <sheetView workbookViewId="0">
      <pane xSplit="1" ySplit="2" topLeftCell="U271" activePane="bottomRight" state="frozen"/>
      <selection pane="topRight"/>
      <selection pane="bottomLeft"/>
      <selection pane="bottomRight" activeCell="AB302" sqref="AB302"/>
    </sheetView>
  </sheetViews>
  <sheetFormatPr defaultColWidth="8.875" defaultRowHeight="14.25"/>
  <cols>
    <col min="1" max="1" width="36.625" style="259" customWidth="1"/>
    <col min="2" max="2" width="23.75" style="259" customWidth="1"/>
    <col min="3" max="3" width="10.625" style="260" customWidth="1"/>
    <col min="4" max="4" width="6.875" style="260" customWidth="1"/>
    <col min="5" max="5" width="8.875" style="260" customWidth="1"/>
    <col min="6" max="6" width="6.875" style="261" customWidth="1"/>
    <col min="7" max="9" width="6.875" style="262" customWidth="1"/>
    <col min="10" max="10" width="13.875" style="263" customWidth="1"/>
    <col min="11" max="14" width="8.875" style="263" customWidth="1"/>
    <col min="15" max="15" width="8.625" style="263" customWidth="1"/>
    <col min="16" max="16" width="18.25" style="263" customWidth="1"/>
    <col min="17" max="17" width="19.625" style="264" customWidth="1"/>
    <col min="18" max="18" width="9.25" style="264" customWidth="1"/>
    <col min="19" max="19" width="20.75" style="259" customWidth="1"/>
    <col min="20" max="20" width="7.25" style="259" customWidth="1"/>
    <col min="21" max="21" width="20.75" style="259" customWidth="1"/>
    <col min="22" max="22" width="9.25" style="259" customWidth="1"/>
    <col min="23" max="26" width="8.875" style="259" customWidth="1"/>
    <col min="27" max="27" width="20.5" style="259" customWidth="1"/>
    <col min="28" max="28" width="16.125" style="259" customWidth="1"/>
    <col min="29" max="16384" width="8.875" style="259"/>
  </cols>
  <sheetData>
    <row r="1" spans="1:31" s="242" customFormat="1">
      <c r="A1" s="242" t="s">
        <v>789</v>
      </c>
      <c r="B1" s="242">
        <v>2</v>
      </c>
      <c r="C1" s="265">
        <v>3</v>
      </c>
      <c r="D1" s="265">
        <v>4</v>
      </c>
      <c r="E1" s="265">
        <v>5</v>
      </c>
      <c r="F1" s="265">
        <v>6</v>
      </c>
      <c r="G1" s="265">
        <v>7</v>
      </c>
      <c r="H1" s="265">
        <v>8</v>
      </c>
      <c r="I1" s="265">
        <v>9</v>
      </c>
      <c r="J1" s="265">
        <v>10</v>
      </c>
      <c r="K1" s="265">
        <v>11</v>
      </c>
      <c r="L1" s="265">
        <v>12</v>
      </c>
      <c r="M1" s="265">
        <v>13</v>
      </c>
      <c r="N1" s="265">
        <v>14</v>
      </c>
      <c r="O1" s="265">
        <v>15</v>
      </c>
      <c r="P1" s="265">
        <v>16</v>
      </c>
      <c r="Q1" s="266">
        <v>17</v>
      </c>
      <c r="R1" s="266">
        <v>18</v>
      </c>
      <c r="S1" s="265">
        <v>19</v>
      </c>
      <c r="T1" s="265">
        <v>20</v>
      </c>
      <c r="U1" s="265">
        <v>21</v>
      </c>
      <c r="V1" s="265">
        <v>22</v>
      </c>
      <c r="W1" s="265">
        <v>23</v>
      </c>
      <c r="X1" s="265">
        <v>24</v>
      </c>
      <c r="Y1" s="265">
        <v>25</v>
      </c>
      <c r="Z1" s="265">
        <v>26</v>
      </c>
      <c r="AA1" s="265">
        <v>27</v>
      </c>
      <c r="AB1" s="265">
        <v>28</v>
      </c>
      <c r="AC1" s="265">
        <v>29</v>
      </c>
      <c r="AD1" s="265">
        <v>30</v>
      </c>
    </row>
    <row r="2" spans="1:31" s="258" customFormat="1" ht="30" customHeight="1">
      <c r="A2" s="267" t="s">
        <v>790</v>
      </c>
      <c r="B2" s="268" t="s">
        <v>791</v>
      </c>
      <c r="C2" s="269" t="s">
        <v>792</v>
      </c>
      <c r="D2" s="269" t="s">
        <v>793</v>
      </c>
      <c r="E2" s="269" t="s">
        <v>794</v>
      </c>
      <c r="F2" s="270" t="s">
        <v>795</v>
      </c>
      <c r="G2" s="271" t="s">
        <v>796</v>
      </c>
      <c r="H2" s="271" t="s">
        <v>797</v>
      </c>
      <c r="I2" s="271" t="s">
        <v>798</v>
      </c>
      <c r="J2" s="272" t="s">
        <v>799</v>
      </c>
      <c r="K2" s="272" t="s">
        <v>287</v>
      </c>
      <c r="L2" s="273" t="s">
        <v>236</v>
      </c>
      <c r="M2" s="273" t="s">
        <v>740</v>
      </c>
      <c r="N2" s="273" t="s">
        <v>800</v>
      </c>
      <c r="O2" s="273" t="s">
        <v>549</v>
      </c>
      <c r="P2" s="273" t="s">
        <v>801</v>
      </c>
      <c r="Q2" s="274" t="s">
        <v>615</v>
      </c>
      <c r="R2" s="275" t="s">
        <v>802</v>
      </c>
      <c r="S2" s="274" t="s">
        <v>616</v>
      </c>
      <c r="T2" s="276" t="s">
        <v>803</v>
      </c>
      <c r="U2" s="274" t="s">
        <v>804</v>
      </c>
      <c r="V2" s="276" t="s">
        <v>805</v>
      </c>
      <c r="W2" s="276" t="s">
        <v>806</v>
      </c>
      <c r="X2" s="276" t="s">
        <v>807</v>
      </c>
      <c r="Y2" s="258" t="s">
        <v>808</v>
      </c>
      <c r="Z2" s="276" t="s">
        <v>199</v>
      </c>
      <c r="AA2" s="276" t="s">
        <v>809</v>
      </c>
      <c r="AB2" s="276" t="s">
        <v>810</v>
      </c>
      <c r="AC2" s="258" t="s">
        <v>811</v>
      </c>
      <c r="AD2" s="258" t="s">
        <v>812</v>
      </c>
      <c r="AE2" s="276" t="s">
        <v>813</v>
      </c>
    </row>
    <row r="3" spans="1:31" s="242" customFormat="1">
      <c r="A3" s="277" t="s">
        <v>814</v>
      </c>
      <c r="B3" s="70"/>
      <c r="C3" s="278"/>
      <c r="D3" s="278"/>
      <c r="E3" s="278"/>
      <c r="F3" s="279"/>
      <c r="G3" s="280"/>
      <c r="H3" s="280"/>
      <c r="I3" s="280"/>
      <c r="J3" s="281"/>
      <c r="K3" s="282"/>
      <c r="L3" s="281"/>
      <c r="M3" s="281"/>
      <c r="N3" s="281"/>
      <c r="O3" s="281"/>
      <c r="P3" s="283"/>
      <c r="Q3" s="284"/>
      <c r="R3" s="284"/>
      <c r="S3" s="70"/>
      <c r="AE3" s="285" t="s">
        <v>815</v>
      </c>
    </row>
    <row r="4" spans="1:31" s="242" customFormat="1">
      <c r="A4" s="286" t="s">
        <v>294</v>
      </c>
      <c r="B4" s="286" t="s">
        <v>816</v>
      </c>
      <c r="C4" s="287">
        <f t="shared" ref="C4:C12" si="0">G4*F4*7.85/1000</f>
        <v>1.754475</v>
      </c>
      <c r="D4" s="287">
        <f t="shared" ref="D4:D12" si="1">G4*2/1000</f>
        <v>0.29799999999999999</v>
      </c>
      <c r="E4" s="287">
        <f>VLOOKUP(X4,材料信息更新!$B:$C,2,0)</f>
        <v>4.07</v>
      </c>
      <c r="F4" s="288">
        <v>1.5</v>
      </c>
      <c r="G4" s="289">
        <v>149</v>
      </c>
      <c r="H4" s="289">
        <f t="shared" ref="H4:H12" si="2">G4*2.5</f>
        <v>372.5</v>
      </c>
      <c r="I4" s="280"/>
      <c r="J4" s="281">
        <f>VLOOKUP(W4,材料信息更新!$B:$C,2,0)</f>
        <v>3.69</v>
      </c>
      <c r="K4" s="282">
        <f>Sheet1!$A$3*1.8</f>
        <v>1.8</v>
      </c>
      <c r="L4" s="281">
        <v>9</v>
      </c>
      <c r="M4" s="281"/>
      <c r="N4" s="281">
        <v>0.2</v>
      </c>
      <c r="O4" s="281"/>
      <c r="P4" s="281"/>
      <c r="Q4" s="284"/>
      <c r="R4" s="284"/>
      <c r="S4" s="70"/>
      <c r="W4" s="188" t="s">
        <v>817</v>
      </c>
      <c r="X4" s="188" t="s">
        <v>818</v>
      </c>
      <c r="Z4" s="242" t="s">
        <v>814</v>
      </c>
      <c r="AB4" s="242" t="str">
        <f>"55*47*"&amp;F4&amp;" mm,"</f>
        <v>55*47*1.5 mm,</v>
      </c>
      <c r="AC4" s="290">
        <f t="shared" ref="AC4:AC12" si="3">J4+0.25</f>
        <v>3.94</v>
      </c>
      <c r="AD4" s="291">
        <f t="shared" ref="AD4:AD12" si="4">E4+0.5</f>
        <v>4.57</v>
      </c>
      <c r="AE4" s="242">
        <v>38.5</v>
      </c>
    </row>
    <row r="5" spans="1:31" s="242" customFormat="1">
      <c r="A5" s="286" t="s">
        <v>819</v>
      </c>
      <c r="B5" s="286"/>
      <c r="C5" s="287">
        <f t="shared" si="0"/>
        <v>2.1053700000000002</v>
      </c>
      <c r="D5" s="287">
        <f t="shared" si="1"/>
        <v>0.29799999999999999</v>
      </c>
      <c r="E5" s="287">
        <f>VLOOKUP(X5,材料信息更新!$B:$C,2,0)</f>
        <v>3.99</v>
      </c>
      <c r="F5" s="288">
        <v>1.8</v>
      </c>
      <c r="G5" s="289">
        <v>149</v>
      </c>
      <c r="H5" s="289">
        <f t="shared" si="2"/>
        <v>372.5</v>
      </c>
      <c r="I5" s="280"/>
      <c r="J5" s="281">
        <f>VLOOKUP(W5,材料信息更新!$B:$C,2,0)</f>
        <v>3.67</v>
      </c>
      <c r="K5" s="282">
        <f>Sheet1!$A$3*1.8</f>
        <v>1.8</v>
      </c>
      <c r="L5" s="281">
        <v>9</v>
      </c>
      <c r="M5" s="281"/>
      <c r="N5" s="281">
        <v>0.2</v>
      </c>
      <c r="O5" s="281"/>
      <c r="P5" s="281"/>
      <c r="Q5" s="284"/>
      <c r="R5" s="284"/>
      <c r="S5" s="70"/>
      <c r="W5" s="188" t="s">
        <v>820</v>
      </c>
      <c r="X5" s="188" t="s">
        <v>821</v>
      </c>
      <c r="Y5" s="242" t="s">
        <v>822</v>
      </c>
      <c r="Z5" s="242" t="s">
        <v>814</v>
      </c>
      <c r="AB5" s="242" t="str">
        <f>"55*47*"&amp;F5&amp;" mm,"</f>
        <v>55*47*1.8 mm,</v>
      </c>
      <c r="AC5" s="290">
        <f t="shared" si="3"/>
        <v>3.92</v>
      </c>
      <c r="AD5" s="291">
        <f t="shared" si="4"/>
        <v>4.49</v>
      </c>
      <c r="AE5" s="242">
        <v>38.5</v>
      </c>
    </row>
    <row r="6" spans="1:31" s="242" customFormat="1">
      <c r="A6" s="286" t="s">
        <v>823</v>
      </c>
      <c r="B6" s="286" t="s">
        <v>824</v>
      </c>
      <c r="C6" s="287">
        <f t="shared" si="0"/>
        <v>1.9075500000000001</v>
      </c>
      <c r="D6" s="287">
        <f t="shared" si="1"/>
        <v>0.32400000000000001</v>
      </c>
      <c r="E6" s="287">
        <f>VLOOKUP(X6,材料信息更新!$B:$C,2,0)</f>
        <v>4.07</v>
      </c>
      <c r="F6" s="288">
        <v>1.5</v>
      </c>
      <c r="G6" s="289">
        <v>162</v>
      </c>
      <c r="H6" s="289">
        <f t="shared" si="2"/>
        <v>405</v>
      </c>
      <c r="I6" s="280"/>
      <c r="J6" s="281">
        <f>VLOOKUP(W6,材料信息更新!$B:$C,2,0)</f>
        <v>3.69</v>
      </c>
      <c r="K6" s="282">
        <f>Sheet1!$A$3*1.8</f>
        <v>1.8</v>
      </c>
      <c r="L6" s="281">
        <v>9</v>
      </c>
      <c r="M6" s="281"/>
      <c r="N6" s="281">
        <v>0.2</v>
      </c>
      <c r="O6" s="281"/>
      <c r="P6" s="281"/>
      <c r="Q6" s="284"/>
      <c r="R6" s="284"/>
      <c r="S6" s="70"/>
      <c r="W6" s="188" t="s">
        <v>817</v>
      </c>
      <c r="X6" s="188" t="s">
        <v>818</v>
      </c>
      <c r="Z6" s="242" t="s">
        <v>814</v>
      </c>
      <c r="AB6" s="242" t="str">
        <f>"55*47*"&amp;F6&amp;" mm,"</f>
        <v>55*47*1.5 mm,</v>
      </c>
      <c r="AC6" s="290">
        <f t="shared" si="3"/>
        <v>3.94</v>
      </c>
      <c r="AD6" s="291">
        <f t="shared" si="4"/>
        <v>4.57</v>
      </c>
      <c r="AE6" s="242">
        <v>38.5</v>
      </c>
    </row>
    <row r="7" spans="1:31" s="242" customFormat="1">
      <c r="A7" s="286" t="s">
        <v>825</v>
      </c>
      <c r="B7" s="286" t="s">
        <v>826</v>
      </c>
      <c r="C7" s="287">
        <f t="shared" si="0"/>
        <v>2.2890600000000001</v>
      </c>
      <c r="D7" s="287">
        <f t="shared" si="1"/>
        <v>0.32400000000000001</v>
      </c>
      <c r="E7" s="287">
        <f>VLOOKUP(X7,材料信息更新!$B:$C,2,0)</f>
        <v>3.99</v>
      </c>
      <c r="F7" s="288">
        <v>1.8</v>
      </c>
      <c r="G7" s="289">
        <v>162</v>
      </c>
      <c r="H7" s="289">
        <f t="shared" si="2"/>
        <v>405</v>
      </c>
      <c r="I7" s="280"/>
      <c r="J7" s="281">
        <f>VLOOKUP(W7,材料信息更新!$B:$C,2,0)</f>
        <v>3.67</v>
      </c>
      <c r="K7" s="282">
        <f>Sheet1!$A$3*1.8</f>
        <v>1.8</v>
      </c>
      <c r="L7" s="281">
        <v>9</v>
      </c>
      <c r="M7" s="281"/>
      <c r="N7" s="281">
        <v>0.2</v>
      </c>
      <c r="O7" s="281"/>
      <c r="P7" s="281"/>
      <c r="Q7" s="284"/>
      <c r="R7" s="284"/>
      <c r="S7" s="70"/>
      <c r="W7" s="188" t="s">
        <v>820</v>
      </c>
      <c r="X7" s="188" t="s">
        <v>821</v>
      </c>
      <c r="Y7" s="242" t="s">
        <v>822</v>
      </c>
      <c r="Z7" s="242" t="s">
        <v>814</v>
      </c>
      <c r="AB7" s="242" t="str">
        <f>"55*47*"&amp;F7&amp;" mm,"</f>
        <v>55*47*1.8 mm,</v>
      </c>
      <c r="AC7" s="290">
        <f t="shared" si="3"/>
        <v>3.92</v>
      </c>
      <c r="AD7" s="291">
        <f t="shared" si="4"/>
        <v>4.49</v>
      </c>
      <c r="AE7" s="242">
        <v>38.5</v>
      </c>
    </row>
    <row r="8" spans="1:31" s="242" customFormat="1">
      <c r="A8" s="286" t="s">
        <v>827</v>
      </c>
      <c r="B8" s="286"/>
      <c r="C8" s="287">
        <f t="shared" si="0"/>
        <v>1.9075500000000001</v>
      </c>
      <c r="D8" s="287">
        <f t="shared" si="1"/>
        <v>0.32400000000000001</v>
      </c>
      <c r="E8" s="287">
        <f>VLOOKUP(X8,材料信息更新!$B:$C,2,0)</f>
        <v>4.07</v>
      </c>
      <c r="F8" s="288">
        <v>1.5</v>
      </c>
      <c r="G8" s="289">
        <v>162</v>
      </c>
      <c r="H8" s="289">
        <f t="shared" si="2"/>
        <v>405</v>
      </c>
      <c r="I8" s="280"/>
      <c r="J8" s="281">
        <f>VLOOKUP(W8,材料信息更新!$B:$C,2,0)</f>
        <v>3.69</v>
      </c>
      <c r="K8" s="282">
        <f>Sheet1!$A$3*1.8</f>
        <v>1.8</v>
      </c>
      <c r="L8" s="281">
        <v>9</v>
      </c>
      <c r="M8" s="281"/>
      <c r="N8" s="281">
        <v>0.2</v>
      </c>
      <c r="O8" s="281"/>
      <c r="P8" s="281"/>
      <c r="Q8" s="284"/>
      <c r="R8" s="284"/>
      <c r="S8" s="70"/>
      <c r="W8" s="188" t="s">
        <v>817</v>
      </c>
      <c r="X8" s="188" t="s">
        <v>818</v>
      </c>
      <c r="Z8" s="242" t="s">
        <v>814</v>
      </c>
      <c r="AB8" s="242" t="str">
        <f>"55*49*"&amp;F8&amp;" mm,"</f>
        <v>55*49*1.5 mm,</v>
      </c>
      <c r="AC8" s="290">
        <f t="shared" si="3"/>
        <v>3.94</v>
      </c>
      <c r="AD8" s="291">
        <f t="shared" si="4"/>
        <v>4.57</v>
      </c>
      <c r="AE8" s="242">
        <v>38.5</v>
      </c>
    </row>
    <row r="9" spans="1:31" s="242" customFormat="1">
      <c r="A9" s="286" t="s">
        <v>828</v>
      </c>
      <c r="B9" s="286"/>
      <c r="C9" s="287">
        <f t="shared" si="0"/>
        <v>1.9075500000000001</v>
      </c>
      <c r="D9" s="287">
        <f t="shared" si="1"/>
        <v>0.32400000000000001</v>
      </c>
      <c r="E9" s="287">
        <f>VLOOKUP(X9,材料信息更新!$B:$C,2,0)</f>
        <v>4.07</v>
      </c>
      <c r="F9" s="288">
        <v>1.5</v>
      </c>
      <c r="G9" s="289">
        <v>162</v>
      </c>
      <c r="H9" s="289">
        <f t="shared" si="2"/>
        <v>405</v>
      </c>
      <c r="I9" s="280"/>
      <c r="J9" s="281">
        <f>VLOOKUP(W9,材料信息更新!$B:$C,2,0)</f>
        <v>3.69</v>
      </c>
      <c r="K9" s="282">
        <f>Sheet1!$A$3*1.8</f>
        <v>1.8</v>
      </c>
      <c r="L9" s="281">
        <v>9</v>
      </c>
      <c r="M9" s="281"/>
      <c r="N9" s="281">
        <v>0.2</v>
      </c>
      <c r="O9" s="281"/>
      <c r="P9" s="281"/>
      <c r="Q9" s="284"/>
      <c r="R9" s="284"/>
      <c r="S9" s="70"/>
      <c r="W9" s="188" t="s">
        <v>817</v>
      </c>
      <c r="X9" s="188" t="s">
        <v>818</v>
      </c>
      <c r="Z9" s="242" t="s">
        <v>814</v>
      </c>
      <c r="AB9" s="242" t="str">
        <f>"55*50*"&amp;F9&amp;" mm,"</f>
        <v>55*50*1.5 mm,</v>
      </c>
      <c r="AC9" s="290">
        <f t="shared" si="3"/>
        <v>3.94</v>
      </c>
      <c r="AD9" s="291">
        <f t="shared" si="4"/>
        <v>4.57</v>
      </c>
      <c r="AE9" s="242">
        <v>38.5</v>
      </c>
    </row>
    <row r="10" spans="1:31" s="242" customFormat="1">
      <c r="A10" s="286" t="s">
        <v>829</v>
      </c>
      <c r="B10" s="286" t="s">
        <v>830</v>
      </c>
      <c r="C10" s="287">
        <f t="shared" si="0"/>
        <v>2.2890600000000001</v>
      </c>
      <c r="D10" s="287">
        <f t="shared" si="1"/>
        <v>0.32400000000000001</v>
      </c>
      <c r="E10" s="287">
        <f>VLOOKUP(X10,材料信息更新!$B:$C,2,0)</f>
        <v>3.99</v>
      </c>
      <c r="F10" s="288">
        <v>1.8</v>
      </c>
      <c r="G10" s="289">
        <v>162</v>
      </c>
      <c r="H10" s="289">
        <f t="shared" si="2"/>
        <v>405</v>
      </c>
      <c r="I10" s="280"/>
      <c r="J10" s="281">
        <f>VLOOKUP(W10,材料信息更新!$B:$C,2,0)</f>
        <v>3.67</v>
      </c>
      <c r="K10" s="282">
        <f>Sheet1!$A$3*1.8</f>
        <v>1.8</v>
      </c>
      <c r="L10" s="281">
        <v>9</v>
      </c>
      <c r="M10" s="281"/>
      <c r="N10" s="281">
        <v>0.2</v>
      </c>
      <c r="O10" s="281"/>
      <c r="P10" s="281"/>
      <c r="Q10" s="284"/>
      <c r="R10" s="284"/>
      <c r="S10" s="70"/>
      <c r="W10" s="188" t="s">
        <v>820</v>
      </c>
      <c r="X10" s="188" t="s">
        <v>821</v>
      </c>
      <c r="Y10" s="242" t="s">
        <v>822</v>
      </c>
      <c r="Z10" s="242" t="s">
        <v>814</v>
      </c>
      <c r="AB10" s="242" t="str">
        <f>"55*50*"&amp;F10&amp;" mm,"</f>
        <v>55*50*1.8 mm,</v>
      </c>
      <c r="AC10" s="290">
        <f t="shared" si="3"/>
        <v>3.92</v>
      </c>
      <c r="AD10" s="291">
        <f t="shared" si="4"/>
        <v>4.49</v>
      </c>
      <c r="AE10" s="242">
        <v>38.5</v>
      </c>
    </row>
    <row r="11" spans="1:31" s="242" customFormat="1">
      <c r="A11" s="286" t="s">
        <v>313</v>
      </c>
      <c r="B11" s="286"/>
      <c r="C11" s="287">
        <f t="shared" si="0"/>
        <v>1.9782</v>
      </c>
      <c r="D11" s="287">
        <f t="shared" si="1"/>
        <v>0.33600000000000002</v>
      </c>
      <c r="E11" s="287">
        <f>VLOOKUP(X11,材料信息更新!$B:$C,2,0)</f>
        <v>4.07</v>
      </c>
      <c r="F11" s="288">
        <v>1.5</v>
      </c>
      <c r="G11" s="289">
        <v>168</v>
      </c>
      <c r="H11" s="289">
        <f t="shared" si="2"/>
        <v>420</v>
      </c>
      <c r="I11" s="280"/>
      <c r="J11" s="281">
        <f>VLOOKUP(W11,材料信息更新!$B:$C,2,0)</f>
        <v>3.69</v>
      </c>
      <c r="K11" s="282">
        <f>Sheet1!$A$3*0</f>
        <v>0</v>
      </c>
      <c r="L11" s="281">
        <v>9</v>
      </c>
      <c r="M11" s="281"/>
      <c r="N11" s="281">
        <v>0.2</v>
      </c>
      <c r="O11" s="281"/>
      <c r="P11" s="281"/>
      <c r="Q11" s="284"/>
      <c r="R11" s="284"/>
      <c r="S11" s="70"/>
      <c r="W11" s="188" t="s">
        <v>817</v>
      </c>
      <c r="X11" s="188" t="s">
        <v>818</v>
      </c>
      <c r="AB11" s="242" t="str">
        <f>"60*50*"&amp;F11&amp;" mm,"</f>
        <v>60*50*1.5 mm,</v>
      </c>
      <c r="AC11" s="290">
        <f t="shared" si="3"/>
        <v>3.94</v>
      </c>
      <c r="AD11" s="291">
        <f t="shared" si="4"/>
        <v>4.57</v>
      </c>
      <c r="AE11" s="242">
        <v>38.5</v>
      </c>
    </row>
    <row r="12" spans="1:31" s="242" customFormat="1">
      <c r="A12" s="286" t="s">
        <v>831</v>
      </c>
      <c r="B12" s="286"/>
      <c r="C12" s="287">
        <f t="shared" si="0"/>
        <v>2.37384</v>
      </c>
      <c r="D12" s="287">
        <f t="shared" si="1"/>
        <v>0.33600000000000002</v>
      </c>
      <c r="E12" s="287">
        <f>VLOOKUP(X12,材料信息更新!$B:$C,2,0)</f>
        <v>4.07</v>
      </c>
      <c r="F12" s="288">
        <v>1.8</v>
      </c>
      <c r="G12" s="289">
        <v>168</v>
      </c>
      <c r="H12" s="289">
        <f t="shared" si="2"/>
        <v>420</v>
      </c>
      <c r="I12" s="280"/>
      <c r="J12" s="281">
        <f>VLOOKUP(W12,材料信息更新!$B:$C,2,0)</f>
        <v>3.69</v>
      </c>
      <c r="K12" s="282">
        <f>Sheet1!$A$3*0</f>
        <v>0</v>
      </c>
      <c r="L12" s="281">
        <v>9</v>
      </c>
      <c r="M12" s="281"/>
      <c r="N12" s="281">
        <v>0.2</v>
      </c>
      <c r="O12" s="281"/>
      <c r="P12" s="281"/>
      <c r="Q12" s="284"/>
      <c r="R12" s="284"/>
      <c r="S12" s="70"/>
      <c r="W12" s="188" t="s">
        <v>817</v>
      </c>
      <c r="X12" s="188" t="s">
        <v>818</v>
      </c>
      <c r="AB12" s="242" t="str">
        <f>"60*50*"&amp;F12&amp;" mm,"</f>
        <v>60*50*1.8 mm,</v>
      </c>
      <c r="AC12" s="290">
        <f t="shared" si="3"/>
        <v>3.94</v>
      </c>
      <c r="AD12" s="291">
        <f t="shared" si="4"/>
        <v>4.57</v>
      </c>
      <c r="AE12" s="242">
        <v>38.5</v>
      </c>
    </row>
    <row r="13" spans="1:31" s="242" customFormat="1">
      <c r="A13" s="286"/>
      <c r="B13" s="286"/>
      <c r="C13" s="287"/>
      <c r="D13" s="287"/>
      <c r="E13" s="287"/>
      <c r="F13" s="288"/>
      <c r="G13" s="289"/>
      <c r="H13" s="289"/>
      <c r="I13" s="280"/>
      <c r="J13" s="281"/>
      <c r="K13" s="282"/>
      <c r="L13" s="281"/>
      <c r="M13" s="281"/>
      <c r="N13" s="281"/>
      <c r="O13" s="281"/>
      <c r="P13" s="281"/>
      <c r="Q13" s="284"/>
      <c r="R13" s="284"/>
      <c r="S13" s="70"/>
      <c r="W13" s="247"/>
      <c r="X13" s="247"/>
    </row>
    <row r="14" spans="1:31" s="242" customFormat="1">
      <c r="A14" s="286"/>
      <c r="B14" s="286"/>
      <c r="C14" s="287"/>
      <c r="D14" s="287"/>
      <c r="E14" s="287"/>
      <c r="F14" s="288"/>
      <c r="G14" s="289"/>
      <c r="H14" s="289"/>
      <c r="I14" s="280"/>
      <c r="J14" s="281"/>
      <c r="K14" s="282"/>
      <c r="L14" s="281"/>
      <c r="M14" s="281"/>
      <c r="N14" s="281"/>
      <c r="O14" s="281"/>
      <c r="P14" s="281"/>
      <c r="Q14" s="284"/>
      <c r="R14" s="284"/>
      <c r="S14" s="70"/>
      <c r="W14" s="247"/>
      <c r="X14" s="247"/>
    </row>
    <row r="15" spans="1:31" s="242" customFormat="1">
      <c r="A15" s="286"/>
      <c r="B15" s="286"/>
      <c r="C15" s="287"/>
      <c r="D15" s="287"/>
      <c r="E15" s="287"/>
      <c r="F15" s="288"/>
      <c r="G15" s="289"/>
      <c r="H15" s="289"/>
      <c r="I15" s="280"/>
      <c r="J15" s="281"/>
      <c r="K15" s="282"/>
      <c r="L15" s="281"/>
      <c r="M15" s="281"/>
      <c r="N15" s="281"/>
      <c r="O15" s="281"/>
      <c r="P15" s="281"/>
      <c r="Q15" s="284"/>
      <c r="R15" s="284"/>
      <c r="S15" s="70"/>
      <c r="W15" s="247"/>
      <c r="X15" s="247"/>
    </row>
    <row r="16" spans="1:31" s="242" customFormat="1">
      <c r="A16" s="286"/>
      <c r="B16" s="286"/>
      <c r="C16" s="287"/>
      <c r="D16" s="287"/>
      <c r="E16" s="287"/>
      <c r="F16" s="288"/>
      <c r="G16" s="289"/>
      <c r="H16" s="289"/>
      <c r="I16" s="280"/>
      <c r="J16" s="281"/>
      <c r="K16" s="282"/>
      <c r="L16" s="281"/>
      <c r="M16" s="281"/>
      <c r="N16" s="281"/>
      <c r="O16" s="281"/>
      <c r="P16" s="281"/>
      <c r="Q16" s="284"/>
      <c r="R16" s="284"/>
      <c r="S16" s="70"/>
      <c r="W16" s="247"/>
      <c r="X16" s="247"/>
    </row>
    <row r="17" spans="1:31" s="242" customFormat="1">
      <c r="A17" s="286"/>
      <c r="B17" s="286"/>
      <c r="C17" s="287"/>
      <c r="D17" s="287"/>
      <c r="E17" s="287"/>
      <c r="F17" s="288"/>
      <c r="G17" s="289"/>
      <c r="H17" s="289"/>
      <c r="I17" s="280"/>
      <c r="J17" s="281"/>
      <c r="K17" s="282"/>
      <c r="L17" s="281"/>
      <c r="M17" s="281"/>
      <c r="N17" s="281"/>
      <c r="O17" s="281"/>
      <c r="P17" s="281"/>
      <c r="Q17" s="284"/>
      <c r="R17" s="284"/>
      <c r="S17" s="70"/>
      <c r="W17" s="247"/>
      <c r="X17" s="247"/>
    </row>
    <row r="18" spans="1:31" s="242" customFormat="1" ht="13.9" customHeight="1">
      <c r="A18" s="277" t="s">
        <v>832</v>
      </c>
      <c r="B18" s="70"/>
      <c r="C18" s="278"/>
      <c r="D18" s="278"/>
      <c r="E18" s="278"/>
      <c r="F18" s="279"/>
      <c r="G18" s="280"/>
      <c r="H18" s="280"/>
      <c r="I18" s="280"/>
      <c r="J18" s="281"/>
      <c r="K18" s="282"/>
      <c r="L18" s="281"/>
      <c r="M18" s="281"/>
      <c r="N18" s="281"/>
      <c r="O18" s="281"/>
      <c r="P18" s="281"/>
      <c r="Q18" s="284"/>
      <c r="R18" s="284"/>
      <c r="S18" s="70"/>
    </row>
    <row r="19" spans="1:31" s="242" customFormat="1" ht="13.9" customHeight="1">
      <c r="A19" s="292" t="s">
        <v>833</v>
      </c>
      <c r="B19" s="70"/>
      <c r="C19" s="287">
        <f t="shared" ref="C19:C58" si="5">G19*F19*7.85/1000</f>
        <v>3.14</v>
      </c>
      <c r="D19" s="287">
        <f t="shared" ref="D19:D58" si="6">G19*2/1000</f>
        <v>0.4</v>
      </c>
      <c r="E19" s="287">
        <f>VLOOKUP(X19,材料信息更新!$B:$C,2,0)</f>
        <v>3.96</v>
      </c>
      <c r="F19" s="279">
        <v>2</v>
      </c>
      <c r="G19" s="280">
        <v>200</v>
      </c>
      <c r="H19" s="289">
        <f t="shared" ref="H19:H48" si="7">G19*2.5</f>
        <v>500</v>
      </c>
      <c r="I19" s="280"/>
      <c r="J19" s="281">
        <f>VLOOKUP(W19,材料信息更新!$B:$C,2,0)</f>
        <v>3.6</v>
      </c>
      <c r="K19" s="282">
        <f>Sheet1!$A$3*2.2</f>
        <v>2.2000000000000002</v>
      </c>
      <c r="L19" s="281">
        <v>9</v>
      </c>
      <c r="M19" s="293" t="s">
        <v>834</v>
      </c>
      <c r="N19" s="281">
        <v>0.4</v>
      </c>
      <c r="O19" s="293" t="s">
        <v>834</v>
      </c>
      <c r="P19" s="281">
        <v>0.2</v>
      </c>
      <c r="Q19" s="284"/>
      <c r="R19" s="284"/>
      <c r="S19" s="70"/>
      <c r="W19" s="188" t="s">
        <v>835</v>
      </c>
      <c r="X19" s="188" t="s">
        <v>836</v>
      </c>
      <c r="Y19" s="242" t="s">
        <v>837</v>
      </c>
      <c r="AB19" s="242" t="str">
        <f>"80*60*"&amp;F19&amp;" mm,"</f>
        <v>80*60*2 mm,</v>
      </c>
      <c r="AC19" s="290">
        <f>J19+0.3</f>
        <v>3.9</v>
      </c>
      <c r="AD19" s="291">
        <f>E19+0.8</f>
        <v>4.76</v>
      </c>
      <c r="AE19" s="242">
        <v>54</v>
      </c>
    </row>
    <row r="20" spans="1:31" s="242" customFormat="1">
      <c r="A20" s="286" t="s">
        <v>838</v>
      </c>
      <c r="B20" s="286"/>
      <c r="C20" s="287">
        <f t="shared" si="5"/>
        <v>3.2781600000000002</v>
      </c>
      <c r="D20" s="287">
        <f t="shared" si="6"/>
        <v>0.46400000000000002</v>
      </c>
      <c r="E20" s="287">
        <f>VLOOKUP(X20,材料信息更新!$B:$C,2,0)</f>
        <v>3.99</v>
      </c>
      <c r="F20" s="288">
        <v>1.8</v>
      </c>
      <c r="G20" s="289">
        <v>232</v>
      </c>
      <c r="H20" s="289">
        <f t="shared" si="7"/>
        <v>580</v>
      </c>
      <c r="I20" s="280"/>
      <c r="J20" s="281">
        <f>VLOOKUP(W20,材料信息更新!$B:$C,2,0)</f>
        <v>3.67</v>
      </c>
      <c r="K20" s="282">
        <f>Sheet1!$A$3*2.2</f>
        <v>2.2000000000000002</v>
      </c>
      <c r="L20" s="281">
        <v>9</v>
      </c>
      <c r="M20" s="293" t="s">
        <v>834</v>
      </c>
      <c r="N20" s="281">
        <v>0.4</v>
      </c>
      <c r="O20" s="293" t="s">
        <v>834</v>
      </c>
      <c r="P20" s="281">
        <v>0.2</v>
      </c>
      <c r="Q20" s="284"/>
      <c r="R20" s="284"/>
      <c r="S20" s="70"/>
      <c r="W20" s="188" t="s">
        <v>820</v>
      </c>
      <c r="X20" s="188" t="s">
        <v>821</v>
      </c>
      <c r="Y20" s="242" t="s">
        <v>822</v>
      </c>
      <c r="AB20" s="242" t="str">
        <f>"90*68*"&amp;F20&amp;" mm,"</f>
        <v>90*68*1.8 mm,</v>
      </c>
      <c r="AC20" s="290">
        <f>J20+0.3</f>
        <v>3.9699999999999998</v>
      </c>
      <c r="AD20" s="291">
        <f t="shared" ref="AD20:AD58" si="8">E20+0.8</f>
        <v>4.79</v>
      </c>
      <c r="AE20" s="242">
        <v>54</v>
      </c>
    </row>
    <row r="21" spans="1:31" s="242" customFormat="1">
      <c r="A21" s="286" t="s">
        <v>839</v>
      </c>
      <c r="B21" s="286"/>
      <c r="C21" s="287">
        <f t="shared" si="5"/>
        <v>3.6423999999999999</v>
      </c>
      <c r="D21" s="287">
        <f t="shared" si="6"/>
        <v>0.46400000000000002</v>
      </c>
      <c r="E21" s="287">
        <f>VLOOKUP(X21,材料信息更新!$B:$C,2,0)</f>
        <v>3.96</v>
      </c>
      <c r="F21" s="288">
        <v>2</v>
      </c>
      <c r="G21" s="289">
        <v>232</v>
      </c>
      <c r="H21" s="289">
        <f t="shared" si="7"/>
        <v>580</v>
      </c>
      <c r="I21" s="280"/>
      <c r="J21" s="281">
        <f>VLOOKUP(W21,材料信息更新!$B:$C,2,0)</f>
        <v>3.6</v>
      </c>
      <c r="K21" s="282">
        <f>Sheet1!$A$3*2.2</f>
        <v>2.2000000000000002</v>
      </c>
      <c r="L21" s="281">
        <v>9</v>
      </c>
      <c r="M21" s="293" t="s">
        <v>834</v>
      </c>
      <c r="N21" s="281">
        <v>0.4</v>
      </c>
      <c r="O21" s="293" t="s">
        <v>834</v>
      </c>
      <c r="P21" s="281">
        <v>0.2</v>
      </c>
      <c r="Q21" s="284"/>
      <c r="R21" s="284"/>
      <c r="S21" s="70"/>
      <c r="W21" s="188" t="s">
        <v>835</v>
      </c>
      <c r="X21" s="188" t="s">
        <v>836</v>
      </c>
      <c r="Y21" s="242" t="s">
        <v>837</v>
      </c>
      <c r="AB21" s="242" t="str">
        <f>"90*68*"&amp;F21&amp;" mm,"</f>
        <v>90*68*2 mm,</v>
      </c>
      <c r="AC21" s="290">
        <f t="shared" ref="AC21:AC58" si="9">J21+0.3</f>
        <v>3.9</v>
      </c>
      <c r="AD21" s="291">
        <f t="shared" si="8"/>
        <v>4.76</v>
      </c>
      <c r="AE21" s="242">
        <v>54</v>
      </c>
    </row>
    <row r="22" spans="1:31" s="242" customFormat="1">
      <c r="A22" s="286" t="s">
        <v>840</v>
      </c>
      <c r="B22" s="286"/>
      <c r="C22" s="287">
        <f t="shared" si="5"/>
        <v>3.51837</v>
      </c>
      <c r="D22" s="287">
        <f t="shared" si="6"/>
        <v>0.498</v>
      </c>
      <c r="E22" s="287">
        <f>VLOOKUP(X22,材料信息更新!$B:$C,2,0)</f>
        <v>3.99</v>
      </c>
      <c r="F22" s="288">
        <v>1.8</v>
      </c>
      <c r="G22" s="289">
        <v>249</v>
      </c>
      <c r="H22" s="289">
        <f t="shared" si="7"/>
        <v>622.5</v>
      </c>
      <c r="I22" s="280"/>
      <c r="J22" s="281">
        <f>VLOOKUP(W22,材料信息更新!$B:$C,2,0)</f>
        <v>3.67</v>
      </c>
      <c r="K22" s="282">
        <f>Sheet1!$A$3*2.2</f>
        <v>2.2000000000000002</v>
      </c>
      <c r="L22" s="281">
        <v>9</v>
      </c>
      <c r="M22" s="293" t="s">
        <v>834</v>
      </c>
      <c r="N22" s="281">
        <v>0.4</v>
      </c>
      <c r="O22" s="293" t="s">
        <v>834</v>
      </c>
      <c r="P22" s="281">
        <v>0.2</v>
      </c>
      <c r="Q22" s="284"/>
      <c r="R22" s="284"/>
      <c r="S22" s="70"/>
      <c r="W22" s="188" t="s">
        <v>820</v>
      </c>
      <c r="X22" s="188" t="s">
        <v>821</v>
      </c>
      <c r="Y22" s="242" t="s">
        <v>822</v>
      </c>
      <c r="AB22" s="242" t="str">
        <f>"90*70*"&amp;F22&amp;" mm,"</f>
        <v>90*70*1.8 mm,</v>
      </c>
      <c r="AC22" s="290">
        <f t="shared" si="9"/>
        <v>3.9699999999999998</v>
      </c>
      <c r="AD22" s="291">
        <f t="shared" si="8"/>
        <v>4.79</v>
      </c>
      <c r="AE22" s="242">
        <v>54</v>
      </c>
    </row>
    <row r="23" spans="1:31" s="242" customFormat="1">
      <c r="A23" s="286" t="s">
        <v>235</v>
      </c>
      <c r="B23" s="286"/>
      <c r="C23" s="287">
        <f t="shared" si="5"/>
        <v>3.9093</v>
      </c>
      <c r="D23" s="287">
        <f t="shared" si="6"/>
        <v>0.498</v>
      </c>
      <c r="E23" s="287">
        <f>VLOOKUP(X23,材料信息更新!$B:$C,2,0)</f>
        <v>3.96</v>
      </c>
      <c r="F23" s="288">
        <v>2</v>
      </c>
      <c r="G23" s="289">
        <v>249</v>
      </c>
      <c r="H23" s="289">
        <f t="shared" si="7"/>
        <v>622.5</v>
      </c>
      <c r="I23" s="280"/>
      <c r="J23" s="281">
        <f>VLOOKUP(W23,材料信息更新!$B:$C,2,0)</f>
        <v>3.6</v>
      </c>
      <c r="K23" s="282">
        <f>Sheet1!$A$3*2.2</f>
        <v>2.2000000000000002</v>
      </c>
      <c r="L23" s="281">
        <v>9</v>
      </c>
      <c r="M23" s="293" t="s">
        <v>834</v>
      </c>
      <c r="N23" s="281">
        <v>0.4</v>
      </c>
      <c r="O23" s="293" t="s">
        <v>834</v>
      </c>
      <c r="P23" s="281">
        <v>0.2</v>
      </c>
      <c r="Q23" s="284"/>
      <c r="R23" s="284"/>
      <c r="S23" s="70"/>
      <c r="W23" s="188" t="s">
        <v>835</v>
      </c>
      <c r="X23" s="188" t="s">
        <v>836</v>
      </c>
      <c r="Y23" s="242" t="s">
        <v>837</v>
      </c>
      <c r="AB23" s="242" t="str">
        <f>"90*70*"&amp;F23&amp;" mm,"</f>
        <v>90*70*2 mm,</v>
      </c>
      <c r="AC23" s="290">
        <f t="shared" si="9"/>
        <v>3.9</v>
      </c>
      <c r="AD23" s="291">
        <f t="shared" si="8"/>
        <v>4.76</v>
      </c>
      <c r="AE23" s="242">
        <v>54</v>
      </c>
    </row>
    <row r="24" spans="1:31" s="242" customFormat="1">
      <c r="A24" s="286" t="s">
        <v>841</v>
      </c>
      <c r="B24" s="286"/>
      <c r="C24" s="287">
        <f t="shared" si="5"/>
        <v>4.4956950000000004</v>
      </c>
      <c r="D24" s="287">
        <f t="shared" si="6"/>
        <v>0.498</v>
      </c>
      <c r="E24" s="287">
        <f>VLOOKUP(X24,材料信息更新!$B:$C,2,0)</f>
        <v>3.96</v>
      </c>
      <c r="F24" s="288">
        <v>2.2999999999999998</v>
      </c>
      <c r="G24" s="289">
        <v>249</v>
      </c>
      <c r="H24" s="289">
        <f t="shared" si="7"/>
        <v>622.5</v>
      </c>
      <c r="I24" s="280"/>
      <c r="J24" s="281">
        <f>VLOOKUP(W24,材料信息更新!$B:$C,2,0)</f>
        <v>3.7</v>
      </c>
      <c r="K24" s="282">
        <f>Sheet1!$A$3*2.2</f>
        <v>2.2000000000000002</v>
      </c>
      <c r="L24" s="281">
        <v>9</v>
      </c>
      <c r="M24" s="293" t="s">
        <v>834</v>
      </c>
      <c r="N24" s="281">
        <v>0.4</v>
      </c>
      <c r="O24" s="293" t="s">
        <v>834</v>
      </c>
      <c r="P24" s="281">
        <v>0.2</v>
      </c>
      <c r="Q24" s="284"/>
      <c r="R24" s="284"/>
      <c r="S24" s="70"/>
      <c r="W24" s="188" t="s">
        <v>842</v>
      </c>
      <c r="X24" s="188" t="s">
        <v>843</v>
      </c>
      <c r="AB24" s="242" t="str">
        <f>"90*70*"&amp;F24&amp;" mm,"</f>
        <v>90*70*2.3 mm,</v>
      </c>
      <c r="AC24" s="290">
        <f t="shared" si="9"/>
        <v>4</v>
      </c>
      <c r="AD24" s="291">
        <f t="shared" si="8"/>
        <v>4.76</v>
      </c>
      <c r="AE24" s="242">
        <v>54</v>
      </c>
    </row>
    <row r="25" spans="1:31" s="242" customFormat="1">
      <c r="A25" s="286" t="s">
        <v>844</v>
      </c>
      <c r="B25" s="286"/>
      <c r="C25" s="287">
        <f t="shared" si="5"/>
        <v>4.2389999999999999</v>
      </c>
      <c r="D25" s="287">
        <f t="shared" si="6"/>
        <v>0.54</v>
      </c>
      <c r="E25" s="287">
        <f>VLOOKUP(X25,材料信息更新!$B:$C,2,0)</f>
        <v>3.96</v>
      </c>
      <c r="F25" s="288">
        <v>2</v>
      </c>
      <c r="G25" s="289">
        <v>270</v>
      </c>
      <c r="H25" s="289">
        <f t="shared" si="7"/>
        <v>675</v>
      </c>
      <c r="I25" s="280"/>
      <c r="J25" s="281">
        <f>VLOOKUP(W25,材料信息更新!$B:$C,2,0)</f>
        <v>3.6</v>
      </c>
      <c r="K25" s="282">
        <f>Sheet1!$A$3*2.2</f>
        <v>2.2000000000000002</v>
      </c>
      <c r="L25" s="281">
        <v>9</v>
      </c>
      <c r="M25" s="293" t="s">
        <v>834</v>
      </c>
      <c r="N25" s="281">
        <v>0.6</v>
      </c>
      <c r="O25" s="293" t="s">
        <v>834</v>
      </c>
      <c r="P25" s="281">
        <v>0.2</v>
      </c>
      <c r="Q25" s="284"/>
      <c r="R25" s="284"/>
      <c r="S25" s="70"/>
      <c r="W25" s="188" t="s">
        <v>835</v>
      </c>
      <c r="X25" s="188" t="s">
        <v>836</v>
      </c>
      <c r="Y25" s="242" t="s">
        <v>837</v>
      </c>
      <c r="AB25" s="242" t="str">
        <f>"100*70*"&amp;F25&amp;" mm,"</f>
        <v>100*70*2 mm,</v>
      </c>
      <c r="AC25" s="290">
        <f t="shared" si="9"/>
        <v>3.9</v>
      </c>
      <c r="AD25" s="291">
        <f t="shared" si="8"/>
        <v>4.76</v>
      </c>
      <c r="AE25" s="242">
        <v>54</v>
      </c>
    </row>
    <row r="26" spans="1:31" s="242" customFormat="1">
      <c r="A26" s="286" t="s">
        <v>845</v>
      </c>
      <c r="B26" s="286"/>
      <c r="C26" s="287">
        <f t="shared" si="5"/>
        <v>4.8748500000000003</v>
      </c>
      <c r="D26" s="287">
        <f t="shared" si="6"/>
        <v>0.54</v>
      </c>
      <c r="E26" s="287">
        <f>VLOOKUP(X26,材料信息更新!$B:$C,2,0)</f>
        <v>3.96</v>
      </c>
      <c r="F26" s="288">
        <v>2.2999999999999998</v>
      </c>
      <c r="G26" s="289">
        <v>270</v>
      </c>
      <c r="H26" s="289">
        <f t="shared" si="7"/>
        <v>675</v>
      </c>
      <c r="I26" s="280"/>
      <c r="J26" s="281">
        <f>VLOOKUP(W26,材料信息更新!$B:$C,2,0)</f>
        <v>3.7</v>
      </c>
      <c r="K26" s="282">
        <f>Sheet1!$A$3*2.2</f>
        <v>2.2000000000000002</v>
      </c>
      <c r="L26" s="281">
        <v>9</v>
      </c>
      <c r="M26" s="293" t="s">
        <v>834</v>
      </c>
      <c r="N26" s="281">
        <v>0.6</v>
      </c>
      <c r="O26" s="293" t="s">
        <v>834</v>
      </c>
      <c r="P26" s="281">
        <v>0.2</v>
      </c>
      <c r="Q26" s="284"/>
      <c r="R26" s="284"/>
      <c r="S26" s="70"/>
      <c r="W26" s="188" t="s">
        <v>842</v>
      </c>
      <c r="X26" s="188" t="s">
        <v>843</v>
      </c>
      <c r="AB26" s="242" t="str">
        <f>"100*70*"&amp;F26&amp;" mm,"</f>
        <v>100*70*2.3 mm,</v>
      </c>
      <c r="AC26" s="290">
        <f t="shared" si="9"/>
        <v>4</v>
      </c>
      <c r="AD26" s="291">
        <f t="shared" si="8"/>
        <v>4.76</v>
      </c>
      <c r="AE26" s="242">
        <v>54</v>
      </c>
    </row>
    <row r="27" spans="1:31" s="242" customFormat="1">
      <c r="A27" s="286" t="s">
        <v>846</v>
      </c>
      <c r="B27" s="286"/>
      <c r="C27" s="287">
        <f t="shared" si="5"/>
        <v>5.2987500000000001</v>
      </c>
      <c r="D27" s="287">
        <f t="shared" si="6"/>
        <v>0.54</v>
      </c>
      <c r="E27" s="287">
        <f>VLOOKUP(X27,材料信息更新!$B:$C,2,0)</f>
        <v>3.96</v>
      </c>
      <c r="F27" s="288">
        <v>2.5</v>
      </c>
      <c r="G27" s="289">
        <v>270</v>
      </c>
      <c r="H27" s="289">
        <f t="shared" si="7"/>
        <v>675</v>
      </c>
      <c r="I27" s="280"/>
      <c r="J27" s="281">
        <f>VLOOKUP(W27,材料信息更新!$B:$C,2,0)</f>
        <v>3.52</v>
      </c>
      <c r="K27" s="282">
        <f>Sheet1!$A$3*2.2</f>
        <v>2.2000000000000002</v>
      </c>
      <c r="L27" s="281">
        <v>9</v>
      </c>
      <c r="M27" s="293" t="s">
        <v>834</v>
      </c>
      <c r="N27" s="281">
        <v>0.6</v>
      </c>
      <c r="O27" s="293" t="s">
        <v>834</v>
      </c>
      <c r="P27" s="281">
        <v>0.2</v>
      </c>
      <c r="Q27" s="284"/>
      <c r="R27" s="284"/>
      <c r="S27" s="70"/>
      <c r="W27" s="188" t="s">
        <v>847</v>
      </c>
      <c r="X27" s="188" t="s">
        <v>848</v>
      </c>
      <c r="Y27" s="242" t="s">
        <v>849</v>
      </c>
      <c r="AB27" s="242" t="str">
        <f>"100*70*"&amp;F27&amp;" mm,"</f>
        <v>100*70*2.5 mm,</v>
      </c>
      <c r="AC27" s="290">
        <f t="shared" si="9"/>
        <v>3.82</v>
      </c>
      <c r="AD27" s="291">
        <f t="shared" si="8"/>
        <v>4.76</v>
      </c>
      <c r="AE27" s="242">
        <v>54</v>
      </c>
    </row>
    <row r="28" spans="1:31" s="242" customFormat="1">
      <c r="A28" s="286" t="s">
        <v>850</v>
      </c>
      <c r="B28" s="286"/>
      <c r="C28" s="287">
        <f t="shared" ref="C28" si="10">G28*F28*7.85/1000</f>
        <v>5.8286249999999997</v>
      </c>
      <c r="D28" s="287">
        <f t="shared" ref="D28" si="11">G28*2/1000</f>
        <v>0.54</v>
      </c>
      <c r="E28" s="287">
        <f>VLOOKUP(X28,材料信息更新!$B:$C,2,0)</f>
        <v>3.96</v>
      </c>
      <c r="F28" s="288">
        <v>2.75</v>
      </c>
      <c r="G28" s="289">
        <v>270</v>
      </c>
      <c r="H28" s="289">
        <f t="shared" si="7"/>
        <v>675</v>
      </c>
      <c r="I28" s="280"/>
      <c r="J28" s="281">
        <f>VLOOKUP(W28,材料信息更新!$B:$C,2,0)</f>
        <v>3.5</v>
      </c>
      <c r="K28" s="282">
        <f>Sheet1!$A$3*2.2</f>
        <v>2.2000000000000002</v>
      </c>
      <c r="L28" s="281">
        <v>9</v>
      </c>
      <c r="M28" s="293" t="s">
        <v>834</v>
      </c>
      <c r="N28" s="281">
        <v>0.6</v>
      </c>
      <c r="O28" s="293" t="s">
        <v>834</v>
      </c>
      <c r="P28" s="281">
        <v>0.2</v>
      </c>
      <c r="Q28" s="284"/>
      <c r="R28" s="284"/>
      <c r="S28" s="70"/>
      <c r="W28" s="188" t="s">
        <v>851</v>
      </c>
      <c r="X28" s="188" t="s">
        <v>852</v>
      </c>
      <c r="Y28" s="242" t="s">
        <v>853</v>
      </c>
      <c r="AB28" s="242" t="str">
        <f>"100*70*"&amp;F28&amp;" mm,"</f>
        <v>100*70*2.75 mm,</v>
      </c>
      <c r="AC28" s="290">
        <f t="shared" ref="AC28" si="12">J28+0.3</f>
        <v>3.8</v>
      </c>
      <c r="AD28" s="291">
        <f t="shared" ref="AD28" si="13">E28+0.8</f>
        <v>4.76</v>
      </c>
      <c r="AE28" s="242">
        <v>54</v>
      </c>
    </row>
    <row r="29" spans="1:31" s="242" customFormat="1" ht="15" customHeight="1">
      <c r="A29" s="294" t="s">
        <v>854</v>
      </c>
      <c r="B29" s="286" t="s">
        <v>855</v>
      </c>
      <c r="C29" s="287">
        <f t="shared" si="5"/>
        <v>4.2704000000000004</v>
      </c>
      <c r="D29" s="287">
        <f t="shared" si="6"/>
        <v>0.54400000000000004</v>
      </c>
      <c r="E29" s="287">
        <f>VLOOKUP(X29,材料信息更新!$B:$C,2,0)</f>
        <v>3.96</v>
      </c>
      <c r="F29" s="288">
        <v>2</v>
      </c>
      <c r="G29" s="289">
        <v>272</v>
      </c>
      <c r="H29" s="289">
        <f t="shared" si="7"/>
        <v>680</v>
      </c>
      <c r="I29" s="280"/>
      <c r="J29" s="281">
        <f>VLOOKUP(W29,材料信息更新!$B:$C,2,0)</f>
        <v>3.6</v>
      </c>
      <c r="K29" s="282">
        <f>Sheet1!$A$3*2.2</f>
        <v>2.2000000000000002</v>
      </c>
      <c r="L29" s="281">
        <v>9</v>
      </c>
      <c r="M29" s="293" t="s">
        <v>834</v>
      </c>
      <c r="N29" s="281">
        <v>0.6</v>
      </c>
      <c r="O29" s="293" t="s">
        <v>834</v>
      </c>
      <c r="P29" s="281">
        <v>0.2</v>
      </c>
      <c r="Q29" s="284"/>
      <c r="R29" s="284"/>
      <c r="S29" s="70"/>
      <c r="W29" s="188" t="s">
        <v>835</v>
      </c>
      <c r="X29" s="188" t="s">
        <v>836</v>
      </c>
      <c r="Y29" s="242" t="s">
        <v>837</v>
      </c>
      <c r="AB29" s="242" t="str">
        <f>"100*75*"&amp;F29&amp;" mm,"</f>
        <v>100*75*2 mm,</v>
      </c>
      <c r="AC29" s="290">
        <f t="shared" si="9"/>
        <v>3.9</v>
      </c>
      <c r="AD29" s="291">
        <f t="shared" si="8"/>
        <v>4.76</v>
      </c>
      <c r="AE29" s="242">
        <v>54</v>
      </c>
    </row>
    <row r="30" spans="1:31" s="242" customFormat="1">
      <c r="A30" s="294" t="s">
        <v>856</v>
      </c>
      <c r="B30" s="286" t="s">
        <v>855</v>
      </c>
      <c r="C30" s="287">
        <f t="shared" si="5"/>
        <v>4.9109600000000002</v>
      </c>
      <c r="D30" s="287">
        <f t="shared" si="6"/>
        <v>0.54400000000000004</v>
      </c>
      <c r="E30" s="287">
        <f>VLOOKUP(X30,材料信息更新!$B:$C,2,0)</f>
        <v>3.96</v>
      </c>
      <c r="F30" s="288">
        <v>2.2999999999999998</v>
      </c>
      <c r="G30" s="289">
        <v>272</v>
      </c>
      <c r="H30" s="289">
        <f t="shared" si="7"/>
        <v>680</v>
      </c>
      <c r="I30" s="280"/>
      <c r="J30" s="281">
        <f>VLOOKUP(W30,材料信息更新!$B:$C,2,0)</f>
        <v>3.7</v>
      </c>
      <c r="K30" s="282">
        <f>Sheet1!$A$3*2.2</f>
        <v>2.2000000000000002</v>
      </c>
      <c r="L30" s="281">
        <v>9</v>
      </c>
      <c r="M30" s="293" t="s">
        <v>834</v>
      </c>
      <c r="N30" s="281">
        <v>0.6</v>
      </c>
      <c r="O30" s="293" t="s">
        <v>834</v>
      </c>
      <c r="P30" s="281">
        <v>0.2</v>
      </c>
      <c r="Q30" s="284"/>
      <c r="R30" s="284"/>
      <c r="S30" s="70"/>
      <c r="W30" s="188" t="s">
        <v>842</v>
      </c>
      <c r="X30" s="188" t="s">
        <v>843</v>
      </c>
      <c r="AB30" s="242" t="str">
        <f>"100*75*"&amp;F30&amp;" mm,"</f>
        <v>100*75*2.3 mm,</v>
      </c>
      <c r="AC30" s="290">
        <f t="shared" si="9"/>
        <v>4</v>
      </c>
      <c r="AD30" s="291">
        <f t="shared" si="8"/>
        <v>4.76</v>
      </c>
      <c r="AE30" s="242">
        <v>54</v>
      </c>
    </row>
    <row r="31" spans="1:31" s="242" customFormat="1" ht="13.9" customHeight="1">
      <c r="A31" s="294" t="s">
        <v>857</v>
      </c>
      <c r="B31" s="286" t="s">
        <v>855</v>
      </c>
      <c r="C31" s="287">
        <f t="shared" si="5"/>
        <v>5.3380000000000001</v>
      </c>
      <c r="D31" s="287">
        <f t="shared" si="6"/>
        <v>0.54400000000000004</v>
      </c>
      <c r="E31" s="287">
        <f>VLOOKUP(X31,材料信息更新!$B:$C,2,0)</f>
        <v>3.96</v>
      </c>
      <c r="F31" s="288">
        <v>2.5</v>
      </c>
      <c r="G31" s="289">
        <v>272</v>
      </c>
      <c r="H31" s="289">
        <f t="shared" si="7"/>
        <v>680</v>
      </c>
      <c r="I31" s="280"/>
      <c r="J31" s="281">
        <f>VLOOKUP(W31,材料信息更新!$B:$C,2,0)</f>
        <v>3.52</v>
      </c>
      <c r="K31" s="282">
        <f>Sheet1!$A$3*2.2</f>
        <v>2.2000000000000002</v>
      </c>
      <c r="L31" s="281">
        <v>9</v>
      </c>
      <c r="M31" s="293" t="s">
        <v>834</v>
      </c>
      <c r="N31" s="281">
        <v>0.6</v>
      </c>
      <c r="O31" s="293" t="s">
        <v>834</v>
      </c>
      <c r="P31" s="281">
        <v>0.2</v>
      </c>
      <c r="Q31" s="284"/>
      <c r="R31" s="284"/>
      <c r="S31" s="70"/>
      <c r="W31" s="188" t="s">
        <v>847</v>
      </c>
      <c r="X31" s="188" t="s">
        <v>848</v>
      </c>
      <c r="Y31" s="242" t="s">
        <v>849</v>
      </c>
      <c r="AB31" s="242" t="str">
        <f>"100*75*"&amp;F31&amp;" mm,"</f>
        <v>100*75*2.5 mm,</v>
      </c>
      <c r="AC31" s="290">
        <f t="shared" si="9"/>
        <v>3.82</v>
      </c>
      <c r="AD31" s="291">
        <f t="shared" si="8"/>
        <v>4.76</v>
      </c>
      <c r="AE31" s="242">
        <v>54</v>
      </c>
    </row>
    <row r="32" spans="1:31" s="242" customFormat="1">
      <c r="A32" s="286" t="s">
        <v>858</v>
      </c>
      <c r="B32" s="286"/>
      <c r="C32" s="287">
        <f t="shared" si="5"/>
        <v>5.0083000000000002</v>
      </c>
      <c r="D32" s="287">
        <f t="shared" si="6"/>
        <v>0.63800000000000001</v>
      </c>
      <c r="E32" s="287">
        <f>VLOOKUP(X32,材料信息更新!$B:$C,2,0)</f>
        <v>3.96</v>
      </c>
      <c r="F32" s="288">
        <v>2</v>
      </c>
      <c r="G32" s="289">
        <v>319</v>
      </c>
      <c r="H32" s="289">
        <f t="shared" si="7"/>
        <v>797.5</v>
      </c>
      <c r="I32" s="280"/>
      <c r="J32" s="281">
        <f>VLOOKUP(W32,材料信息更新!$B:$C,2,0)</f>
        <v>3.6</v>
      </c>
      <c r="K32" s="282">
        <f>Sheet1!$A$3*2.2</f>
        <v>2.2000000000000002</v>
      </c>
      <c r="L32" s="281">
        <v>9</v>
      </c>
      <c r="M32" s="293" t="s">
        <v>834</v>
      </c>
      <c r="N32" s="281">
        <v>0.85</v>
      </c>
      <c r="O32" s="293" t="s">
        <v>834</v>
      </c>
      <c r="P32" s="281">
        <v>0.2</v>
      </c>
      <c r="Q32" s="284"/>
      <c r="R32" s="284"/>
      <c r="S32" s="70"/>
      <c r="W32" s="188" t="s">
        <v>835</v>
      </c>
      <c r="X32" s="188" t="s">
        <v>836</v>
      </c>
      <c r="Y32" s="242" t="s">
        <v>837</v>
      </c>
      <c r="AB32" s="242" t="str">
        <f>"100*95*"&amp;F32&amp;" mm,"</f>
        <v>100*95*2 mm,</v>
      </c>
      <c r="AC32" s="290">
        <f t="shared" si="9"/>
        <v>3.9</v>
      </c>
      <c r="AD32" s="291">
        <f t="shared" si="8"/>
        <v>4.76</v>
      </c>
      <c r="AE32" s="242">
        <v>78</v>
      </c>
    </row>
    <row r="33" spans="1:31" s="242" customFormat="1">
      <c r="A33" s="286" t="s">
        <v>859</v>
      </c>
      <c r="B33" s="286"/>
      <c r="C33" s="287">
        <f t="shared" si="5"/>
        <v>5.7595450000000001</v>
      </c>
      <c r="D33" s="287">
        <f t="shared" si="6"/>
        <v>0.63800000000000001</v>
      </c>
      <c r="E33" s="287">
        <f>VLOOKUP(X33,材料信息更新!$B:$C,2,0)</f>
        <v>3.96</v>
      </c>
      <c r="F33" s="288">
        <v>2.2999999999999998</v>
      </c>
      <c r="G33" s="289">
        <v>319</v>
      </c>
      <c r="H33" s="289">
        <f t="shared" si="7"/>
        <v>797.5</v>
      </c>
      <c r="I33" s="280"/>
      <c r="J33" s="281">
        <f>VLOOKUP(W33,材料信息更新!$B:$C,2,0)</f>
        <v>3.7</v>
      </c>
      <c r="K33" s="282">
        <f>Sheet1!$A$3*2.2</f>
        <v>2.2000000000000002</v>
      </c>
      <c r="L33" s="281">
        <v>9</v>
      </c>
      <c r="M33" s="293" t="s">
        <v>834</v>
      </c>
      <c r="N33" s="281">
        <v>0.85</v>
      </c>
      <c r="O33" s="293" t="s">
        <v>834</v>
      </c>
      <c r="P33" s="281">
        <v>0.2</v>
      </c>
      <c r="Q33" s="284"/>
      <c r="R33" s="284"/>
      <c r="S33" s="70"/>
      <c r="W33" s="188" t="s">
        <v>842</v>
      </c>
      <c r="X33" s="188" t="s">
        <v>843</v>
      </c>
      <c r="Y33" s="242" t="s">
        <v>860</v>
      </c>
      <c r="AB33" s="242" t="str">
        <f>"100*95*"&amp;F33&amp;" mm,"</f>
        <v>100*95*2.3 mm,</v>
      </c>
      <c r="AC33" s="290">
        <f t="shared" si="9"/>
        <v>4</v>
      </c>
      <c r="AD33" s="291">
        <f t="shared" si="8"/>
        <v>4.76</v>
      </c>
      <c r="AE33" s="242">
        <v>78</v>
      </c>
    </row>
    <row r="34" spans="1:31" s="242" customFormat="1">
      <c r="A34" s="286" t="s">
        <v>861</v>
      </c>
      <c r="B34" s="286"/>
      <c r="C34" s="287">
        <f t="shared" si="5"/>
        <v>6.2603749999999998</v>
      </c>
      <c r="D34" s="287">
        <f t="shared" si="6"/>
        <v>0.63800000000000001</v>
      </c>
      <c r="E34" s="287">
        <f>VLOOKUP(X34,材料信息更新!$B:$C,2,0)</f>
        <v>3.96</v>
      </c>
      <c r="F34" s="288">
        <v>2.5</v>
      </c>
      <c r="G34" s="289">
        <v>319</v>
      </c>
      <c r="H34" s="289">
        <f t="shared" si="7"/>
        <v>797.5</v>
      </c>
      <c r="I34" s="280"/>
      <c r="J34" s="281">
        <f>VLOOKUP(W34,材料信息更新!$B:$C,2,0)</f>
        <v>3.52</v>
      </c>
      <c r="K34" s="282">
        <f>Sheet1!$A$3*2.2</f>
        <v>2.2000000000000002</v>
      </c>
      <c r="L34" s="281">
        <v>9</v>
      </c>
      <c r="M34" s="293" t="s">
        <v>834</v>
      </c>
      <c r="N34" s="281">
        <v>0.85</v>
      </c>
      <c r="O34" s="293" t="s">
        <v>834</v>
      </c>
      <c r="P34" s="281">
        <v>0.2</v>
      </c>
      <c r="Q34" s="284"/>
      <c r="R34" s="284"/>
      <c r="S34" s="70"/>
      <c r="W34" s="188" t="s">
        <v>847</v>
      </c>
      <c r="X34" s="188" t="s">
        <v>848</v>
      </c>
      <c r="Y34" s="242" t="s">
        <v>849</v>
      </c>
      <c r="AB34" s="242" t="str">
        <f>"100*95*"&amp;F34&amp;" mm,"</f>
        <v>100*95*2.5 mm,</v>
      </c>
      <c r="AC34" s="290">
        <f t="shared" si="9"/>
        <v>3.82</v>
      </c>
      <c r="AD34" s="291">
        <f t="shared" si="8"/>
        <v>4.76</v>
      </c>
      <c r="AE34" s="242">
        <v>78</v>
      </c>
    </row>
    <row r="35" spans="1:31" s="242" customFormat="1">
      <c r="A35" s="286" t="s">
        <v>862</v>
      </c>
      <c r="B35" s="286"/>
      <c r="C35" s="287">
        <f t="shared" ref="C35" si="14">G35*F35*7.85/1000</f>
        <v>6.8864124999999996</v>
      </c>
      <c r="D35" s="287">
        <f t="shared" ref="D35" si="15">G35*2/1000</f>
        <v>0.63800000000000001</v>
      </c>
      <c r="E35" s="287">
        <f>VLOOKUP(X35,材料信息更新!$B:$C,2,0)</f>
        <v>3.96</v>
      </c>
      <c r="F35" s="288">
        <v>2.75</v>
      </c>
      <c r="G35" s="289">
        <v>319</v>
      </c>
      <c r="H35" s="289">
        <f t="shared" si="7"/>
        <v>797.5</v>
      </c>
      <c r="I35" s="280"/>
      <c r="J35" s="281">
        <f>VLOOKUP(W35,材料信息更新!$B:$C,2,0)</f>
        <v>3.5</v>
      </c>
      <c r="K35" s="282">
        <f>Sheet1!$A$3*2.2</f>
        <v>2.2000000000000002</v>
      </c>
      <c r="L35" s="281">
        <v>9</v>
      </c>
      <c r="M35" s="293" t="s">
        <v>834</v>
      </c>
      <c r="N35" s="281">
        <v>0.85</v>
      </c>
      <c r="O35" s="293" t="s">
        <v>834</v>
      </c>
      <c r="P35" s="281">
        <v>0.2</v>
      </c>
      <c r="Q35" s="284"/>
      <c r="R35" s="284"/>
      <c r="S35" s="70"/>
      <c r="W35" s="188" t="s">
        <v>851</v>
      </c>
      <c r="X35" s="188" t="s">
        <v>852</v>
      </c>
      <c r="Y35" s="242" t="s">
        <v>853</v>
      </c>
      <c r="AB35" s="242" t="str">
        <f>"100*95*"&amp;F35&amp;" mm,"</f>
        <v>100*95*2.75 mm,</v>
      </c>
      <c r="AC35" s="290">
        <f t="shared" ref="AC35" si="16">J35+0.3</f>
        <v>3.8</v>
      </c>
      <c r="AD35" s="291">
        <f t="shared" ref="AD35" si="17">E35+0.8</f>
        <v>4.76</v>
      </c>
      <c r="AE35" s="242">
        <v>78</v>
      </c>
    </row>
    <row r="36" spans="1:31" s="242" customFormat="1">
      <c r="A36" s="286" t="s">
        <v>863</v>
      </c>
      <c r="B36" s="286"/>
      <c r="C36" s="287">
        <f t="shared" ref="C36" si="18">G36*F36*7.85/1000</f>
        <v>7.5359999999999996</v>
      </c>
      <c r="D36" s="287">
        <f t="shared" ref="D36" si="19">G36*2/1000</f>
        <v>0.64</v>
      </c>
      <c r="E36" s="287">
        <f>VLOOKUP(X36,材料信息更新!$B:$C,2,0)</f>
        <v>3.96</v>
      </c>
      <c r="F36" s="288">
        <v>3</v>
      </c>
      <c r="G36" s="289">
        <v>320</v>
      </c>
      <c r="H36" s="289">
        <f t="shared" si="7"/>
        <v>800</v>
      </c>
      <c r="I36" s="280"/>
      <c r="J36" s="281">
        <f>VLOOKUP(W36,材料信息更新!$B:$C,2,0)</f>
        <v>3.47</v>
      </c>
      <c r="K36" s="282">
        <f>Sheet1!$A$3*2.2</f>
        <v>2.2000000000000002</v>
      </c>
      <c r="L36" s="281">
        <v>9</v>
      </c>
      <c r="M36" s="293" t="s">
        <v>834</v>
      </c>
      <c r="N36" s="281">
        <v>0.85</v>
      </c>
      <c r="O36" s="293" t="s">
        <v>834</v>
      </c>
      <c r="P36" s="281">
        <v>0.2</v>
      </c>
      <c r="Q36" s="284"/>
      <c r="R36" s="284"/>
      <c r="S36" s="70"/>
      <c r="W36" s="188" t="s">
        <v>864</v>
      </c>
      <c r="X36" s="188" t="s">
        <v>865</v>
      </c>
      <c r="Y36" s="242" t="s">
        <v>866</v>
      </c>
      <c r="AB36" s="242" t="str">
        <f>"100*95*"&amp;F36&amp;" mm,"</f>
        <v>100*95*3 mm,</v>
      </c>
      <c r="AC36" s="290">
        <f t="shared" si="9"/>
        <v>3.77</v>
      </c>
      <c r="AD36" s="291">
        <f t="shared" si="8"/>
        <v>4.76</v>
      </c>
      <c r="AE36" s="242">
        <v>78</v>
      </c>
    </row>
    <row r="37" spans="1:31" s="242" customFormat="1" ht="13.9" customHeight="1">
      <c r="A37" s="286" t="s">
        <v>867</v>
      </c>
      <c r="B37" s="286"/>
      <c r="C37" s="287">
        <f t="shared" si="5"/>
        <v>7.6011550000000003</v>
      </c>
      <c r="D37" s="287">
        <f t="shared" si="6"/>
        <v>0.84199999999999997</v>
      </c>
      <c r="E37" s="287">
        <f>VLOOKUP(X37,材料信息更新!$B:$C,2,0)</f>
        <v>3.96</v>
      </c>
      <c r="F37" s="288">
        <v>2.2999999999999998</v>
      </c>
      <c r="G37" s="289">
        <v>421</v>
      </c>
      <c r="H37" s="289">
        <f t="shared" si="7"/>
        <v>1052.5</v>
      </c>
      <c r="I37" s="280"/>
      <c r="J37" s="281">
        <f>VLOOKUP(W37,材料信息更新!$B:$C,2,0)</f>
        <v>3.7</v>
      </c>
      <c r="K37" s="282">
        <f>Sheet1!$A$3*2.2</f>
        <v>2.2000000000000002</v>
      </c>
      <c r="L37" s="281">
        <v>9</v>
      </c>
      <c r="M37" s="293" t="s">
        <v>834</v>
      </c>
      <c r="N37" s="281">
        <v>1</v>
      </c>
      <c r="O37" s="293" t="s">
        <v>834</v>
      </c>
      <c r="P37" s="281">
        <v>0.2</v>
      </c>
      <c r="Q37" s="284"/>
      <c r="R37" s="284"/>
      <c r="S37" s="70"/>
      <c r="W37" s="188" t="s">
        <v>842</v>
      </c>
      <c r="X37" s="188" t="s">
        <v>843</v>
      </c>
      <c r="Y37" s="242" t="s">
        <v>860</v>
      </c>
      <c r="AB37" s="242" t="str">
        <f>"100*135*"&amp;F37&amp;" mm,"</f>
        <v>100*135*2.3 mm,</v>
      </c>
      <c r="AC37" s="290">
        <f t="shared" si="9"/>
        <v>4</v>
      </c>
      <c r="AD37" s="291">
        <f t="shared" si="8"/>
        <v>4.76</v>
      </c>
      <c r="AE37" s="242">
        <v>60</v>
      </c>
    </row>
    <row r="38" spans="1:31" s="242" customFormat="1" ht="13.9" customHeight="1">
      <c r="A38" s="286" t="s">
        <v>868</v>
      </c>
      <c r="B38" s="286"/>
      <c r="C38" s="287">
        <f t="shared" si="5"/>
        <v>8.2621249999999993</v>
      </c>
      <c r="D38" s="287">
        <f t="shared" si="6"/>
        <v>0.84199999999999997</v>
      </c>
      <c r="E38" s="287">
        <f>VLOOKUP(X38,材料信息更新!$B:$C,2,0)</f>
        <v>3.96</v>
      </c>
      <c r="F38" s="288">
        <v>2.5</v>
      </c>
      <c r="G38" s="289">
        <v>421</v>
      </c>
      <c r="H38" s="289">
        <f t="shared" si="7"/>
        <v>1052.5</v>
      </c>
      <c r="I38" s="280"/>
      <c r="J38" s="281">
        <f>VLOOKUP(W38,材料信息更新!$B:$C,2,0)</f>
        <v>3.52</v>
      </c>
      <c r="K38" s="282">
        <f>Sheet1!$A$3*2.2</f>
        <v>2.2000000000000002</v>
      </c>
      <c r="L38" s="281">
        <v>9</v>
      </c>
      <c r="M38" s="293" t="s">
        <v>834</v>
      </c>
      <c r="N38" s="281">
        <v>1</v>
      </c>
      <c r="O38" s="293" t="s">
        <v>834</v>
      </c>
      <c r="P38" s="281">
        <v>0.2</v>
      </c>
      <c r="Q38" s="284"/>
      <c r="R38" s="284"/>
      <c r="S38" s="70"/>
      <c r="W38" s="188" t="s">
        <v>847</v>
      </c>
      <c r="X38" s="188" t="s">
        <v>848</v>
      </c>
      <c r="Y38" s="242" t="s">
        <v>849</v>
      </c>
      <c r="AB38" s="242" t="str">
        <f>"100*135*"&amp;F38&amp;" mm,"</f>
        <v>100*135*2.5 mm,</v>
      </c>
      <c r="AC38" s="290">
        <f t="shared" si="9"/>
        <v>3.82</v>
      </c>
      <c r="AD38" s="291">
        <f t="shared" si="8"/>
        <v>4.76</v>
      </c>
      <c r="AE38" s="242">
        <v>60</v>
      </c>
    </row>
    <row r="39" spans="1:31" s="242" customFormat="1" ht="13.9" customHeight="1">
      <c r="A39" s="286" t="s">
        <v>869</v>
      </c>
      <c r="B39" s="286"/>
      <c r="C39" s="287">
        <f t="shared" ref="C39" si="20">G39*F39*7.85/1000</f>
        <v>9.0883374999999997</v>
      </c>
      <c r="D39" s="287">
        <f t="shared" ref="D39" si="21">G39*2/1000</f>
        <v>0.84199999999999997</v>
      </c>
      <c r="E39" s="287">
        <f>VLOOKUP(X39,材料信息更新!$B:$C,2,0)</f>
        <v>3.96</v>
      </c>
      <c r="F39" s="288">
        <v>2.75</v>
      </c>
      <c r="G39" s="289">
        <v>421</v>
      </c>
      <c r="H39" s="289">
        <f t="shared" si="7"/>
        <v>1052.5</v>
      </c>
      <c r="I39" s="280"/>
      <c r="J39" s="281">
        <f>VLOOKUP(W39,材料信息更新!$B:$C,2,0)</f>
        <v>3.5</v>
      </c>
      <c r="K39" s="282">
        <f>Sheet1!$A$3*2.2</f>
        <v>2.2000000000000002</v>
      </c>
      <c r="L39" s="281">
        <v>9</v>
      </c>
      <c r="M39" s="293" t="s">
        <v>834</v>
      </c>
      <c r="N39" s="281">
        <v>1</v>
      </c>
      <c r="O39" s="293" t="s">
        <v>834</v>
      </c>
      <c r="P39" s="281">
        <v>0.2</v>
      </c>
      <c r="Q39" s="284"/>
      <c r="R39" s="284"/>
      <c r="S39" s="70"/>
      <c r="W39" s="188" t="s">
        <v>851</v>
      </c>
      <c r="X39" s="188" t="s">
        <v>852</v>
      </c>
      <c r="Y39" s="242" t="s">
        <v>853</v>
      </c>
      <c r="AB39" s="242" t="str">
        <f>"100*135*"&amp;F39&amp;" mm,"</f>
        <v>100*135*2.75 mm,</v>
      </c>
      <c r="AC39" s="290">
        <f t="shared" ref="AC39" si="22">J39+0.3</f>
        <v>3.8</v>
      </c>
      <c r="AD39" s="291">
        <f t="shared" ref="AD39" si="23">E39+0.8</f>
        <v>4.76</v>
      </c>
      <c r="AE39" s="242">
        <v>60</v>
      </c>
    </row>
    <row r="40" spans="1:31" s="242" customFormat="1" ht="13.9" customHeight="1">
      <c r="A40" s="286" t="s">
        <v>870</v>
      </c>
      <c r="B40" s="286"/>
      <c r="C40" s="287">
        <f t="shared" ref="C40" si="24">G40*F40*7.85/1000</f>
        <v>9.9145500000000002</v>
      </c>
      <c r="D40" s="287">
        <f t="shared" ref="D40" si="25">G40*2/1000</f>
        <v>0.84199999999999997</v>
      </c>
      <c r="E40" s="287">
        <f>VLOOKUP(X40,材料信息更新!$B:$C,2,0)</f>
        <v>3.96</v>
      </c>
      <c r="F40" s="288">
        <v>3</v>
      </c>
      <c r="G40" s="289">
        <v>421</v>
      </c>
      <c r="H40" s="289">
        <f t="shared" si="7"/>
        <v>1052.5</v>
      </c>
      <c r="I40" s="280"/>
      <c r="J40" s="281">
        <f>VLOOKUP(W40,材料信息更新!$B:$C,2,0)</f>
        <v>3.47</v>
      </c>
      <c r="K40" s="282">
        <f>Sheet1!$A$3*2.2</f>
        <v>2.2000000000000002</v>
      </c>
      <c r="L40" s="281">
        <v>9</v>
      </c>
      <c r="M40" s="293" t="s">
        <v>834</v>
      </c>
      <c r="N40" s="281">
        <v>1</v>
      </c>
      <c r="O40" s="293" t="s">
        <v>834</v>
      </c>
      <c r="P40" s="281">
        <v>0.2</v>
      </c>
      <c r="Q40" s="284"/>
      <c r="R40" s="284"/>
      <c r="S40" s="70"/>
      <c r="W40" s="188" t="s">
        <v>864</v>
      </c>
      <c r="X40" s="188" t="s">
        <v>865</v>
      </c>
      <c r="Y40" s="242" t="s">
        <v>866</v>
      </c>
      <c r="AB40" s="242" t="str">
        <f>"100*135*"&amp;F40&amp;" mm,"</f>
        <v>100*135*3 mm,</v>
      </c>
      <c r="AC40" s="290">
        <f t="shared" ref="AC40" si="26">J40+0.3</f>
        <v>3.77</v>
      </c>
      <c r="AD40" s="291">
        <f t="shared" ref="AD40" si="27">E40+0.8</f>
        <v>4.76</v>
      </c>
      <c r="AE40" s="242">
        <v>60</v>
      </c>
    </row>
    <row r="41" spans="1:31" s="242" customFormat="1" ht="13.9" customHeight="1">
      <c r="A41" s="286" t="s">
        <v>871</v>
      </c>
      <c r="B41" s="286"/>
      <c r="C41" s="287">
        <f t="shared" si="5"/>
        <v>4.5529999999999999</v>
      </c>
      <c r="D41" s="287">
        <f t="shared" si="6"/>
        <v>0.57999999999999996</v>
      </c>
      <c r="E41" s="287">
        <f>VLOOKUP(X41,材料信息更新!$B:$C,2,0)</f>
        <v>3.96</v>
      </c>
      <c r="F41" s="288">
        <v>2</v>
      </c>
      <c r="G41" s="289">
        <v>290</v>
      </c>
      <c r="H41" s="289">
        <f t="shared" si="7"/>
        <v>725</v>
      </c>
      <c r="I41" s="280"/>
      <c r="J41" s="281">
        <f>VLOOKUP(W41,材料信息更新!$B:$C,2,0)</f>
        <v>3.6</v>
      </c>
      <c r="K41" s="282">
        <f>Sheet1!$A$3*2.2</f>
        <v>2.2000000000000002</v>
      </c>
      <c r="L41" s="281">
        <v>9</v>
      </c>
      <c r="M41" s="293" t="s">
        <v>834</v>
      </c>
      <c r="N41" s="281">
        <v>1</v>
      </c>
      <c r="O41" s="293" t="s">
        <v>834</v>
      </c>
      <c r="P41" s="281">
        <v>0.2</v>
      </c>
      <c r="Q41" s="284"/>
      <c r="R41" s="284"/>
      <c r="S41" s="70"/>
      <c r="W41" s="188" t="s">
        <v>835</v>
      </c>
      <c r="X41" s="188" t="s">
        <v>836</v>
      </c>
      <c r="Y41" s="242" t="s">
        <v>837</v>
      </c>
      <c r="AB41" s="242" t="str">
        <f>"120*70*"&amp;F41&amp;" mm,"</f>
        <v>120*70*2 mm,</v>
      </c>
      <c r="AC41" s="290">
        <f t="shared" si="9"/>
        <v>3.9</v>
      </c>
      <c r="AD41" s="291">
        <f t="shared" si="8"/>
        <v>4.76</v>
      </c>
      <c r="AE41" s="242">
        <v>60</v>
      </c>
    </row>
    <row r="42" spans="1:31" s="242" customFormat="1" ht="13.9" customHeight="1">
      <c r="A42" s="286" t="s">
        <v>872</v>
      </c>
      <c r="B42" s="286"/>
      <c r="C42" s="287">
        <f t="shared" si="5"/>
        <v>5.2359499999999999</v>
      </c>
      <c r="D42" s="287">
        <f t="shared" si="6"/>
        <v>0.57999999999999996</v>
      </c>
      <c r="E42" s="287">
        <f>VLOOKUP(X42,材料信息更新!$B:$C,2,0)</f>
        <v>3.96</v>
      </c>
      <c r="F42" s="288">
        <v>2.2999999999999998</v>
      </c>
      <c r="G42" s="289">
        <v>290</v>
      </c>
      <c r="H42" s="289">
        <f t="shared" si="7"/>
        <v>725</v>
      </c>
      <c r="I42" s="280"/>
      <c r="J42" s="281">
        <f>VLOOKUP(W42,材料信息更新!$B:$C,2,0)</f>
        <v>3.7</v>
      </c>
      <c r="K42" s="282">
        <f>Sheet1!$A$3*2.2</f>
        <v>2.2000000000000002</v>
      </c>
      <c r="L42" s="281">
        <v>9</v>
      </c>
      <c r="M42" s="293" t="s">
        <v>834</v>
      </c>
      <c r="N42" s="281">
        <v>1</v>
      </c>
      <c r="O42" s="293" t="s">
        <v>834</v>
      </c>
      <c r="P42" s="281">
        <v>0.2</v>
      </c>
      <c r="Q42" s="284"/>
      <c r="R42" s="284"/>
      <c r="S42" s="70"/>
      <c r="W42" s="188" t="s">
        <v>842</v>
      </c>
      <c r="X42" s="188" t="s">
        <v>843</v>
      </c>
      <c r="Y42" s="242" t="s">
        <v>860</v>
      </c>
      <c r="AB42" s="242" t="str">
        <f>"120*70*"&amp;F42&amp;" mm,"</f>
        <v>120*70*2.3 mm,</v>
      </c>
      <c r="AC42" s="290">
        <f t="shared" si="9"/>
        <v>4</v>
      </c>
      <c r="AD42" s="291">
        <f t="shared" si="8"/>
        <v>4.76</v>
      </c>
      <c r="AE42" s="242">
        <v>60</v>
      </c>
    </row>
    <row r="43" spans="1:31" s="242" customFormat="1" ht="13.9" customHeight="1">
      <c r="A43" s="286" t="s">
        <v>873</v>
      </c>
      <c r="B43" s="286"/>
      <c r="C43" s="287">
        <f t="shared" si="5"/>
        <v>5.6912500000000001</v>
      </c>
      <c r="D43" s="287">
        <f t="shared" si="6"/>
        <v>0.57999999999999996</v>
      </c>
      <c r="E43" s="287">
        <f>VLOOKUP(X43,材料信息更新!$B:$C,2,0)</f>
        <v>3.96</v>
      </c>
      <c r="F43" s="288">
        <v>2.5</v>
      </c>
      <c r="G43" s="289">
        <v>290</v>
      </c>
      <c r="H43" s="289">
        <f t="shared" si="7"/>
        <v>725</v>
      </c>
      <c r="I43" s="280"/>
      <c r="J43" s="281">
        <f>VLOOKUP(W43,材料信息更新!$B:$C,2,0)</f>
        <v>3.52</v>
      </c>
      <c r="K43" s="282">
        <f>Sheet1!$A$3*2.2</f>
        <v>2.2000000000000002</v>
      </c>
      <c r="L43" s="281">
        <v>9</v>
      </c>
      <c r="M43" s="293" t="s">
        <v>834</v>
      </c>
      <c r="N43" s="281">
        <v>1</v>
      </c>
      <c r="O43" s="293" t="s">
        <v>834</v>
      </c>
      <c r="P43" s="281">
        <v>0.2</v>
      </c>
      <c r="Q43" s="284"/>
      <c r="R43" s="284"/>
      <c r="S43" s="70"/>
      <c r="W43" s="188" t="s">
        <v>847</v>
      </c>
      <c r="X43" s="188" t="s">
        <v>848</v>
      </c>
      <c r="Y43" s="242" t="s">
        <v>849</v>
      </c>
      <c r="AB43" s="242" t="str">
        <f>"120*70*"&amp;F43&amp;" mm,"</f>
        <v>120*70*2.5 mm,</v>
      </c>
      <c r="AC43" s="290">
        <f t="shared" si="9"/>
        <v>3.82</v>
      </c>
      <c r="AD43" s="291">
        <f t="shared" si="8"/>
        <v>4.76</v>
      </c>
      <c r="AE43" s="242">
        <v>60</v>
      </c>
    </row>
    <row r="44" spans="1:31" s="242" customFormat="1" ht="13.9" customHeight="1">
      <c r="A44" s="286" t="s">
        <v>874</v>
      </c>
      <c r="B44" s="286"/>
      <c r="C44" s="287">
        <f t="shared" ref="C44" si="28">G44*F44*7.85/1000</f>
        <v>6.2603749999999998</v>
      </c>
      <c r="D44" s="287">
        <f t="shared" ref="D44" si="29">G44*2/1000</f>
        <v>0.57999999999999996</v>
      </c>
      <c r="E44" s="287">
        <f>VLOOKUP(X44,材料信息更新!$B:$C,2,0)</f>
        <v>3.96</v>
      </c>
      <c r="F44" s="288">
        <v>2.75</v>
      </c>
      <c r="G44" s="289">
        <v>290</v>
      </c>
      <c r="H44" s="289">
        <f t="shared" si="7"/>
        <v>725</v>
      </c>
      <c r="I44" s="280"/>
      <c r="J44" s="281">
        <f>VLOOKUP(W44,材料信息更新!$B:$C,2,0)</f>
        <v>3.5</v>
      </c>
      <c r="K44" s="282">
        <f>Sheet1!$A$3*2.2</f>
        <v>2.2000000000000002</v>
      </c>
      <c r="L44" s="281">
        <v>9</v>
      </c>
      <c r="M44" s="293" t="s">
        <v>834</v>
      </c>
      <c r="N44" s="281">
        <v>1</v>
      </c>
      <c r="O44" s="293" t="s">
        <v>834</v>
      </c>
      <c r="P44" s="281">
        <v>0.2</v>
      </c>
      <c r="Q44" s="284"/>
      <c r="R44" s="284"/>
      <c r="S44" s="70"/>
      <c r="W44" s="188" t="s">
        <v>851</v>
      </c>
      <c r="X44" s="188" t="s">
        <v>852</v>
      </c>
      <c r="Y44" s="242" t="s">
        <v>853</v>
      </c>
      <c r="AB44" s="242" t="str">
        <f>"120*70*"&amp;F44&amp;" mm,"</f>
        <v>120*70*2.75 mm,</v>
      </c>
      <c r="AC44" s="290">
        <f t="shared" ref="AC44" si="30">J44+0.3</f>
        <v>3.8</v>
      </c>
      <c r="AD44" s="291">
        <f t="shared" ref="AD44" si="31">E44+0.8</f>
        <v>4.76</v>
      </c>
      <c r="AE44" s="242">
        <v>60</v>
      </c>
    </row>
    <row r="45" spans="1:31" s="242" customFormat="1" ht="13.9" customHeight="1">
      <c r="A45" s="286" t="s">
        <v>875</v>
      </c>
      <c r="B45" s="286"/>
      <c r="C45" s="287">
        <f t="shared" ref="C45" si="32">G45*F45*7.85/1000</f>
        <v>6.8295000000000003</v>
      </c>
      <c r="D45" s="287">
        <f t="shared" ref="D45" si="33">G45*2/1000</f>
        <v>0.57999999999999996</v>
      </c>
      <c r="E45" s="287">
        <f>VLOOKUP(X45,材料信息更新!$B:$C,2,0)</f>
        <v>3.96</v>
      </c>
      <c r="F45" s="288">
        <v>3</v>
      </c>
      <c r="G45" s="289">
        <v>290</v>
      </c>
      <c r="H45" s="289">
        <f t="shared" si="7"/>
        <v>725</v>
      </c>
      <c r="I45" s="280"/>
      <c r="J45" s="281">
        <f>VLOOKUP(W45,材料信息更新!$B:$C,2,0)</f>
        <v>3.47</v>
      </c>
      <c r="K45" s="282">
        <f>Sheet1!$A$3*2.2</f>
        <v>2.2000000000000002</v>
      </c>
      <c r="L45" s="281">
        <v>9</v>
      </c>
      <c r="M45" s="293" t="s">
        <v>834</v>
      </c>
      <c r="N45" s="281">
        <v>1</v>
      </c>
      <c r="O45" s="293" t="s">
        <v>834</v>
      </c>
      <c r="P45" s="281">
        <v>0.2</v>
      </c>
      <c r="Q45" s="284"/>
      <c r="R45" s="284"/>
      <c r="S45" s="70"/>
      <c r="W45" s="188" t="s">
        <v>864</v>
      </c>
      <c r="X45" s="188" t="s">
        <v>865</v>
      </c>
      <c r="Y45" s="242" t="s">
        <v>866</v>
      </c>
      <c r="AB45" s="242" t="str">
        <f>"120*70*"&amp;F45&amp;" mm,"</f>
        <v>120*70*3 mm,</v>
      </c>
      <c r="AC45" s="290">
        <f t="shared" ref="AC45" si="34">J45+0.3</f>
        <v>3.77</v>
      </c>
      <c r="AD45" s="291">
        <f t="shared" ref="AD45" si="35">E45+0.8</f>
        <v>4.76</v>
      </c>
      <c r="AE45" s="242">
        <v>60</v>
      </c>
    </row>
    <row r="46" spans="1:31" s="242" customFormat="1" ht="15" customHeight="1">
      <c r="A46" s="294" t="s">
        <v>876</v>
      </c>
      <c r="B46" s="286" t="s">
        <v>877</v>
      </c>
      <c r="C46" s="287">
        <f t="shared" si="5"/>
        <v>4.6315</v>
      </c>
      <c r="D46" s="287">
        <f t="shared" si="6"/>
        <v>0.59</v>
      </c>
      <c r="E46" s="287">
        <f>VLOOKUP(X46,材料信息更新!$B:$C,2,0)</f>
        <v>3.96</v>
      </c>
      <c r="F46" s="288">
        <v>2</v>
      </c>
      <c r="G46" s="289">
        <v>295</v>
      </c>
      <c r="H46" s="289">
        <f t="shared" si="7"/>
        <v>737.5</v>
      </c>
      <c r="I46" s="280"/>
      <c r="J46" s="281">
        <f>VLOOKUP(W46,材料信息更新!$B:$C,2,0)</f>
        <v>3.6</v>
      </c>
      <c r="K46" s="282">
        <f>Sheet1!$A$3*2.2</f>
        <v>2.2000000000000002</v>
      </c>
      <c r="L46" s="281">
        <v>9</v>
      </c>
      <c r="M46" s="293" t="s">
        <v>834</v>
      </c>
      <c r="N46" s="281">
        <v>1</v>
      </c>
      <c r="O46" s="293" t="s">
        <v>834</v>
      </c>
      <c r="P46" s="281">
        <v>0.2</v>
      </c>
      <c r="Q46" s="284"/>
      <c r="R46" s="284"/>
      <c r="S46" s="70"/>
      <c r="W46" s="188" t="s">
        <v>835</v>
      </c>
      <c r="X46" s="188" t="s">
        <v>836</v>
      </c>
      <c r="Y46" s="242" t="s">
        <v>837</v>
      </c>
      <c r="AB46" s="242" t="str">
        <f>"120*75*"&amp;F46&amp;" mm,"</f>
        <v>120*75*2 mm,</v>
      </c>
      <c r="AC46" s="290">
        <f t="shared" si="9"/>
        <v>3.9</v>
      </c>
      <c r="AD46" s="291">
        <f t="shared" si="8"/>
        <v>4.76</v>
      </c>
      <c r="AE46" s="242">
        <v>60</v>
      </c>
    </row>
    <row r="47" spans="1:31" s="242" customFormat="1">
      <c r="A47" s="294" t="s">
        <v>878</v>
      </c>
      <c r="B47" s="286" t="s">
        <v>877</v>
      </c>
      <c r="C47" s="287">
        <f t="shared" si="5"/>
        <v>5.326225</v>
      </c>
      <c r="D47" s="287">
        <f t="shared" si="6"/>
        <v>0.59</v>
      </c>
      <c r="E47" s="287">
        <f>VLOOKUP(X47,材料信息更新!$B:$C,2,0)</f>
        <v>3.96</v>
      </c>
      <c r="F47" s="288">
        <v>2.2999999999999998</v>
      </c>
      <c r="G47" s="289">
        <v>295</v>
      </c>
      <c r="H47" s="289">
        <f t="shared" si="7"/>
        <v>737.5</v>
      </c>
      <c r="I47" s="280"/>
      <c r="J47" s="281">
        <f>VLOOKUP(W47,材料信息更新!$B:$C,2,0)</f>
        <v>3.7</v>
      </c>
      <c r="K47" s="282">
        <f>Sheet1!$A$3*2.2</f>
        <v>2.2000000000000002</v>
      </c>
      <c r="L47" s="281">
        <v>9</v>
      </c>
      <c r="M47" s="293" t="s">
        <v>834</v>
      </c>
      <c r="N47" s="281">
        <v>1</v>
      </c>
      <c r="O47" s="293" t="s">
        <v>834</v>
      </c>
      <c r="P47" s="281">
        <v>0.2</v>
      </c>
      <c r="Q47" s="284"/>
      <c r="R47" s="284"/>
      <c r="S47" s="70"/>
      <c r="W47" s="188" t="s">
        <v>842</v>
      </c>
      <c r="X47" s="188" t="s">
        <v>843</v>
      </c>
      <c r="Y47" s="242" t="s">
        <v>860</v>
      </c>
      <c r="AB47" s="242" t="str">
        <f>"120*75*"&amp;F47&amp;" mm,"</f>
        <v>120*75*2.3 mm,</v>
      </c>
      <c r="AC47" s="290">
        <f t="shared" si="9"/>
        <v>4</v>
      </c>
      <c r="AD47" s="291">
        <f t="shared" si="8"/>
        <v>4.76</v>
      </c>
      <c r="AE47" s="242">
        <v>60</v>
      </c>
    </row>
    <row r="48" spans="1:31" s="242" customFormat="1">
      <c r="A48" s="294" t="s">
        <v>879</v>
      </c>
      <c r="B48" s="286" t="s">
        <v>877</v>
      </c>
      <c r="C48" s="287">
        <f t="shared" si="5"/>
        <v>5.7893749999999997</v>
      </c>
      <c r="D48" s="287">
        <f t="shared" si="6"/>
        <v>0.59</v>
      </c>
      <c r="E48" s="287">
        <f>VLOOKUP(X48,材料信息更新!$B:$C,2,0)</f>
        <v>3.96</v>
      </c>
      <c r="F48" s="288">
        <v>2.5</v>
      </c>
      <c r="G48" s="289">
        <v>295</v>
      </c>
      <c r="H48" s="289">
        <f t="shared" si="7"/>
        <v>737.5</v>
      </c>
      <c r="I48" s="280"/>
      <c r="J48" s="281">
        <f>VLOOKUP(W48,材料信息更新!$B:$C,2,0)</f>
        <v>3.52</v>
      </c>
      <c r="K48" s="282">
        <f>Sheet1!$A$3*2.2</f>
        <v>2.2000000000000002</v>
      </c>
      <c r="L48" s="281">
        <v>9</v>
      </c>
      <c r="M48" s="293" t="s">
        <v>834</v>
      </c>
      <c r="N48" s="281">
        <v>1</v>
      </c>
      <c r="O48" s="293" t="s">
        <v>834</v>
      </c>
      <c r="P48" s="281">
        <v>0.2</v>
      </c>
      <c r="Q48" s="284"/>
      <c r="R48" s="284"/>
      <c r="S48" s="70"/>
      <c r="W48" s="188" t="s">
        <v>847</v>
      </c>
      <c r="X48" s="188" t="s">
        <v>848</v>
      </c>
      <c r="Y48" s="242" t="s">
        <v>849</v>
      </c>
      <c r="AB48" s="242" t="str">
        <f>"120*75*"&amp;F48&amp;" mm,"</f>
        <v>120*75*2.5 mm,</v>
      </c>
      <c r="AC48" s="290">
        <f t="shared" si="9"/>
        <v>3.82</v>
      </c>
      <c r="AD48" s="291">
        <f t="shared" si="8"/>
        <v>4.76</v>
      </c>
      <c r="AE48" s="242">
        <v>60</v>
      </c>
    </row>
    <row r="49" spans="1:31" s="242" customFormat="1">
      <c r="A49" s="286" t="s">
        <v>880</v>
      </c>
      <c r="B49" s="286"/>
      <c r="C49" s="287">
        <f t="shared" si="5"/>
        <v>6.1206449999999997</v>
      </c>
      <c r="D49" s="287">
        <f t="shared" si="6"/>
        <v>0.67800000000000005</v>
      </c>
      <c r="E49" s="287">
        <f>VLOOKUP(X49,材料信息更新!$B:$C,2,0)</f>
        <v>3.96</v>
      </c>
      <c r="F49" s="288">
        <v>2.2999999999999998</v>
      </c>
      <c r="G49" s="289">
        <v>339</v>
      </c>
      <c r="H49" s="289">
        <f>G49*2.3</f>
        <v>779.7</v>
      </c>
      <c r="I49" s="280"/>
      <c r="J49" s="281">
        <f>VLOOKUP(W49,材料信息更新!$B:$C,2,0)</f>
        <v>3.7</v>
      </c>
      <c r="K49" s="282">
        <f>Sheet1!$A$3*2.2</f>
        <v>2.2000000000000002</v>
      </c>
      <c r="L49" s="281">
        <v>9</v>
      </c>
      <c r="M49" s="293" t="s">
        <v>834</v>
      </c>
      <c r="N49" s="281">
        <v>1</v>
      </c>
      <c r="O49" s="293" t="s">
        <v>834</v>
      </c>
      <c r="P49" s="281">
        <v>0.2</v>
      </c>
      <c r="Q49" s="284"/>
      <c r="R49" s="284"/>
      <c r="S49" s="70"/>
      <c r="W49" s="188" t="s">
        <v>842</v>
      </c>
      <c r="X49" s="188" t="s">
        <v>843</v>
      </c>
      <c r="Y49" s="242" t="s">
        <v>860</v>
      </c>
      <c r="AB49" s="242" t="str">
        <f>"120*95*"&amp;F49&amp;" mm,"</f>
        <v>120*95*2.3 mm,</v>
      </c>
      <c r="AC49" s="290">
        <f t="shared" si="9"/>
        <v>4</v>
      </c>
      <c r="AD49" s="291">
        <f t="shared" si="8"/>
        <v>4.76</v>
      </c>
      <c r="AE49" s="242">
        <v>60</v>
      </c>
    </row>
    <row r="50" spans="1:31" s="242" customFormat="1">
      <c r="A50" s="286" t="s">
        <v>881</v>
      </c>
      <c r="B50" s="286"/>
      <c r="C50" s="287">
        <f t="shared" si="5"/>
        <v>6.6528749999999999</v>
      </c>
      <c r="D50" s="287">
        <f t="shared" si="6"/>
        <v>0.67800000000000005</v>
      </c>
      <c r="E50" s="287">
        <f>VLOOKUP(X50,材料信息更新!$B:$C,2,0)</f>
        <v>3.96</v>
      </c>
      <c r="F50" s="288">
        <v>2.5</v>
      </c>
      <c r="G50" s="289">
        <v>339</v>
      </c>
      <c r="H50" s="289">
        <f>G50*2.3</f>
        <v>779.7</v>
      </c>
      <c r="I50" s="280"/>
      <c r="J50" s="281">
        <f>VLOOKUP(W50,材料信息更新!$B:$C,2,0)</f>
        <v>3.52</v>
      </c>
      <c r="K50" s="282">
        <f>Sheet1!$A$3*2.2</f>
        <v>2.2000000000000002</v>
      </c>
      <c r="L50" s="281">
        <v>9</v>
      </c>
      <c r="M50" s="293" t="s">
        <v>834</v>
      </c>
      <c r="N50" s="281">
        <v>1</v>
      </c>
      <c r="O50" s="293" t="s">
        <v>834</v>
      </c>
      <c r="P50" s="281">
        <v>0.2</v>
      </c>
      <c r="Q50" s="284"/>
      <c r="R50" s="284"/>
      <c r="S50" s="70"/>
      <c r="W50" s="188" t="s">
        <v>847</v>
      </c>
      <c r="X50" s="188" t="s">
        <v>848</v>
      </c>
      <c r="Y50" s="242" t="s">
        <v>849</v>
      </c>
      <c r="AB50" s="242" t="str">
        <f>"120*95*"&amp;F50&amp;" mm,"</f>
        <v>120*95*2.5 mm,</v>
      </c>
      <c r="AC50" s="290">
        <f t="shared" si="9"/>
        <v>3.82</v>
      </c>
      <c r="AD50" s="291">
        <f t="shared" si="8"/>
        <v>4.76</v>
      </c>
      <c r="AE50" s="242">
        <v>60</v>
      </c>
    </row>
    <row r="51" spans="1:31" s="242" customFormat="1" ht="13.9" customHeight="1">
      <c r="A51" s="286" t="s">
        <v>882</v>
      </c>
      <c r="B51" s="286"/>
      <c r="C51" s="287">
        <f t="shared" si="5"/>
        <v>7.3181624999999997</v>
      </c>
      <c r="D51" s="287">
        <f t="shared" si="6"/>
        <v>0.67800000000000005</v>
      </c>
      <c r="E51" s="287">
        <f>VLOOKUP(X51,材料信息更新!$B:$C,2,0)</f>
        <v>3.96</v>
      </c>
      <c r="F51" s="288">
        <v>2.75</v>
      </c>
      <c r="G51" s="289">
        <v>339</v>
      </c>
      <c r="H51" s="289">
        <f t="shared" ref="H51:H52" si="36">G51*2.5</f>
        <v>847.5</v>
      </c>
      <c r="I51" s="280"/>
      <c r="J51" s="281">
        <f>VLOOKUP(W51,材料信息更新!$B:$C,2,0)</f>
        <v>3.5</v>
      </c>
      <c r="K51" s="282">
        <f>Sheet1!$A$3*2.2</f>
        <v>2.2000000000000002</v>
      </c>
      <c r="L51" s="281">
        <v>9</v>
      </c>
      <c r="M51" s="293" t="s">
        <v>834</v>
      </c>
      <c r="N51" s="281">
        <v>1</v>
      </c>
      <c r="O51" s="293" t="s">
        <v>834</v>
      </c>
      <c r="P51" s="281">
        <v>0.2</v>
      </c>
      <c r="Q51" s="284"/>
      <c r="R51" s="284"/>
      <c r="S51" s="70"/>
      <c r="W51" s="188" t="s">
        <v>851</v>
      </c>
      <c r="X51" s="188" t="s">
        <v>852</v>
      </c>
      <c r="Y51" s="242" t="s">
        <v>853</v>
      </c>
      <c r="AB51" s="242" t="str">
        <f>"120*95*"&amp;F51&amp;" mm,"</f>
        <v>120*95*2.75 mm,</v>
      </c>
      <c r="AC51" s="290">
        <f t="shared" si="9"/>
        <v>3.8</v>
      </c>
      <c r="AD51" s="291">
        <f t="shared" si="8"/>
        <v>4.76</v>
      </c>
      <c r="AE51" s="242">
        <v>60</v>
      </c>
    </row>
    <row r="52" spans="1:31" s="242" customFormat="1">
      <c r="A52" s="286" t="s">
        <v>883</v>
      </c>
      <c r="B52" s="286"/>
      <c r="C52" s="287">
        <f t="shared" si="5"/>
        <v>7.9834500000000004</v>
      </c>
      <c r="D52" s="287">
        <f t="shared" si="6"/>
        <v>0.67800000000000005</v>
      </c>
      <c r="E52" s="287">
        <f>VLOOKUP(X52,材料信息更新!$B:$C,2,0)</f>
        <v>3.96</v>
      </c>
      <c r="F52" s="288">
        <v>3</v>
      </c>
      <c r="G52" s="289">
        <v>339</v>
      </c>
      <c r="H52" s="289">
        <f t="shared" si="36"/>
        <v>847.5</v>
      </c>
      <c r="I52" s="280"/>
      <c r="J52" s="281">
        <f>VLOOKUP(W52,材料信息更新!$B:$C,2,0)</f>
        <v>3.47</v>
      </c>
      <c r="K52" s="282">
        <f>Sheet1!$A$3*2.2</f>
        <v>2.2000000000000002</v>
      </c>
      <c r="L52" s="281">
        <v>9</v>
      </c>
      <c r="M52" s="293" t="s">
        <v>834</v>
      </c>
      <c r="N52" s="281">
        <v>1</v>
      </c>
      <c r="O52" s="293" t="s">
        <v>834</v>
      </c>
      <c r="P52" s="281">
        <v>0.2</v>
      </c>
      <c r="Q52" s="284"/>
      <c r="R52" s="284"/>
      <c r="S52" s="70"/>
      <c r="W52" s="188" t="s">
        <v>864</v>
      </c>
      <c r="X52" s="188" t="s">
        <v>865</v>
      </c>
      <c r="Y52" s="242" t="s">
        <v>866</v>
      </c>
      <c r="AB52" s="242" t="str">
        <f>"120*95*"&amp;F52&amp;" mm,"</f>
        <v>120*95*3 mm,</v>
      </c>
      <c r="AC52" s="290">
        <f t="shared" si="9"/>
        <v>3.77</v>
      </c>
      <c r="AD52" s="291">
        <f t="shared" si="8"/>
        <v>4.76</v>
      </c>
      <c r="AE52" s="242">
        <v>60</v>
      </c>
    </row>
    <row r="53" spans="1:31" s="242" customFormat="1">
      <c r="A53" s="286" t="s">
        <v>884</v>
      </c>
      <c r="B53" s="286"/>
      <c r="C53" s="287">
        <f t="shared" si="5"/>
        <v>7.6011550000000003</v>
      </c>
      <c r="D53" s="287">
        <f t="shared" si="6"/>
        <v>0.84199999999999997</v>
      </c>
      <c r="E53" s="287">
        <f>VLOOKUP(X53,材料信息更新!$B:$C,2,0)</f>
        <v>3.96</v>
      </c>
      <c r="F53" s="288">
        <v>2.2999999999999998</v>
      </c>
      <c r="G53" s="289">
        <v>421</v>
      </c>
      <c r="H53" s="289">
        <f t="shared" ref="H53:H60" si="37">G53*2.3</f>
        <v>968.3</v>
      </c>
      <c r="I53" s="280"/>
      <c r="J53" s="281">
        <f>VLOOKUP(W53,材料信息更新!$B:$C,2,0)</f>
        <v>3.7</v>
      </c>
      <c r="K53" s="282">
        <f>Sheet1!$A$3*2.2</f>
        <v>2.2000000000000002</v>
      </c>
      <c r="L53" s="281">
        <v>9</v>
      </c>
      <c r="M53" s="293" t="s">
        <v>834</v>
      </c>
      <c r="N53" s="281">
        <v>1</v>
      </c>
      <c r="O53" s="293" t="s">
        <v>834</v>
      </c>
      <c r="P53" s="281">
        <v>0.2</v>
      </c>
      <c r="Q53" s="284"/>
      <c r="R53" s="284"/>
      <c r="S53" s="70"/>
      <c r="W53" s="188" t="s">
        <v>842</v>
      </c>
      <c r="X53" s="188" t="s">
        <v>843</v>
      </c>
      <c r="Y53" s="242" t="s">
        <v>860</v>
      </c>
      <c r="AB53" s="242" t="str">
        <f>"120*135*"&amp;F53&amp;" mm,"</f>
        <v>120*135*2.3 mm,</v>
      </c>
      <c r="AC53" s="290">
        <f t="shared" si="9"/>
        <v>4</v>
      </c>
      <c r="AD53" s="291">
        <f t="shared" si="8"/>
        <v>4.76</v>
      </c>
    </row>
    <row r="54" spans="1:31" s="242" customFormat="1">
      <c r="A54" s="286" t="s">
        <v>885</v>
      </c>
      <c r="B54" s="286"/>
      <c r="C54" s="287">
        <f t="shared" si="5"/>
        <v>8.2621249999999993</v>
      </c>
      <c r="D54" s="287">
        <f t="shared" si="6"/>
        <v>0.84199999999999997</v>
      </c>
      <c r="E54" s="287">
        <f>VLOOKUP(X54,材料信息更新!$B:$C,2,0)</f>
        <v>3.96</v>
      </c>
      <c r="F54" s="288">
        <v>2.5</v>
      </c>
      <c r="G54" s="289">
        <v>421</v>
      </c>
      <c r="H54" s="289">
        <f t="shared" si="37"/>
        <v>968.3</v>
      </c>
      <c r="I54" s="280"/>
      <c r="J54" s="281">
        <f>VLOOKUP(W54,材料信息更新!$B:$C,2,0)</f>
        <v>3.52</v>
      </c>
      <c r="K54" s="282">
        <f>Sheet1!$A$3*2.2</f>
        <v>2.2000000000000002</v>
      </c>
      <c r="L54" s="281">
        <v>9</v>
      </c>
      <c r="M54" s="293" t="s">
        <v>834</v>
      </c>
      <c r="N54" s="281">
        <v>1</v>
      </c>
      <c r="O54" s="293" t="s">
        <v>834</v>
      </c>
      <c r="P54" s="281">
        <v>0.2</v>
      </c>
      <c r="Q54" s="284"/>
      <c r="R54" s="284"/>
      <c r="S54" s="70"/>
      <c r="W54" s="188" t="s">
        <v>847</v>
      </c>
      <c r="X54" s="188" t="s">
        <v>848</v>
      </c>
      <c r="Y54" s="242" t="s">
        <v>849</v>
      </c>
      <c r="AB54" s="242" t="str">
        <f>"120*135*"&amp;F54&amp;" mm,"</f>
        <v>120*135*2.5 mm,</v>
      </c>
      <c r="AC54" s="290">
        <f t="shared" si="9"/>
        <v>3.82</v>
      </c>
      <c r="AD54" s="291">
        <f t="shared" si="8"/>
        <v>4.76</v>
      </c>
    </row>
    <row r="55" spans="1:31" s="242" customFormat="1">
      <c r="A55" s="286" t="s">
        <v>886</v>
      </c>
      <c r="B55" s="286"/>
      <c r="C55" s="287">
        <f t="shared" ref="C55" si="38">G55*F55*7.85/1000</f>
        <v>9.0883374999999997</v>
      </c>
      <c r="D55" s="287">
        <f t="shared" ref="D55" si="39">G55*2/1000</f>
        <v>0.84199999999999997</v>
      </c>
      <c r="E55" s="287">
        <f>VLOOKUP(X55,材料信息更新!$B:$C,2,0)</f>
        <v>3.96</v>
      </c>
      <c r="F55" s="288">
        <v>2.75</v>
      </c>
      <c r="G55" s="289">
        <v>421</v>
      </c>
      <c r="H55" s="289">
        <f t="shared" si="37"/>
        <v>968.3</v>
      </c>
      <c r="I55" s="280"/>
      <c r="J55" s="281">
        <f>VLOOKUP(W55,材料信息更新!$B:$C,2,0)</f>
        <v>3.5</v>
      </c>
      <c r="K55" s="282">
        <f>Sheet1!$A$3*2.2</f>
        <v>2.2000000000000002</v>
      </c>
      <c r="L55" s="281">
        <v>9</v>
      </c>
      <c r="M55" s="293" t="s">
        <v>834</v>
      </c>
      <c r="N55" s="281">
        <v>1</v>
      </c>
      <c r="O55" s="293" t="s">
        <v>834</v>
      </c>
      <c r="P55" s="281">
        <v>0.2</v>
      </c>
      <c r="Q55" s="284"/>
      <c r="R55" s="284"/>
      <c r="S55" s="70"/>
      <c r="W55" s="188" t="s">
        <v>851</v>
      </c>
      <c r="X55" s="188" t="s">
        <v>852</v>
      </c>
      <c r="Y55" s="242" t="s">
        <v>853</v>
      </c>
      <c r="AB55" s="242" t="str">
        <f>"120*135*"&amp;F55&amp;" mm,"</f>
        <v>120*135*2.75 mm,</v>
      </c>
      <c r="AC55" s="290">
        <f t="shared" ref="AC55" si="40">J55+0.3</f>
        <v>3.8</v>
      </c>
      <c r="AD55" s="291">
        <f t="shared" ref="AD55" si="41">E55+0.8</f>
        <v>4.76</v>
      </c>
    </row>
    <row r="56" spans="1:31" s="242" customFormat="1">
      <c r="A56" s="286" t="s">
        <v>887</v>
      </c>
      <c r="B56" s="286"/>
      <c r="C56" s="287">
        <f t="shared" ref="C56" si="42">G56*F56*7.85/1000</f>
        <v>9.9145500000000002</v>
      </c>
      <c r="D56" s="287">
        <f t="shared" ref="D56" si="43">G56*2/1000</f>
        <v>0.84199999999999997</v>
      </c>
      <c r="E56" s="287">
        <f>VLOOKUP(X56,材料信息更新!$B:$C,2,0)</f>
        <v>3.96</v>
      </c>
      <c r="F56" s="288">
        <v>3</v>
      </c>
      <c r="G56" s="289">
        <v>421</v>
      </c>
      <c r="H56" s="289">
        <f t="shared" si="37"/>
        <v>968.3</v>
      </c>
      <c r="I56" s="280"/>
      <c r="J56" s="281">
        <f>VLOOKUP(W56,材料信息更新!$B:$C,2,0)</f>
        <v>3.47</v>
      </c>
      <c r="K56" s="282">
        <f>Sheet1!$A$3*2.2</f>
        <v>2.2000000000000002</v>
      </c>
      <c r="L56" s="281">
        <v>9</v>
      </c>
      <c r="M56" s="293" t="s">
        <v>834</v>
      </c>
      <c r="N56" s="281">
        <v>1</v>
      </c>
      <c r="O56" s="293" t="s">
        <v>834</v>
      </c>
      <c r="P56" s="281">
        <v>0.2</v>
      </c>
      <c r="Q56" s="284"/>
      <c r="R56" s="284"/>
      <c r="S56" s="70"/>
      <c r="W56" s="188" t="s">
        <v>864</v>
      </c>
      <c r="X56" s="188" t="s">
        <v>865</v>
      </c>
      <c r="Y56" s="242" t="s">
        <v>866</v>
      </c>
      <c r="AB56" s="242" t="str">
        <f>"120*135*"&amp;F56&amp;" mm,"</f>
        <v>120*135*3 mm,</v>
      </c>
      <c r="AC56" s="290">
        <f t="shared" ref="AC56" si="44">J56+0.3</f>
        <v>3.77</v>
      </c>
      <c r="AD56" s="291">
        <f t="shared" ref="AD56" si="45">E56+0.8</f>
        <v>4.76</v>
      </c>
    </row>
    <row r="57" spans="1:31" s="242" customFormat="1">
      <c r="A57" s="286" t="s">
        <v>888</v>
      </c>
      <c r="B57" s="286"/>
      <c r="C57" s="287">
        <f t="shared" si="5"/>
        <v>7.9622549999999999</v>
      </c>
      <c r="D57" s="287">
        <f t="shared" si="6"/>
        <v>0.88200000000000001</v>
      </c>
      <c r="E57" s="287">
        <f>VLOOKUP(X57,材料信息更新!$B:$C,2,0)</f>
        <v>3.96</v>
      </c>
      <c r="F57" s="288">
        <v>2.2999999999999998</v>
      </c>
      <c r="G57" s="289">
        <v>441</v>
      </c>
      <c r="H57" s="289">
        <f t="shared" si="37"/>
        <v>1014.3</v>
      </c>
      <c r="I57" s="280"/>
      <c r="J57" s="281">
        <f>VLOOKUP(W57,材料信息更新!$B:$C,2,0)</f>
        <v>3.7</v>
      </c>
      <c r="K57" s="282">
        <f>Sheet1!$A$3*2.2</f>
        <v>2.2000000000000002</v>
      </c>
      <c r="L57" s="281">
        <v>9</v>
      </c>
      <c r="M57" s="293" t="s">
        <v>834</v>
      </c>
      <c r="N57" s="281">
        <v>1</v>
      </c>
      <c r="O57" s="293" t="s">
        <v>834</v>
      </c>
      <c r="P57" s="281">
        <v>0.2</v>
      </c>
      <c r="Q57" s="284"/>
      <c r="R57" s="284"/>
      <c r="S57" s="70"/>
      <c r="W57" s="188" t="s">
        <v>842</v>
      </c>
      <c r="X57" s="188" t="s">
        <v>843</v>
      </c>
      <c r="Y57" s="242" t="s">
        <v>860</v>
      </c>
      <c r="AB57" s="242" t="str">
        <f>"140*135*"&amp;F57&amp;" mm,"</f>
        <v>140*135*2.3 mm,</v>
      </c>
      <c r="AC57" s="290">
        <f t="shared" si="9"/>
        <v>4</v>
      </c>
      <c r="AD57" s="291">
        <f t="shared" si="8"/>
        <v>4.76</v>
      </c>
    </row>
    <row r="58" spans="1:31" s="242" customFormat="1">
      <c r="A58" s="286" t="s">
        <v>889</v>
      </c>
      <c r="B58" s="286"/>
      <c r="C58" s="287">
        <f t="shared" si="5"/>
        <v>8.6546249999999993</v>
      </c>
      <c r="D58" s="287">
        <f t="shared" si="6"/>
        <v>0.88200000000000001</v>
      </c>
      <c r="E58" s="287">
        <f>VLOOKUP(X58,材料信息更新!$B:$C,2,0)</f>
        <v>3.96</v>
      </c>
      <c r="F58" s="288">
        <v>2.5</v>
      </c>
      <c r="G58" s="289">
        <v>441</v>
      </c>
      <c r="H58" s="289">
        <f t="shared" si="37"/>
        <v>1014.3</v>
      </c>
      <c r="I58" s="280"/>
      <c r="J58" s="281">
        <f>VLOOKUP(W58,材料信息更新!$B:$C,2,0)</f>
        <v>3.52</v>
      </c>
      <c r="K58" s="282">
        <f>Sheet1!$A$3*2.2</f>
        <v>2.2000000000000002</v>
      </c>
      <c r="L58" s="281">
        <v>9</v>
      </c>
      <c r="M58" s="293" t="s">
        <v>834</v>
      </c>
      <c r="N58" s="281">
        <v>1</v>
      </c>
      <c r="O58" s="293" t="s">
        <v>834</v>
      </c>
      <c r="P58" s="281">
        <v>0.2</v>
      </c>
      <c r="Q58" s="284"/>
      <c r="R58" s="284"/>
      <c r="S58" s="70"/>
      <c r="W58" s="188" t="s">
        <v>847</v>
      </c>
      <c r="X58" s="188" t="s">
        <v>848</v>
      </c>
      <c r="Y58" s="242" t="s">
        <v>849</v>
      </c>
      <c r="AB58" s="242" t="str">
        <f>"140*135*"&amp;F58&amp;" mm,"</f>
        <v>140*135*2.5 mm,</v>
      </c>
      <c r="AC58" s="290">
        <f t="shared" si="9"/>
        <v>3.82</v>
      </c>
      <c r="AD58" s="291">
        <f t="shared" si="8"/>
        <v>4.76</v>
      </c>
    </row>
    <row r="59" spans="1:31" s="242" customFormat="1">
      <c r="A59" s="286" t="s">
        <v>890</v>
      </c>
      <c r="B59" s="286"/>
      <c r="C59" s="287">
        <f t="shared" ref="C59" si="46">G59*F59*7.85/1000</f>
        <v>9.5200875000000007</v>
      </c>
      <c r="D59" s="287">
        <f t="shared" ref="D59" si="47">G59*2/1000</f>
        <v>0.88200000000000001</v>
      </c>
      <c r="E59" s="287">
        <f>VLOOKUP(X59,材料信息更新!$B:$C,2,0)</f>
        <v>3.96</v>
      </c>
      <c r="F59" s="288">
        <v>2.75</v>
      </c>
      <c r="G59" s="289">
        <v>441</v>
      </c>
      <c r="H59" s="289">
        <f t="shared" si="37"/>
        <v>1014.3</v>
      </c>
      <c r="I59" s="280"/>
      <c r="J59" s="281">
        <f>VLOOKUP(W59,材料信息更新!$B:$C,2,0)</f>
        <v>3.5</v>
      </c>
      <c r="K59" s="282">
        <f>Sheet1!$A$3*2.2</f>
        <v>2.2000000000000002</v>
      </c>
      <c r="L59" s="281">
        <v>9</v>
      </c>
      <c r="M59" s="293" t="s">
        <v>834</v>
      </c>
      <c r="N59" s="281">
        <v>1</v>
      </c>
      <c r="O59" s="293" t="s">
        <v>834</v>
      </c>
      <c r="P59" s="281">
        <v>0.2</v>
      </c>
      <c r="Q59" s="284"/>
      <c r="R59" s="284"/>
      <c r="S59" s="70"/>
      <c r="W59" s="188" t="s">
        <v>851</v>
      </c>
      <c r="X59" s="188" t="s">
        <v>852</v>
      </c>
      <c r="Y59" s="242" t="s">
        <v>853</v>
      </c>
      <c r="AB59" s="242" t="str">
        <f>"140*135*"&amp;F59&amp;" mm,"</f>
        <v>140*135*2.75 mm,</v>
      </c>
      <c r="AC59" s="290">
        <f t="shared" ref="AC59" si="48">J59+0.3</f>
        <v>3.8</v>
      </c>
      <c r="AD59" s="291">
        <f t="shared" ref="AD59" si="49">E59+0.8</f>
        <v>4.76</v>
      </c>
    </row>
    <row r="60" spans="1:31" s="242" customFormat="1">
      <c r="A60" s="286" t="s">
        <v>891</v>
      </c>
      <c r="B60" s="286"/>
      <c r="C60" s="287">
        <f t="shared" ref="C60" si="50">G60*F60*7.85/1000</f>
        <v>10.38555</v>
      </c>
      <c r="D60" s="287">
        <f t="shared" ref="D60" si="51">G60*2/1000</f>
        <v>0.88200000000000001</v>
      </c>
      <c r="E60" s="287">
        <f>VLOOKUP(X60,材料信息更新!$B:$C,2,0)</f>
        <v>3.96</v>
      </c>
      <c r="F60" s="288">
        <v>3</v>
      </c>
      <c r="G60" s="289">
        <v>441</v>
      </c>
      <c r="H60" s="289">
        <f t="shared" si="37"/>
        <v>1014.3</v>
      </c>
      <c r="I60" s="280"/>
      <c r="J60" s="281">
        <f>VLOOKUP(W60,材料信息更新!$B:$C,2,0)</f>
        <v>3.47</v>
      </c>
      <c r="K60" s="282">
        <f>Sheet1!$A$3*2.2</f>
        <v>2.2000000000000002</v>
      </c>
      <c r="L60" s="281">
        <v>9</v>
      </c>
      <c r="M60" s="293" t="s">
        <v>834</v>
      </c>
      <c r="N60" s="281">
        <v>1</v>
      </c>
      <c r="O60" s="293" t="s">
        <v>834</v>
      </c>
      <c r="P60" s="281">
        <v>0.2</v>
      </c>
      <c r="Q60" s="284"/>
      <c r="R60" s="284"/>
      <c r="S60" s="70"/>
      <c r="W60" s="188" t="s">
        <v>864</v>
      </c>
      <c r="X60" s="188" t="s">
        <v>865</v>
      </c>
      <c r="Y60" s="242" t="s">
        <v>866</v>
      </c>
      <c r="AB60" s="242" t="str">
        <f>"140*135*"&amp;F60&amp;" mm,"</f>
        <v>140*135*3 mm,</v>
      </c>
      <c r="AC60" s="290">
        <f t="shared" ref="AC60" si="52">J60+0.3</f>
        <v>3.77</v>
      </c>
      <c r="AD60" s="291">
        <f t="shared" ref="AD60" si="53">E60+0.8</f>
        <v>4.76</v>
      </c>
    </row>
    <row r="61" spans="1:31" s="242" customFormat="1">
      <c r="A61" s="286"/>
      <c r="B61" s="286"/>
      <c r="C61" s="287"/>
      <c r="D61" s="287"/>
      <c r="E61" s="287"/>
      <c r="F61" s="288"/>
      <c r="G61" s="289"/>
      <c r="H61" s="289"/>
      <c r="I61" s="280"/>
      <c r="J61" s="281"/>
      <c r="K61" s="282"/>
      <c r="L61" s="281"/>
      <c r="M61" s="281"/>
      <c r="N61" s="281"/>
      <c r="O61" s="281"/>
      <c r="P61" s="281"/>
      <c r="Q61" s="284"/>
      <c r="R61" s="284"/>
      <c r="S61" s="70"/>
      <c r="W61" s="247"/>
      <c r="X61" s="247"/>
    </row>
    <row r="62" spans="1:31" s="242" customFormat="1">
      <c r="A62" s="286"/>
      <c r="B62" s="286"/>
      <c r="C62" s="287"/>
      <c r="D62" s="287"/>
      <c r="E62" s="287"/>
      <c r="F62" s="288"/>
      <c r="G62" s="289"/>
      <c r="H62" s="289"/>
      <c r="I62" s="280"/>
      <c r="J62" s="281"/>
      <c r="K62" s="282"/>
      <c r="L62" s="281"/>
      <c r="M62" s="281"/>
      <c r="N62" s="281"/>
      <c r="O62" s="281"/>
      <c r="P62" s="281"/>
      <c r="Q62" s="284"/>
      <c r="R62" s="284"/>
      <c r="S62" s="70"/>
      <c r="W62" s="247"/>
      <c r="X62" s="247"/>
    </row>
    <row r="63" spans="1:31" s="242" customFormat="1">
      <c r="A63" s="286"/>
      <c r="B63" s="286"/>
      <c r="C63" s="287"/>
      <c r="D63" s="287"/>
      <c r="E63" s="287"/>
      <c r="F63" s="288"/>
      <c r="G63" s="289"/>
      <c r="H63" s="289"/>
      <c r="I63" s="280"/>
      <c r="J63" s="281"/>
      <c r="K63" s="282"/>
      <c r="L63" s="281"/>
      <c r="M63" s="281"/>
      <c r="N63" s="281"/>
      <c r="O63" s="281"/>
      <c r="P63" s="281"/>
      <c r="Q63" s="284"/>
      <c r="R63" s="284"/>
      <c r="S63" s="70"/>
      <c r="W63" s="247"/>
      <c r="X63" s="247"/>
    </row>
    <row r="64" spans="1:31" s="242" customFormat="1">
      <c r="A64" s="286"/>
      <c r="B64" s="286"/>
      <c r="C64" s="287"/>
      <c r="D64" s="287"/>
      <c r="E64" s="287"/>
      <c r="F64" s="288"/>
      <c r="G64" s="289"/>
      <c r="H64" s="289"/>
      <c r="I64" s="280"/>
      <c r="J64" s="281"/>
      <c r="K64" s="282"/>
      <c r="L64" s="281"/>
      <c r="M64" s="281"/>
      <c r="N64" s="281"/>
      <c r="O64" s="281"/>
      <c r="P64" s="281"/>
      <c r="Q64" s="284"/>
      <c r="R64" s="284"/>
      <c r="S64" s="70"/>
      <c r="W64" s="247"/>
      <c r="X64" s="247"/>
    </row>
    <row r="65" spans="1:28" s="242" customFormat="1">
      <c r="A65" s="277" t="s">
        <v>12</v>
      </c>
      <c r="B65" s="277"/>
      <c r="C65" s="278"/>
      <c r="D65" s="278"/>
      <c r="E65" s="278"/>
      <c r="F65" s="279"/>
      <c r="G65" s="280"/>
      <c r="H65" s="280"/>
      <c r="I65" s="280"/>
      <c r="J65" s="281"/>
      <c r="K65" s="282"/>
      <c r="L65" s="281"/>
      <c r="M65" s="281"/>
      <c r="N65" s="281"/>
      <c r="O65" s="281"/>
      <c r="P65" s="281"/>
      <c r="Q65" s="284"/>
      <c r="R65" s="284"/>
      <c r="S65" s="70"/>
    </row>
    <row r="66" spans="1:28" s="242" customFormat="1">
      <c r="A66" s="286" t="s">
        <v>892</v>
      </c>
      <c r="B66" s="286"/>
      <c r="C66" s="287">
        <f t="shared" ref="C66:C81" si="54">G66*F66*7.85/1000</f>
        <v>0.96711999999999998</v>
      </c>
      <c r="D66" s="287">
        <f t="shared" ref="D66:D81" si="55">G66*2/1000</f>
        <v>0.17599999999999999</v>
      </c>
      <c r="E66" s="287">
        <f>VLOOKUP(X66,材料信息更新!$B:$C,2,0)</f>
        <v>4.08</v>
      </c>
      <c r="F66" s="288">
        <v>1.4</v>
      </c>
      <c r="G66" s="289">
        <v>88</v>
      </c>
      <c r="H66" s="289">
        <v>88</v>
      </c>
      <c r="I66" s="289"/>
      <c r="J66" s="281">
        <f>VLOOKUP(W66,材料信息更新!$B:$C,2,0)</f>
        <v>3.69</v>
      </c>
      <c r="K66" s="282">
        <f>Sheet1!$A$3*0.11</f>
        <v>0.11</v>
      </c>
      <c r="L66" s="281">
        <v>9</v>
      </c>
      <c r="M66" s="293" t="s">
        <v>834</v>
      </c>
      <c r="N66" s="281">
        <v>0.09</v>
      </c>
      <c r="O66" s="293" t="s">
        <v>834</v>
      </c>
      <c r="P66" s="281"/>
      <c r="Q66" s="284" t="s">
        <v>714</v>
      </c>
      <c r="R66" s="284">
        <v>1</v>
      </c>
      <c r="S66" s="70" t="s">
        <v>893</v>
      </c>
      <c r="T66" s="242">
        <v>1</v>
      </c>
      <c r="W66" s="188" t="s">
        <v>894</v>
      </c>
      <c r="X66" s="194" t="s">
        <v>895</v>
      </c>
      <c r="AB66" s="242" t="str">
        <f>"24*35*"&amp;F66&amp;" mm,"</f>
        <v>24*35*1.4 mm,</v>
      </c>
    </row>
    <row r="67" spans="1:28" s="242" customFormat="1">
      <c r="A67" s="295" t="s">
        <v>265</v>
      </c>
      <c r="B67" s="295"/>
      <c r="C67" s="287">
        <f t="shared" si="54"/>
        <v>0.87605999999999995</v>
      </c>
      <c r="D67" s="287">
        <f t="shared" si="55"/>
        <v>0.186</v>
      </c>
      <c r="E67" s="287">
        <f>VLOOKUP(X67,材料信息更新!$B:$C,2,0)</f>
        <v>4.21</v>
      </c>
      <c r="F67" s="288">
        <v>1.2</v>
      </c>
      <c r="G67" s="289">
        <v>93</v>
      </c>
      <c r="H67" s="289">
        <v>93</v>
      </c>
      <c r="I67" s="289"/>
      <c r="J67" s="281">
        <f>VLOOKUP(W67,材料信息更新!$B:$C,2,0)</f>
        <v>3.74</v>
      </c>
      <c r="K67" s="282">
        <f>Sheet1!$A$3*0.11</f>
        <v>0.11</v>
      </c>
      <c r="L67" s="281">
        <v>9</v>
      </c>
      <c r="M67" s="293" t="s">
        <v>834</v>
      </c>
      <c r="N67" s="281">
        <v>0.09</v>
      </c>
      <c r="O67" s="293" t="s">
        <v>834</v>
      </c>
      <c r="P67" s="281"/>
      <c r="Q67" s="284" t="s">
        <v>714</v>
      </c>
      <c r="R67" s="284">
        <v>1</v>
      </c>
      <c r="S67" s="70" t="s">
        <v>893</v>
      </c>
      <c r="T67" s="242">
        <v>1</v>
      </c>
      <c r="W67" s="188" t="s">
        <v>896</v>
      </c>
      <c r="X67" s="188" t="s">
        <v>897</v>
      </c>
      <c r="AB67" s="242" t="str">
        <f>"24*40*"&amp;F67&amp;" mm,"</f>
        <v>24*40*1.2 mm,</v>
      </c>
    </row>
    <row r="68" spans="1:28" s="242" customFormat="1">
      <c r="A68" s="295" t="s">
        <v>476</v>
      </c>
      <c r="B68" s="295"/>
      <c r="C68" s="287">
        <f t="shared" ref="C68" si="56">G68*F68*7.85/1000</f>
        <v>1.02207</v>
      </c>
      <c r="D68" s="287">
        <f t="shared" ref="D68" si="57">G68*2/1000</f>
        <v>0.186</v>
      </c>
      <c r="E68" s="287">
        <f>VLOOKUP(X68,材料信息更新!$B:$C,2,0)</f>
        <v>4.08</v>
      </c>
      <c r="F68" s="288">
        <v>1.4</v>
      </c>
      <c r="G68" s="289">
        <v>93</v>
      </c>
      <c r="H68" s="289">
        <v>93</v>
      </c>
      <c r="I68" s="289"/>
      <c r="J68" s="281">
        <f>VLOOKUP(W68,材料信息更新!$B:$C,2,0)</f>
        <v>3.69</v>
      </c>
      <c r="K68" s="282">
        <f>Sheet1!$A$3*0.11</f>
        <v>0.11</v>
      </c>
      <c r="L68" s="281">
        <v>9</v>
      </c>
      <c r="M68" s="293" t="s">
        <v>834</v>
      </c>
      <c r="N68" s="281">
        <v>0.09</v>
      </c>
      <c r="O68" s="293" t="s">
        <v>834</v>
      </c>
      <c r="P68" s="281"/>
      <c r="Q68" s="284" t="s">
        <v>714</v>
      </c>
      <c r="R68" s="284">
        <v>1</v>
      </c>
      <c r="S68" s="70" t="s">
        <v>893</v>
      </c>
      <c r="T68" s="242">
        <v>1</v>
      </c>
      <c r="W68" s="188" t="s">
        <v>894</v>
      </c>
      <c r="X68" s="194" t="s">
        <v>895</v>
      </c>
      <c r="AB68" s="242" t="str">
        <f>"24*40*"&amp;F68&amp;" mm,"</f>
        <v>24*40*1.4 mm,</v>
      </c>
    </row>
    <row r="69" spans="1:28" s="242" customFormat="1">
      <c r="A69" s="295" t="s">
        <v>898</v>
      </c>
      <c r="B69" s="295"/>
      <c r="C69" s="287">
        <f t="shared" si="54"/>
        <v>1.095075</v>
      </c>
      <c r="D69" s="287">
        <f t="shared" si="55"/>
        <v>0.186</v>
      </c>
      <c r="E69" s="287">
        <f>VLOOKUP(X69,材料信息更新!$B:$C,2,0)</f>
        <v>4.07</v>
      </c>
      <c r="F69" s="288">
        <v>1.5</v>
      </c>
      <c r="G69" s="289">
        <v>93</v>
      </c>
      <c r="H69" s="289">
        <v>93</v>
      </c>
      <c r="I69" s="289"/>
      <c r="J69" s="281">
        <f>VLOOKUP(W69,材料信息更新!$B:$C,2,0)</f>
        <v>3.69</v>
      </c>
      <c r="K69" s="282">
        <f>Sheet1!$A$3*0.11</f>
        <v>0.11</v>
      </c>
      <c r="L69" s="281">
        <v>9</v>
      </c>
      <c r="M69" s="293" t="s">
        <v>834</v>
      </c>
      <c r="N69" s="281">
        <v>0.09</v>
      </c>
      <c r="O69" s="293" t="s">
        <v>834</v>
      </c>
      <c r="P69" s="281"/>
      <c r="Q69" s="284" t="s">
        <v>714</v>
      </c>
      <c r="R69" s="284">
        <v>1</v>
      </c>
      <c r="S69" s="70" t="s">
        <v>893</v>
      </c>
      <c r="T69" s="242">
        <v>1</v>
      </c>
      <c r="W69" s="188" t="s">
        <v>817</v>
      </c>
      <c r="X69" s="194" t="s">
        <v>818</v>
      </c>
      <c r="AB69" s="242" t="str">
        <f>"24*40*"&amp;F69&amp;" mm,"</f>
        <v>24*40*1.5 mm,</v>
      </c>
    </row>
    <row r="70" spans="1:28" s="242" customFormat="1">
      <c r="A70" s="295" t="s">
        <v>899</v>
      </c>
      <c r="B70" s="295"/>
      <c r="C70" s="287">
        <f t="shared" ref="C70" si="58">G70*F70*7.85/1000</f>
        <v>1.31409</v>
      </c>
      <c r="D70" s="287">
        <f t="shared" ref="D70" si="59">G70*2/1000</f>
        <v>0.186</v>
      </c>
      <c r="E70" s="287">
        <f>VLOOKUP(X70,材料信息更新!$B:$C,2,0)</f>
        <v>3.99</v>
      </c>
      <c r="F70" s="288">
        <v>1.8</v>
      </c>
      <c r="G70" s="289">
        <v>93</v>
      </c>
      <c r="H70" s="289">
        <v>93</v>
      </c>
      <c r="I70" s="289"/>
      <c r="J70" s="281">
        <f>VLOOKUP(W70,材料信息更新!$B:$C,2,0)</f>
        <v>3.67</v>
      </c>
      <c r="K70" s="282">
        <f>Sheet1!$A$3*0.11</f>
        <v>0.11</v>
      </c>
      <c r="L70" s="281">
        <v>9</v>
      </c>
      <c r="M70" s="293" t="s">
        <v>834</v>
      </c>
      <c r="N70" s="281">
        <v>0.09</v>
      </c>
      <c r="O70" s="293" t="s">
        <v>834</v>
      </c>
      <c r="P70" s="281"/>
      <c r="Q70" s="284" t="s">
        <v>714</v>
      </c>
      <c r="R70" s="284">
        <v>1</v>
      </c>
      <c r="S70" s="70" t="s">
        <v>893</v>
      </c>
      <c r="T70" s="242">
        <v>1</v>
      </c>
      <c r="W70" s="188" t="s">
        <v>820</v>
      </c>
      <c r="X70" s="194" t="s">
        <v>821</v>
      </c>
      <c r="AB70" s="242" t="str">
        <f>"24*40*"&amp;F70&amp;" mm,"</f>
        <v>24*40*1.8 mm,</v>
      </c>
    </row>
    <row r="71" spans="1:28" s="242" customFormat="1">
      <c r="A71" s="295" t="s">
        <v>900</v>
      </c>
      <c r="B71" s="295"/>
      <c r="C71" s="287">
        <f t="shared" si="54"/>
        <v>0.96084000000000003</v>
      </c>
      <c r="D71" s="287">
        <f t="shared" si="55"/>
        <v>0.20399999999999999</v>
      </c>
      <c r="E71" s="287">
        <f>VLOOKUP(X71,材料信息更新!$B:$C,2,0)</f>
        <v>4.21</v>
      </c>
      <c r="F71" s="288">
        <v>1.2</v>
      </c>
      <c r="G71" s="289">
        <v>102</v>
      </c>
      <c r="H71" s="289">
        <v>102</v>
      </c>
      <c r="I71" s="289"/>
      <c r="J71" s="281">
        <f>VLOOKUP(W71,材料信息更新!$B:$C,2,0)</f>
        <v>3.74</v>
      </c>
      <c r="K71" s="282">
        <f>Sheet1!$A$3*0.11</f>
        <v>0.11</v>
      </c>
      <c r="L71" s="281">
        <v>9</v>
      </c>
      <c r="M71" s="293" t="s">
        <v>834</v>
      </c>
      <c r="N71" s="281">
        <v>0.09</v>
      </c>
      <c r="O71" s="293" t="s">
        <v>834</v>
      </c>
      <c r="P71" s="281"/>
      <c r="Q71" s="284" t="s">
        <v>901</v>
      </c>
      <c r="R71" s="284">
        <v>1</v>
      </c>
      <c r="S71" s="70" t="s">
        <v>902</v>
      </c>
      <c r="T71" s="242">
        <v>1</v>
      </c>
      <c r="W71" s="188" t="s">
        <v>896</v>
      </c>
      <c r="X71" s="188" t="s">
        <v>897</v>
      </c>
      <c r="AB71" s="242" t="str">
        <f>"30*40*"&amp;F71&amp;" mm,"</f>
        <v>30*40*1.2 mm,</v>
      </c>
    </row>
    <row r="72" spans="1:28" s="242" customFormat="1">
      <c r="A72" s="295" t="s">
        <v>903</v>
      </c>
      <c r="B72" s="295"/>
      <c r="C72" s="287">
        <f t="shared" si="54"/>
        <v>1.1209800000000001</v>
      </c>
      <c r="D72" s="287">
        <f t="shared" si="55"/>
        <v>0.20399999999999999</v>
      </c>
      <c r="E72" s="287">
        <f>VLOOKUP(X72,材料信息更新!$B:$C,2,0)</f>
        <v>4.08</v>
      </c>
      <c r="F72" s="288">
        <v>1.4</v>
      </c>
      <c r="G72" s="289">
        <v>102</v>
      </c>
      <c r="H72" s="289">
        <v>102</v>
      </c>
      <c r="I72" s="289"/>
      <c r="J72" s="281">
        <f>VLOOKUP(W72,材料信息更新!$B:$C,2,0)</f>
        <v>3.69</v>
      </c>
      <c r="K72" s="282">
        <f>Sheet1!$A$3*0.11</f>
        <v>0.11</v>
      </c>
      <c r="L72" s="281">
        <v>9</v>
      </c>
      <c r="M72" s="293" t="s">
        <v>834</v>
      </c>
      <c r="N72" s="281">
        <v>0.09</v>
      </c>
      <c r="O72" s="293" t="s">
        <v>834</v>
      </c>
      <c r="P72" s="281"/>
      <c r="Q72" s="284" t="s">
        <v>901</v>
      </c>
      <c r="R72" s="284">
        <v>1</v>
      </c>
      <c r="S72" s="70" t="s">
        <v>902</v>
      </c>
      <c r="T72" s="242">
        <v>1</v>
      </c>
      <c r="W72" s="188" t="s">
        <v>894</v>
      </c>
      <c r="X72" s="194" t="s">
        <v>895</v>
      </c>
      <c r="AB72" s="242" t="str">
        <f>"30*40*"&amp;F72&amp;" mm,"</f>
        <v>30*40*1.4 mm,</v>
      </c>
    </row>
    <row r="73" spans="1:28" s="242" customFormat="1">
      <c r="A73" s="295" t="s">
        <v>904</v>
      </c>
      <c r="B73" s="295"/>
      <c r="C73" s="287">
        <f t="shared" si="54"/>
        <v>1.20105</v>
      </c>
      <c r="D73" s="287">
        <f t="shared" si="55"/>
        <v>0.20399999999999999</v>
      </c>
      <c r="E73" s="287">
        <f>VLOOKUP(X73,材料信息更新!$B:$C,2,0)</f>
        <v>4.07</v>
      </c>
      <c r="F73" s="288">
        <v>1.5</v>
      </c>
      <c r="G73" s="289">
        <v>102</v>
      </c>
      <c r="H73" s="289">
        <v>102</v>
      </c>
      <c r="I73" s="289"/>
      <c r="J73" s="281">
        <f>VLOOKUP(W73,材料信息更新!$B:$C,2,0)</f>
        <v>3.69</v>
      </c>
      <c r="K73" s="282">
        <f>Sheet1!$A$3*0.11</f>
        <v>0.11</v>
      </c>
      <c r="L73" s="281">
        <v>9</v>
      </c>
      <c r="M73" s="293" t="s">
        <v>834</v>
      </c>
      <c r="N73" s="281">
        <v>0.09</v>
      </c>
      <c r="O73" s="293" t="s">
        <v>834</v>
      </c>
      <c r="P73" s="281"/>
      <c r="Q73" s="284" t="s">
        <v>901</v>
      </c>
      <c r="R73" s="284">
        <v>1</v>
      </c>
      <c r="S73" s="70" t="s">
        <v>902</v>
      </c>
      <c r="T73" s="242">
        <v>1</v>
      </c>
      <c r="W73" s="188" t="s">
        <v>817</v>
      </c>
      <c r="X73" s="194" t="s">
        <v>818</v>
      </c>
      <c r="AB73" s="242" t="str">
        <f>"30*40*"&amp;F73&amp;" mm,"</f>
        <v>30*40*1.5 mm,</v>
      </c>
    </row>
    <row r="74" spans="1:28" s="242" customFormat="1">
      <c r="A74" s="295" t="s">
        <v>905</v>
      </c>
      <c r="B74" s="295"/>
      <c r="C74" s="287">
        <f t="shared" ref="C74" si="60">G74*F74*7.85/1000</f>
        <v>1.44126</v>
      </c>
      <c r="D74" s="287">
        <f t="shared" ref="D74" si="61">G74*2/1000</f>
        <v>0.20399999999999999</v>
      </c>
      <c r="E74" s="287">
        <f>VLOOKUP(X74,材料信息更新!$B:$C,2,0)</f>
        <v>3.99</v>
      </c>
      <c r="F74" s="288">
        <v>1.8</v>
      </c>
      <c r="G74" s="289">
        <v>102</v>
      </c>
      <c r="H74" s="289">
        <v>102</v>
      </c>
      <c r="I74" s="289"/>
      <c r="J74" s="281">
        <f>VLOOKUP(W74,材料信息更新!$B:$C,2,0)</f>
        <v>3.67</v>
      </c>
      <c r="K74" s="282">
        <f>Sheet1!$A$3*0.11</f>
        <v>0.11</v>
      </c>
      <c r="L74" s="281">
        <v>9</v>
      </c>
      <c r="M74" s="293" t="s">
        <v>834</v>
      </c>
      <c r="N74" s="281">
        <v>0.09</v>
      </c>
      <c r="O74" s="293" t="s">
        <v>834</v>
      </c>
      <c r="P74" s="281"/>
      <c r="Q74" s="284" t="s">
        <v>901</v>
      </c>
      <c r="R74" s="284">
        <v>1</v>
      </c>
      <c r="S74" s="70" t="s">
        <v>902</v>
      </c>
      <c r="T74" s="242">
        <v>1</v>
      </c>
      <c r="W74" s="188" t="s">
        <v>820</v>
      </c>
      <c r="X74" s="194" t="s">
        <v>821</v>
      </c>
      <c r="AB74" s="242" t="str">
        <f>"30*40*"&amp;F74&amp;" mm,"</f>
        <v>30*40*1.8 mm,</v>
      </c>
    </row>
    <row r="75" spans="1:28" s="242" customFormat="1">
      <c r="A75" s="286" t="s">
        <v>906</v>
      </c>
      <c r="B75" s="286"/>
      <c r="C75" s="287">
        <f t="shared" si="54"/>
        <v>1.36276</v>
      </c>
      <c r="D75" s="287">
        <f t="shared" si="55"/>
        <v>0.248</v>
      </c>
      <c r="E75" s="287">
        <f>VLOOKUP(X75,材料信息更新!$B:$C,2,0)</f>
        <v>4.08</v>
      </c>
      <c r="F75" s="288">
        <v>1.4</v>
      </c>
      <c r="G75" s="289">
        <v>124</v>
      </c>
      <c r="H75" s="289">
        <v>124</v>
      </c>
      <c r="I75" s="289"/>
      <c r="J75" s="281">
        <f>VLOOKUP(W75,材料信息更新!$B:$C,2,0)</f>
        <v>3.69</v>
      </c>
      <c r="K75" s="282">
        <f>Sheet1!$A$3*0.11</f>
        <v>0.11</v>
      </c>
      <c r="L75" s="281">
        <v>9</v>
      </c>
      <c r="M75" s="293" t="s">
        <v>834</v>
      </c>
      <c r="N75" s="281">
        <v>0.09</v>
      </c>
      <c r="O75" s="293" t="s">
        <v>834</v>
      </c>
      <c r="P75" s="281"/>
      <c r="Q75" s="284" t="s">
        <v>907</v>
      </c>
      <c r="R75" s="284">
        <v>1</v>
      </c>
      <c r="S75" s="70" t="s">
        <v>908</v>
      </c>
      <c r="T75" s="242">
        <v>1</v>
      </c>
      <c r="W75" s="188" t="s">
        <v>894</v>
      </c>
      <c r="X75" s="194" t="s">
        <v>895</v>
      </c>
      <c r="AB75" s="242" t="str">
        <f>"40*40*"&amp;F75&amp;" mm,"</f>
        <v>40*40*1.4 mm,</v>
      </c>
    </row>
    <row r="76" spans="1:28" s="242" customFormat="1">
      <c r="A76" s="286" t="s">
        <v>909</v>
      </c>
      <c r="B76" s="286"/>
      <c r="C76" s="287">
        <f t="shared" ref="C76" si="62">G76*F76*7.85/1000</f>
        <v>1.4601</v>
      </c>
      <c r="D76" s="287">
        <f t="shared" ref="D76" si="63">G76*2/1000</f>
        <v>0.248</v>
      </c>
      <c r="E76" s="287">
        <f>VLOOKUP(X76,材料信息更新!$B:$C,2,0)</f>
        <v>4.07</v>
      </c>
      <c r="F76" s="288">
        <v>1.5</v>
      </c>
      <c r="G76" s="289">
        <v>124</v>
      </c>
      <c r="H76" s="289">
        <v>124</v>
      </c>
      <c r="I76" s="289"/>
      <c r="J76" s="281">
        <f>VLOOKUP(W76,材料信息更新!$B:$C,2,0)</f>
        <v>3.69</v>
      </c>
      <c r="K76" s="282">
        <f>Sheet1!$A$3*0.11</f>
        <v>0.11</v>
      </c>
      <c r="L76" s="281">
        <v>9</v>
      </c>
      <c r="M76" s="293" t="s">
        <v>834</v>
      </c>
      <c r="N76" s="281">
        <v>0.09</v>
      </c>
      <c r="O76" s="293" t="s">
        <v>834</v>
      </c>
      <c r="P76" s="281"/>
      <c r="Q76" s="284" t="s">
        <v>907</v>
      </c>
      <c r="R76" s="284">
        <v>1</v>
      </c>
      <c r="S76" s="70" t="s">
        <v>908</v>
      </c>
      <c r="T76" s="242">
        <v>1</v>
      </c>
      <c r="W76" s="188" t="s">
        <v>817</v>
      </c>
      <c r="X76" s="194" t="s">
        <v>818</v>
      </c>
      <c r="AB76" s="242" t="str">
        <f>"40*40*"&amp;F76&amp;" mm,"</f>
        <v>40*40*1.5 mm,</v>
      </c>
    </row>
    <row r="77" spans="1:28" s="242" customFormat="1">
      <c r="A77" s="286" t="s">
        <v>910</v>
      </c>
      <c r="B77" s="286"/>
      <c r="C77" s="287">
        <f t="shared" si="54"/>
        <v>1.16808</v>
      </c>
      <c r="D77" s="287">
        <f t="shared" si="55"/>
        <v>0.248</v>
      </c>
      <c r="E77" s="287">
        <f>VLOOKUP(X77,材料信息更新!$B:$C,2,0)</f>
        <v>4.21</v>
      </c>
      <c r="F77" s="288">
        <v>1.2</v>
      </c>
      <c r="G77" s="289">
        <v>124</v>
      </c>
      <c r="H77" s="289">
        <v>124</v>
      </c>
      <c r="I77" s="289"/>
      <c r="J77" s="281">
        <f>VLOOKUP(W77,材料信息更新!$B:$C,2,0)</f>
        <v>3.74</v>
      </c>
      <c r="K77" s="282">
        <f>Sheet1!$A$3*0.11</f>
        <v>0.11</v>
      </c>
      <c r="L77" s="281">
        <v>9</v>
      </c>
      <c r="M77" s="293" t="s">
        <v>834</v>
      </c>
      <c r="N77" s="281">
        <v>0.09</v>
      </c>
      <c r="O77" s="293" t="s">
        <v>834</v>
      </c>
      <c r="P77" s="281"/>
      <c r="Q77" s="284" t="s">
        <v>907</v>
      </c>
      <c r="R77" s="284">
        <v>1</v>
      </c>
      <c r="S77" s="70" t="s">
        <v>908</v>
      </c>
      <c r="T77" s="242">
        <v>1</v>
      </c>
      <c r="W77" s="188" t="s">
        <v>896</v>
      </c>
      <c r="X77" s="188" t="s">
        <v>897</v>
      </c>
      <c r="AB77" s="242" t="str">
        <f>"40*40*"&amp;F77&amp;" mm,"</f>
        <v>40*40*1.2 mm,</v>
      </c>
    </row>
    <row r="78" spans="1:28" s="242" customFormat="1">
      <c r="A78" s="286" t="s">
        <v>911</v>
      </c>
      <c r="B78" s="286"/>
      <c r="C78" s="287">
        <f t="shared" si="54"/>
        <v>0.63114000000000003</v>
      </c>
      <c r="D78" s="287">
        <f t="shared" si="55"/>
        <v>0.13400000000000001</v>
      </c>
      <c r="E78" s="287">
        <f>VLOOKUP(X78,材料信息更新!$B:$C,2,0)</f>
        <v>4.21</v>
      </c>
      <c r="F78" s="288">
        <v>1.2</v>
      </c>
      <c r="G78" s="289">
        <v>67</v>
      </c>
      <c r="H78" s="289">
        <v>67</v>
      </c>
      <c r="I78" s="289"/>
      <c r="J78" s="281">
        <f>VLOOKUP(W78,材料信息更新!$B:$C,2,0)</f>
        <v>3.74</v>
      </c>
      <c r="K78" s="282">
        <f>Sheet1!$A$3*0.1</f>
        <v>0.1</v>
      </c>
      <c r="L78" s="281">
        <v>9</v>
      </c>
      <c r="M78" s="293" t="s">
        <v>834</v>
      </c>
      <c r="N78" s="281">
        <v>0.09</v>
      </c>
      <c r="O78" s="293" t="s">
        <v>834</v>
      </c>
      <c r="P78" s="281"/>
      <c r="Q78" s="284" t="s">
        <v>912</v>
      </c>
      <c r="R78" s="284">
        <v>1</v>
      </c>
      <c r="S78" s="70" t="s">
        <v>913</v>
      </c>
      <c r="T78" s="242">
        <v>1</v>
      </c>
      <c r="W78" s="188" t="s">
        <v>896</v>
      </c>
      <c r="X78" s="188" t="s">
        <v>897</v>
      </c>
      <c r="AB78" s="242" t="str">
        <f>"18*30*"&amp;F78&amp;" mm,"</f>
        <v>18*30*1.2 mm,</v>
      </c>
    </row>
    <row r="79" spans="1:28" s="242" customFormat="1">
      <c r="A79" s="286" t="s">
        <v>914</v>
      </c>
      <c r="B79" s="286"/>
      <c r="C79" s="287">
        <f t="shared" si="54"/>
        <v>0.68373499999999998</v>
      </c>
      <c r="D79" s="287">
        <f t="shared" si="55"/>
        <v>0.13400000000000001</v>
      </c>
      <c r="E79" s="287"/>
      <c r="F79" s="288">
        <v>1.3</v>
      </c>
      <c r="G79" s="289">
        <v>67</v>
      </c>
      <c r="H79" s="289">
        <v>67</v>
      </c>
      <c r="I79" s="289"/>
      <c r="J79" s="281">
        <f>VLOOKUP(W79,材料信息更新!$B:$C,2,0)</f>
        <v>0</v>
      </c>
      <c r="K79" s="282">
        <f>Sheet1!$A$3*0.1</f>
        <v>0.1</v>
      </c>
      <c r="L79" s="281">
        <v>9</v>
      </c>
      <c r="M79" s="293" t="s">
        <v>834</v>
      </c>
      <c r="N79" s="281">
        <v>0.09</v>
      </c>
      <c r="O79" s="293" t="s">
        <v>834</v>
      </c>
      <c r="P79" s="281"/>
      <c r="Q79" s="284" t="s">
        <v>912</v>
      </c>
      <c r="R79" s="284">
        <v>1</v>
      </c>
      <c r="S79" s="70" t="s">
        <v>913</v>
      </c>
      <c r="T79" s="242">
        <v>1</v>
      </c>
      <c r="W79" s="188" t="s">
        <v>915</v>
      </c>
      <c r="X79" s="188"/>
      <c r="AB79" s="242" t="str">
        <f>"18*30*"&amp;F79&amp;" mm,"</f>
        <v>18*30*1.3 mm,</v>
      </c>
    </row>
    <row r="80" spans="1:28" s="242" customFormat="1">
      <c r="A80" s="286" t="s">
        <v>916</v>
      </c>
      <c r="B80" s="286"/>
      <c r="C80" s="287">
        <f t="shared" si="54"/>
        <v>0.83681000000000005</v>
      </c>
      <c r="D80" s="287">
        <f t="shared" si="55"/>
        <v>0.16400000000000001</v>
      </c>
      <c r="E80" s="287"/>
      <c r="F80" s="288">
        <v>1.3</v>
      </c>
      <c r="G80" s="289">
        <v>82</v>
      </c>
      <c r="H80" s="289">
        <v>82</v>
      </c>
      <c r="I80" s="289"/>
      <c r="J80" s="281">
        <f>VLOOKUP(W80,材料信息更新!$B:$C,2,0)</f>
        <v>0</v>
      </c>
      <c r="K80" s="282">
        <f>Sheet1!$A$3*0.1</f>
        <v>0.1</v>
      </c>
      <c r="L80" s="281">
        <v>9</v>
      </c>
      <c r="M80" s="293" t="s">
        <v>834</v>
      </c>
      <c r="N80" s="281">
        <v>0.09</v>
      </c>
      <c r="O80" s="293" t="s">
        <v>834</v>
      </c>
      <c r="P80" s="281"/>
      <c r="Q80" s="284" t="s">
        <v>917</v>
      </c>
      <c r="R80" s="284">
        <v>1</v>
      </c>
      <c r="S80" s="70"/>
      <c r="W80" s="188" t="s">
        <v>915</v>
      </c>
      <c r="X80" s="188"/>
      <c r="AB80" s="242" t="str">
        <f>"25*30*"&amp;F80&amp;" mm,"</f>
        <v>25*30*1.3 mm,</v>
      </c>
    </row>
    <row r="81" spans="1:30" s="242" customFormat="1">
      <c r="A81" s="286" t="s">
        <v>918</v>
      </c>
      <c r="B81" s="286"/>
      <c r="C81" s="287">
        <f t="shared" si="54"/>
        <v>0.63114000000000003</v>
      </c>
      <c r="D81" s="287">
        <f t="shared" si="55"/>
        <v>0.13400000000000001</v>
      </c>
      <c r="E81" s="287">
        <f>VLOOKUP(X81,材料信息更新!$B:$C,2,0)</f>
        <v>4.21</v>
      </c>
      <c r="F81" s="288">
        <v>1.2</v>
      </c>
      <c r="G81" s="289">
        <v>67</v>
      </c>
      <c r="H81" s="289">
        <v>67</v>
      </c>
      <c r="I81" s="289"/>
      <c r="J81" s="281">
        <f>VLOOKUP(W81,材料信息更新!$B:$C,2,0)</f>
        <v>3.74</v>
      </c>
      <c r="K81" s="282">
        <f>Sheet1!$A$3*0.1</f>
        <v>0.1</v>
      </c>
      <c r="L81" s="281">
        <v>9</v>
      </c>
      <c r="M81" s="293" t="s">
        <v>834</v>
      </c>
      <c r="N81" s="281">
        <v>0.09</v>
      </c>
      <c r="O81" s="293" t="s">
        <v>834</v>
      </c>
      <c r="P81" s="281"/>
      <c r="Q81" s="284" t="s">
        <v>919</v>
      </c>
      <c r="R81" s="284">
        <v>1</v>
      </c>
      <c r="S81" s="70" t="s">
        <v>913</v>
      </c>
      <c r="T81" s="242">
        <v>1</v>
      </c>
      <c r="W81" s="188" t="s">
        <v>896</v>
      </c>
      <c r="X81" s="188" t="s">
        <v>897</v>
      </c>
      <c r="AB81" s="242" t="str">
        <f>"18*30*"&amp;F81&amp;" mm,"</f>
        <v>18*30*1.2 mm,</v>
      </c>
    </row>
    <row r="82" spans="1:30" s="242" customFormat="1">
      <c r="A82" s="286"/>
      <c r="B82" s="286"/>
      <c r="C82" s="287"/>
      <c r="D82" s="287"/>
      <c r="E82" s="287"/>
      <c r="F82" s="288"/>
      <c r="G82" s="289"/>
      <c r="H82" s="289"/>
      <c r="I82" s="289"/>
      <c r="J82" s="281"/>
      <c r="K82" s="282"/>
      <c r="L82" s="281"/>
      <c r="M82" s="281"/>
      <c r="N82" s="281"/>
      <c r="O82" s="281"/>
      <c r="P82" s="281"/>
      <c r="Q82" s="284"/>
      <c r="R82" s="284"/>
      <c r="S82" s="70"/>
      <c r="W82" s="247"/>
      <c r="X82" s="247"/>
    </row>
    <row r="83" spans="1:30" s="242" customFormat="1">
      <c r="A83" s="286"/>
      <c r="B83" s="286"/>
      <c r="C83" s="287"/>
      <c r="D83" s="287"/>
      <c r="E83" s="287"/>
      <c r="F83" s="288"/>
      <c r="G83" s="289"/>
      <c r="H83" s="289"/>
      <c r="I83" s="289"/>
      <c r="J83" s="281"/>
      <c r="K83" s="282"/>
      <c r="L83" s="281"/>
      <c r="M83" s="281"/>
      <c r="N83" s="281"/>
      <c r="O83" s="281"/>
      <c r="P83" s="281"/>
      <c r="Q83" s="284"/>
      <c r="R83" s="284"/>
      <c r="S83" s="70"/>
      <c r="W83" s="247"/>
      <c r="X83" s="247"/>
    </row>
    <row r="84" spans="1:30" s="242" customFormat="1">
      <c r="A84" s="286"/>
      <c r="B84" s="286"/>
      <c r="C84" s="287"/>
      <c r="D84" s="287"/>
      <c r="E84" s="287"/>
      <c r="F84" s="288"/>
      <c r="G84" s="289"/>
      <c r="H84" s="289"/>
      <c r="I84" s="289"/>
      <c r="J84" s="281"/>
      <c r="K84" s="282"/>
      <c r="L84" s="281"/>
      <c r="M84" s="281"/>
      <c r="N84" s="281"/>
      <c r="O84" s="281"/>
      <c r="P84" s="281"/>
      <c r="Q84" s="284"/>
      <c r="R84" s="284"/>
      <c r="S84" s="70"/>
      <c r="W84" s="247"/>
      <c r="X84" s="247"/>
    </row>
    <row r="85" spans="1:30" s="242" customFormat="1">
      <c r="A85" s="286"/>
      <c r="B85" s="286"/>
      <c r="C85" s="287"/>
      <c r="D85" s="287"/>
      <c r="E85" s="287"/>
      <c r="F85" s="288"/>
      <c r="G85" s="289"/>
      <c r="H85" s="289"/>
      <c r="I85" s="289"/>
      <c r="J85" s="281"/>
      <c r="K85" s="282"/>
      <c r="L85" s="281"/>
      <c r="M85" s="281"/>
      <c r="N85" s="281"/>
      <c r="O85" s="281"/>
      <c r="P85" s="281"/>
      <c r="Q85" s="284"/>
      <c r="R85" s="284"/>
      <c r="S85" s="70"/>
      <c r="W85" s="247"/>
      <c r="X85" s="247"/>
    </row>
    <row r="86" spans="1:30" s="242" customFormat="1">
      <c r="A86" s="286"/>
      <c r="B86" s="286"/>
      <c r="C86" s="287"/>
      <c r="D86" s="287"/>
      <c r="E86" s="287"/>
      <c r="F86" s="288"/>
      <c r="G86" s="289"/>
      <c r="H86" s="289"/>
      <c r="I86" s="289"/>
      <c r="J86" s="281"/>
      <c r="K86" s="282"/>
      <c r="L86" s="281"/>
      <c r="M86" s="281"/>
      <c r="N86" s="281"/>
      <c r="O86" s="281"/>
      <c r="P86" s="281"/>
      <c r="Q86" s="284"/>
      <c r="R86" s="284"/>
      <c r="S86" s="70"/>
      <c r="W86" s="247"/>
      <c r="X86" s="247"/>
    </row>
    <row r="87" spans="1:30" s="242" customFormat="1">
      <c r="A87" s="286"/>
      <c r="B87" s="286"/>
      <c r="C87" s="287"/>
      <c r="D87" s="287"/>
      <c r="E87" s="287"/>
      <c r="F87" s="288"/>
      <c r="G87" s="289"/>
      <c r="H87" s="289"/>
      <c r="I87" s="289"/>
      <c r="J87" s="281"/>
      <c r="K87" s="282"/>
      <c r="L87" s="281"/>
      <c r="M87" s="281"/>
      <c r="N87" s="281"/>
      <c r="O87" s="281"/>
      <c r="P87" s="281"/>
      <c r="Q87" s="284"/>
      <c r="R87" s="284"/>
      <c r="S87" s="70"/>
      <c r="W87" s="247"/>
      <c r="X87" s="247"/>
    </row>
    <row r="88" spans="1:30" s="242" customFormat="1">
      <c r="A88" s="277" t="s">
        <v>920</v>
      </c>
      <c r="B88" s="277"/>
      <c r="C88" s="278"/>
      <c r="D88" s="278"/>
      <c r="E88" s="278"/>
      <c r="F88" s="279"/>
      <c r="G88" s="280"/>
      <c r="H88" s="280"/>
      <c r="I88" s="280"/>
      <c r="J88" s="281"/>
      <c r="K88" s="282"/>
      <c r="L88" s="281"/>
      <c r="M88" s="281"/>
      <c r="N88" s="281"/>
      <c r="O88" s="281"/>
      <c r="P88" s="281"/>
      <c r="Q88" s="284"/>
      <c r="R88" s="281" t="s">
        <v>921</v>
      </c>
      <c r="S88" s="70"/>
    </row>
    <row r="89" spans="1:30" s="242" customFormat="1">
      <c r="A89" s="286" t="s">
        <v>381</v>
      </c>
      <c r="B89" s="286"/>
      <c r="C89" s="287">
        <f t="shared" ref="C89:C107" si="64">G89*F89*7.85/1000*2</f>
        <v>4.3096500000000004</v>
      </c>
      <c r="D89" s="287">
        <f t="shared" ref="D89:D107" si="65">(H89+I89)*2/1000</f>
        <v>0.26</v>
      </c>
      <c r="E89" s="278"/>
      <c r="F89" s="288">
        <v>1.5</v>
      </c>
      <c r="G89" s="289">
        <v>183</v>
      </c>
      <c r="H89" s="289">
        <v>80</v>
      </c>
      <c r="I89" s="289">
        <v>50</v>
      </c>
      <c r="J89" s="281">
        <f>VLOOKUP(W89,材料信息更新!$B:$C,2,0)</f>
        <v>3.69</v>
      </c>
      <c r="K89" s="282">
        <f>Sheet1!$A$3*2.6</f>
        <v>2.6</v>
      </c>
      <c r="L89" s="281">
        <v>9.1999999999999993</v>
      </c>
      <c r="M89" s="293" t="s">
        <v>834</v>
      </c>
      <c r="N89" s="281"/>
      <c r="O89" s="293" t="s">
        <v>834</v>
      </c>
      <c r="P89" s="281"/>
      <c r="Q89" s="284"/>
      <c r="R89" s="296">
        <v>60</v>
      </c>
      <c r="S89" s="70"/>
      <c r="W89" s="188" t="s">
        <v>817</v>
      </c>
      <c r="AB89" s="242" t="str">
        <f t="shared" ref="AB89:AB107" si="66">"B"&amp;H89&amp;"*"&amp;I89&amp;"*"&amp;F89&amp;" mm,"</f>
        <v>B80*50*1.5 mm,</v>
      </c>
      <c r="AC89" s="290">
        <f t="shared" ref="AC89:AC107" si="67">J89+0.25</f>
        <v>3.94</v>
      </c>
      <c r="AD89" s="291"/>
    </row>
    <row r="90" spans="1:30" s="242" customFormat="1">
      <c r="A90" s="286" t="s">
        <v>922</v>
      </c>
      <c r="B90" s="286"/>
      <c r="C90" s="287">
        <f t="shared" si="64"/>
        <v>4.5451499999999996</v>
      </c>
      <c r="D90" s="287">
        <f t="shared" si="65"/>
        <v>0.28000000000000003</v>
      </c>
      <c r="E90" s="278"/>
      <c r="F90" s="288">
        <v>1.5</v>
      </c>
      <c r="G90" s="289">
        <v>193</v>
      </c>
      <c r="H90" s="289">
        <f>H89+10</f>
        <v>90</v>
      </c>
      <c r="I90" s="289">
        <v>50</v>
      </c>
      <c r="J90" s="281">
        <f>VLOOKUP(W90,材料信息更新!$B:$C,2,0)</f>
        <v>3.69</v>
      </c>
      <c r="K90" s="282">
        <f>Sheet1!$A$3*2.6</f>
        <v>2.6</v>
      </c>
      <c r="L90" s="281">
        <v>9.1999999999999993</v>
      </c>
      <c r="M90" s="293" t="s">
        <v>834</v>
      </c>
      <c r="N90" s="281"/>
      <c r="O90" s="293" t="s">
        <v>834</v>
      </c>
      <c r="P90" s="281"/>
      <c r="Q90" s="284"/>
      <c r="R90" s="296">
        <v>60</v>
      </c>
      <c r="S90" s="70"/>
      <c r="W90" s="188" t="s">
        <v>817</v>
      </c>
      <c r="AB90" s="242" t="str">
        <f t="shared" si="66"/>
        <v>B90*50*1.5 mm,</v>
      </c>
      <c r="AC90" s="290">
        <f t="shared" si="67"/>
        <v>3.94</v>
      </c>
      <c r="AD90" s="291"/>
    </row>
    <row r="91" spans="1:30" s="242" customFormat="1" ht="15" customHeight="1">
      <c r="A91" s="286" t="s">
        <v>923</v>
      </c>
      <c r="B91" s="297"/>
      <c r="C91" s="287">
        <f t="shared" si="64"/>
        <v>4.82775</v>
      </c>
      <c r="D91" s="287">
        <f t="shared" si="65"/>
        <v>0.3</v>
      </c>
      <c r="E91" s="278"/>
      <c r="F91" s="288">
        <v>1.5</v>
      </c>
      <c r="G91" s="289">
        <v>205</v>
      </c>
      <c r="H91" s="289">
        <f>H90+10</f>
        <v>100</v>
      </c>
      <c r="I91" s="289">
        <v>50</v>
      </c>
      <c r="J91" s="281">
        <f>VLOOKUP(W91,材料信息更新!$B:$C,2,0)</f>
        <v>3.69</v>
      </c>
      <c r="K91" s="282">
        <f>Sheet1!$A$3*2.6</f>
        <v>2.6</v>
      </c>
      <c r="L91" s="281">
        <v>9.1999999999999993</v>
      </c>
      <c r="M91" s="293" t="s">
        <v>834</v>
      </c>
      <c r="N91" s="281"/>
      <c r="O91" s="293" t="s">
        <v>834</v>
      </c>
      <c r="P91" s="281"/>
      <c r="Q91" s="284"/>
      <c r="R91" s="296">
        <v>60</v>
      </c>
      <c r="S91" s="70"/>
      <c r="W91" s="188" t="s">
        <v>817</v>
      </c>
      <c r="AB91" s="242" t="str">
        <f t="shared" si="66"/>
        <v>B100*50*1.5 mm,</v>
      </c>
      <c r="AC91" s="290">
        <f t="shared" si="67"/>
        <v>3.94</v>
      </c>
      <c r="AD91" s="291"/>
    </row>
    <row r="92" spans="1:30" s="242" customFormat="1">
      <c r="A92" s="286" t="s">
        <v>352</v>
      </c>
      <c r="B92" s="286"/>
      <c r="C92" s="287">
        <f t="shared" si="64"/>
        <v>5.06325</v>
      </c>
      <c r="D92" s="287">
        <f t="shared" si="65"/>
        <v>0.32</v>
      </c>
      <c r="E92" s="278"/>
      <c r="F92" s="288">
        <v>1.5</v>
      </c>
      <c r="G92" s="289">
        <v>215</v>
      </c>
      <c r="H92" s="289">
        <f t="shared" ref="H92:H96" si="68">H91+10</f>
        <v>110</v>
      </c>
      <c r="I92" s="289">
        <v>50</v>
      </c>
      <c r="J92" s="281">
        <f>VLOOKUP(W92,材料信息更新!$B:$C,2,0)</f>
        <v>3.69</v>
      </c>
      <c r="K92" s="282">
        <f>Sheet1!$A$3*2.6</f>
        <v>2.6</v>
      </c>
      <c r="L92" s="281">
        <v>9.1999999999999993</v>
      </c>
      <c r="M92" s="293" t="s">
        <v>834</v>
      </c>
      <c r="N92" s="281"/>
      <c r="O92" s="293" t="s">
        <v>834</v>
      </c>
      <c r="P92" s="281"/>
      <c r="Q92" s="284"/>
      <c r="R92" s="296">
        <v>60</v>
      </c>
      <c r="S92" s="70"/>
      <c r="W92" s="188" t="s">
        <v>817</v>
      </c>
      <c r="AB92" s="242" t="str">
        <f t="shared" si="66"/>
        <v>B110*50*1.5 mm,</v>
      </c>
      <c r="AC92" s="290">
        <f t="shared" si="67"/>
        <v>3.94</v>
      </c>
      <c r="AD92" s="291"/>
    </row>
    <row r="93" spans="1:30" s="242" customFormat="1" ht="13.9" customHeight="1">
      <c r="A93" s="286" t="s">
        <v>730</v>
      </c>
      <c r="B93" s="286">
        <f>5.252*2.7+1.2</f>
        <v>15.3804</v>
      </c>
      <c r="C93" s="287">
        <f t="shared" si="64"/>
        <v>5.2987500000000001</v>
      </c>
      <c r="D93" s="287">
        <f t="shared" si="65"/>
        <v>0.34</v>
      </c>
      <c r="E93" s="278"/>
      <c r="F93" s="288">
        <v>1.5</v>
      </c>
      <c r="G93" s="289">
        <v>225</v>
      </c>
      <c r="H93" s="289">
        <f t="shared" si="68"/>
        <v>120</v>
      </c>
      <c r="I93" s="289">
        <v>50</v>
      </c>
      <c r="J93" s="281">
        <f>VLOOKUP(W93,材料信息更新!$B:$C,2,0)</f>
        <v>3.69</v>
      </c>
      <c r="K93" s="282">
        <f>Sheet1!$A$3*2.6</f>
        <v>2.6</v>
      </c>
      <c r="L93" s="281">
        <v>9.1999999999999993</v>
      </c>
      <c r="M93" s="293" t="s">
        <v>834</v>
      </c>
      <c r="N93" s="281"/>
      <c r="O93" s="293" t="s">
        <v>834</v>
      </c>
      <c r="P93" s="281"/>
      <c r="Q93" s="284"/>
      <c r="R93" s="296">
        <v>60</v>
      </c>
      <c r="S93" s="70"/>
      <c r="W93" s="188" t="s">
        <v>817</v>
      </c>
      <c r="AB93" s="242" t="str">
        <f t="shared" si="66"/>
        <v>B120*50*1.5 mm,</v>
      </c>
      <c r="AC93" s="290">
        <f t="shared" si="67"/>
        <v>3.94</v>
      </c>
      <c r="AD93" s="291"/>
    </row>
    <row r="94" spans="1:30" s="242" customFormat="1" ht="15" customHeight="1">
      <c r="A94" s="286" t="s">
        <v>733</v>
      </c>
      <c r="B94" s="286"/>
      <c r="C94" s="287">
        <f t="shared" si="64"/>
        <v>5.5342500000000001</v>
      </c>
      <c r="D94" s="287">
        <f t="shared" si="65"/>
        <v>0.36</v>
      </c>
      <c r="E94" s="278"/>
      <c r="F94" s="288">
        <v>1.5</v>
      </c>
      <c r="G94" s="289">
        <v>235</v>
      </c>
      <c r="H94" s="289">
        <f t="shared" si="68"/>
        <v>130</v>
      </c>
      <c r="I94" s="289">
        <v>50</v>
      </c>
      <c r="J94" s="281">
        <f>VLOOKUP(W94,材料信息更新!$B:$C,2,0)</f>
        <v>3.69</v>
      </c>
      <c r="K94" s="282">
        <f>Sheet1!$A$3*3</f>
        <v>3</v>
      </c>
      <c r="L94" s="281">
        <v>9.1999999999999993</v>
      </c>
      <c r="M94" s="293" t="s">
        <v>834</v>
      </c>
      <c r="N94" s="281"/>
      <c r="O94" s="293" t="s">
        <v>834</v>
      </c>
      <c r="P94" s="281"/>
      <c r="Q94" s="284"/>
      <c r="R94" s="296">
        <v>60</v>
      </c>
      <c r="S94" s="70"/>
      <c r="W94" s="188" t="s">
        <v>817</v>
      </c>
      <c r="AB94" s="242" t="str">
        <f t="shared" si="66"/>
        <v>B130*50*1.5 mm,</v>
      </c>
      <c r="AC94" s="290">
        <f t="shared" si="67"/>
        <v>3.94</v>
      </c>
      <c r="AD94" s="291"/>
    </row>
    <row r="95" spans="1:30" s="242" customFormat="1">
      <c r="A95" s="286" t="s">
        <v>924</v>
      </c>
      <c r="B95" s="286"/>
      <c r="C95" s="287">
        <f t="shared" si="64"/>
        <v>5.7697500000000002</v>
      </c>
      <c r="D95" s="287">
        <f t="shared" si="65"/>
        <v>0.38</v>
      </c>
      <c r="E95" s="278"/>
      <c r="F95" s="288">
        <v>1.5</v>
      </c>
      <c r="G95" s="289">
        <v>245</v>
      </c>
      <c r="H95" s="289">
        <f t="shared" si="68"/>
        <v>140</v>
      </c>
      <c r="I95" s="289">
        <v>50</v>
      </c>
      <c r="J95" s="281">
        <f>VLOOKUP(W95,材料信息更新!$B:$C,2,0)</f>
        <v>3.69</v>
      </c>
      <c r="K95" s="282">
        <f>Sheet1!$A$3*3</f>
        <v>3</v>
      </c>
      <c r="L95" s="281">
        <v>9.1999999999999993</v>
      </c>
      <c r="M95" s="293" t="s">
        <v>834</v>
      </c>
      <c r="N95" s="281"/>
      <c r="O95" s="293" t="s">
        <v>834</v>
      </c>
      <c r="P95" s="281"/>
      <c r="Q95" s="284"/>
      <c r="R95" s="296">
        <v>60</v>
      </c>
      <c r="S95" s="70"/>
      <c r="W95" s="188" t="s">
        <v>817</v>
      </c>
      <c r="AB95" s="242" t="str">
        <f t="shared" si="66"/>
        <v>B140*50*1.5 mm,</v>
      </c>
      <c r="AC95" s="290">
        <f t="shared" si="67"/>
        <v>3.94</v>
      </c>
      <c r="AD95" s="291"/>
    </row>
    <row r="96" spans="1:30" s="242" customFormat="1">
      <c r="A96" s="286" t="s">
        <v>925</v>
      </c>
      <c r="B96" s="286"/>
      <c r="C96" s="287">
        <f t="shared" ref="C96" si="69">G96*F96*7.85/1000*2</f>
        <v>6.0052500000000002</v>
      </c>
      <c r="D96" s="287">
        <f t="shared" si="65"/>
        <v>0.4</v>
      </c>
      <c r="E96" s="278"/>
      <c r="F96" s="288">
        <v>1.5</v>
      </c>
      <c r="G96" s="289">
        <v>255</v>
      </c>
      <c r="H96" s="289">
        <f t="shared" si="68"/>
        <v>150</v>
      </c>
      <c r="I96" s="289">
        <v>50</v>
      </c>
      <c r="J96" s="281">
        <f>VLOOKUP(W96,材料信息更新!$B:$C,2,0)</f>
        <v>3.69</v>
      </c>
      <c r="K96" s="282">
        <f>Sheet1!$A$3*3</f>
        <v>3</v>
      </c>
      <c r="L96" s="281">
        <v>9.1999999999999993</v>
      </c>
      <c r="M96" s="293" t="s">
        <v>834</v>
      </c>
      <c r="N96" s="281"/>
      <c r="O96" s="293" t="s">
        <v>834</v>
      </c>
      <c r="P96" s="281"/>
      <c r="Q96" s="284"/>
      <c r="R96" s="296">
        <v>60</v>
      </c>
      <c r="S96" s="70"/>
      <c r="W96" s="188" t="s">
        <v>817</v>
      </c>
      <c r="AB96" s="242" t="str">
        <f t="shared" ref="AB96" si="70">"B"&amp;H96&amp;"*"&amp;I96&amp;"*"&amp;F96&amp;" mm,"</f>
        <v>B150*50*1.5 mm,</v>
      </c>
      <c r="AC96" s="290">
        <f t="shared" ref="AC96" si="71">J96+0.25</f>
        <v>3.94</v>
      </c>
      <c r="AD96" s="291"/>
    </row>
    <row r="97" spans="1:30" s="242" customFormat="1">
      <c r="A97" s="286" t="s">
        <v>926</v>
      </c>
      <c r="B97" s="286"/>
      <c r="C97" s="287">
        <f t="shared" si="64"/>
        <v>6.1230000000000002</v>
      </c>
      <c r="D97" s="287">
        <f t="shared" si="65"/>
        <v>0.41</v>
      </c>
      <c r="E97" s="278"/>
      <c r="F97" s="288">
        <v>1.5</v>
      </c>
      <c r="G97" s="289">
        <v>260</v>
      </c>
      <c r="H97" s="289">
        <v>155</v>
      </c>
      <c r="I97" s="289">
        <v>50</v>
      </c>
      <c r="J97" s="281">
        <f>VLOOKUP(W97,材料信息更新!$B:$C,2,0)</f>
        <v>3.69</v>
      </c>
      <c r="K97" s="282">
        <f>Sheet1!$A$3*3.2</f>
        <v>3.2</v>
      </c>
      <c r="L97" s="281">
        <v>9.1999999999999993</v>
      </c>
      <c r="M97" s="293" t="s">
        <v>834</v>
      </c>
      <c r="N97" s="281"/>
      <c r="O97" s="293" t="s">
        <v>834</v>
      </c>
      <c r="P97" s="281"/>
      <c r="Q97" s="284"/>
      <c r="R97" s="296">
        <v>60</v>
      </c>
      <c r="S97" s="70"/>
      <c r="W97" s="188" t="s">
        <v>817</v>
      </c>
      <c r="AB97" s="242" t="str">
        <f t="shared" si="66"/>
        <v>B155*50*1.5 mm,</v>
      </c>
      <c r="AC97" s="290">
        <f t="shared" si="67"/>
        <v>3.94</v>
      </c>
      <c r="AD97" s="291"/>
    </row>
    <row r="98" spans="1:30" s="242" customFormat="1">
      <c r="A98" s="286" t="s">
        <v>927</v>
      </c>
      <c r="B98" s="286"/>
      <c r="C98" s="287">
        <f t="shared" si="64"/>
        <v>6.2407500000000002</v>
      </c>
      <c r="D98" s="287">
        <f t="shared" si="65"/>
        <v>0.42</v>
      </c>
      <c r="E98" s="278"/>
      <c r="F98" s="288">
        <v>1.5</v>
      </c>
      <c r="G98" s="289">
        <v>265</v>
      </c>
      <c r="H98" s="289">
        <v>160</v>
      </c>
      <c r="I98" s="289">
        <v>50</v>
      </c>
      <c r="J98" s="281">
        <f>VLOOKUP(W98,材料信息更新!$B:$C,2,0)</f>
        <v>3.69</v>
      </c>
      <c r="K98" s="282">
        <f>Sheet1!$A$3*3.4</f>
        <v>3.4</v>
      </c>
      <c r="L98" s="281">
        <v>9.1999999999999993</v>
      </c>
      <c r="M98" s="293" t="s">
        <v>834</v>
      </c>
      <c r="N98" s="281"/>
      <c r="O98" s="293" t="s">
        <v>834</v>
      </c>
      <c r="P98" s="281"/>
      <c r="Q98" s="284"/>
      <c r="R98" s="296">
        <v>60</v>
      </c>
      <c r="S98" s="70"/>
      <c r="W98" s="188" t="s">
        <v>817</v>
      </c>
      <c r="AB98" s="242" t="str">
        <f t="shared" si="66"/>
        <v>B160*50*1.5 mm,</v>
      </c>
      <c r="AC98" s="290">
        <f t="shared" si="67"/>
        <v>3.94</v>
      </c>
      <c r="AD98" s="291"/>
    </row>
    <row r="99" spans="1:30" s="242" customFormat="1">
      <c r="A99" s="286" t="s">
        <v>928</v>
      </c>
      <c r="B99" s="286"/>
      <c r="C99" s="287">
        <f t="shared" si="64"/>
        <v>6.7117500000000003</v>
      </c>
      <c r="D99" s="287">
        <f t="shared" si="65"/>
        <v>0.46</v>
      </c>
      <c r="E99" s="278"/>
      <c r="F99" s="288">
        <v>1.5</v>
      </c>
      <c r="G99" s="289">
        <v>285</v>
      </c>
      <c r="H99" s="289">
        <v>180</v>
      </c>
      <c r="I99" s="289">
        <v>50</v>
      </c>
      <c r="J99" s="281">
        <f>VLOOKUP(W99,材料信息更新!$B:$C,2,0)</f>
        <v>3.69</v>
      </c>
      <c r="K99" s="282">
        <f>Sheet1!$A$3*3.7</f>
        <v>3.7</v>
      </c>
      <c r="L99" s="281">
        <v>9.1999999999999993</v>
      </c>
      <c r="M99" s="293" t="s">
        <v>834</v>
      </c>
      <c r="N99" s="281"/>
      <c r="O99" s="293" t="s">
        <v>834</v>
      </c>
      <c r="P99" s="281"/>
      <c r="Q99" s="284"/>
      <c r="R99" s="296">
        <v>60</v>
      </c>
      <c r="S99" s="70"/>
      <c r="W99" s="188" t="s">
        <v>817</v>
      </c>
      <c r="AB99" s="242" t="str">
        <f t="shared" si="66"/>
        <v>B180*50*1.5 mm,</v>
      </c>
      <c r="AC99" s="290">
        <f t="shared" si="67"/>
        <v>3.94</v>
      </c>
      <c r="AD99" s="291"/>
    </row>
    <row r="100" spans="1:30" s="242" customFormat="1" ht="13.9" customHeight="1">
      <c r="A100" s="286" t="s">
        <v>929</v>
      </c>
      <c r="B100" s="286">
        <f>5.252*2.7+1.2</f>
        <v>15.3804</v>
      </c>
      <c r="C100" s="287">
        <f t="shared" si="64"/>
        <v>6.3585000000000003</v>
      </c>
      <c r="D100" s="287">
        <f t="shared" si="65"/>
        <v>0.34</v>
      </c>
      <c r="E100" s="278"/>
      <c r="F100" s="288">
        <v>1.8</v>
      </c>
      <c r="G100" s="289">
        <v>225</v>
      </c>
      <c r="H100" s="289">
        <v>120</v>
      </c>
      <c r="I100" s="289">
        <v>50</v>
      </c>
      <c r="J100" s="281">
        <f>VLOOKUP(W100,材料信息更新!$B:$C,2,0)</f>
        <v>3.67</v>
      </c>
      <c r="K100" s="282">
        <f>Sheet1!$A$3*2.6</f>
        <v>2.6</v>
      </c>
      <c r="L100" s="281">
        <v>9.1999999999999993</v>
      </c>
      <c r="M100" s="293" t="s">
        <v>834</v>
      </c>
      <c r="N100" s="281"/>
      <c r="O100" s="293" t="s">
        <v>834</v>
      </c>
      <c r="P100" s="281"/>
      <c r="Q100" s="284"/>
      <c r="R100" s="296">
        <v>60</v>
      </c>
      <c r="S100" s="70"/>
      <c r="W100" s="188" t="s">
        <v>820</v>
      </c>
      <c r="AB100" s="242" t="str">
        <f t="shared" si="66"/>
        <v>B120*50*1.8 mm,</v>
      </c>
      <c r="AC100" s="290">
        <f t="shared" si="67"/>
        <v>3.92</v>
      </c>
      <c r="AD100" s="291"/>
    </row>
    <row r="101" spans="1:30" s="242" customFormat="1">
      <c r="A101" s="286" t="s">
        <v>930</v>
      </c>
      <c r="B101" s="286"/>
      <c r="C101" s="287">
        <f t="shared" si="64"/>
        <v>7.3475999999999999</v>
      </c>
      <c r="D101" s="287">
        <f t="shared" si="65"/>
        <v>0.41</v>
      </c>
      <c r="E101" s="278"/>
      <c r="F101" s="288">
        <v>1.8</v>
      </c>
      <c r="G101" s="289">
        <v>260</v>
      </c>
      <c r="H101" s="289">
        <v>155</v>
      </c>
      <c r="I101" s="289">
        <v>50</v>
      </c>
      <c r="J101" s="281">
        <f>VLOOKUP(W101,材料信息更新!$B:$C,2,0)</f>
        <v>3.67</v>
      </c>
      <c r="K101" s="282">
        <f>Sheet1!$A$3*3.2</f>
        <v>3.2</v>
      </c>
      <c r="L101" s="281">
        <v>9.1999999999999993</v>
      </c>
      <c r="M101" s="293" t="s">
        <v>834</v>
      </c>
      <c r="N101" s="281"/>
      <c r="O101" s="293" t="s">
        <v>834</v>
      </c>
      <c r="P101" s="281"/>
      <c r="Q101" s="284"/>
      <c r="R101" s="296">
        <v>60</v>
      </c>
      <c r="S101" s="70"/>
      <c r="W101" s="188" t="s">
        <v>820</v>
      </c>
      <c r="AB101" s="242" t="str">
        <f t="shared" si="66"/>
        <v>B155*50*1.8 mm,</v>
      </c>
      <c r="AC101" s="290">
        <f t="shared" si="67"/>
        <v>3.92</v>
      </c>
      <c r="AD101" s="291"/>
    </row>
    <row r="102" spans="1:30" s="242" customFormat="1">
      <c r="A102" s="286" t="s">
        <v>931</v>
      </c>
      <c r="B102" s="286"/>
      <c r="C102" s="287">
        <f t="shared" si="64"/>
        <v>7.4889000000000001</v>
      </c>
      <c r="D102" s="287">
        <f t="shared" si="65"/>
        <v>0.42</v>
      </c>
      <c r="E102" s="278"/>
      <c r="F102" s="288">
        <v>1.8</v>
      </c>
      <c r="G102" s="289">
        <v>265</v>
      </c>
      <c r="H102" s="289">
        <v>160</v>
      </c>
      <c r="I102" s="289">
        <v>50</v>
      </c>
      <c r="J102" s="281">
        <f>VLOOKUP(W102,材料信息更新!$B:$C,2,0)</f>
        <v>3.67</v>
      </c>
      <c r="K102" s="282">
        <f>Sheet1!$A$3*3.4</f>
        <v>3.4</v>
      </c>
      <c r="L102" s="281">
        <v>9.1999999999999993</v>
      </c>
      <c r="M102" s="293" t="s">
        <v>834</v>
      </c>
      <c r="N102" s="281"/>
      <c r="O102" s="293" t="s">
        <v>834</v>
      </c>
      <c r="P102" s="281"/>
      <c r="Q102" s="284"/>
      <c r="R102" s="296">
        <v>60</v>
      </c>
      <c r="S102" s="70"/>
      <c r="W102" s="188" t="s">
        <v>820</v>
      </c>
      <c r="AB102" s="242" t="str">
        <f t="shared" si="66"/>
        <v>B160*50*1.8 mm,</v>
      </c>
      <c r="AC102" s="290">
        <f t="shared" si="67"/>
        <v>3.92</v>
      </c>
      <c r="AD102" s="291"/>
    </row>
    <row r="103" spans="1:30" s="242" customFormat="1">
      <c r="A103" s="286" t="s">
        <v>932</v>
      </c>
      <c r="B103" s="286"/>
      <c r="C103" s="287">
        <f t="shared" si="64"/>
        <v>8.0541</v>
      </c>
      <c r="D103" s="287">
        <f t="shared" si="65"/>
        <v>0.46</v>
      </c>
      <c r="E103" s="278"/>
      <c r="F103" s="288">
        <v>1.8</v>
      </c>
      <c r="G103" s="289">
        <v>285</v>
      </c>
      <c r="H103" s="289">
        <v>180</v>
      </c>
      <c r="I103" s="289">
        <v>50</v>
      </c>
      <c r="J103" s="281">
        <f>VLOOKUP(W103,材料信息更新!$B:$C,2,0)</f>
        <v>3.67</v>
      </c>
      <c r="K103" s="282">
        <f>Sheet1!$A$3*3.7</f>
        <v>3.7</v>
      </c>
      <c r="L103" s="281">
        <v>9.1999999999999993</v>
      </c>
      <c r="M103" s="293" t="s">
        <v>834</v>
      </c>
      <c r="N103" s="281"/>
      <c r="O103" s="293" t="s">
        <v>834</v>
      </c>
      <c r="P103" s="281"/>
      <c r="Q103" s="284"/>
      <c r="R103" s="296">
        <v>60</v>
      </c>
      <c r="S103" s="70"/>
      <c r="W103" s="188" t="s">
        <v>820</v>
      </c>
      <c r="AB103" s="242" t="str">
        <f t="shared" si="66"/>
        <v>B180*50*1.8 mm,</v>
      </c>
      <c r="AC103" s="290">
        <f t="shared" si="67"/>
        <v>3.92</v>
      </c>
      <c r="AD103" s="291"/>
    </row>
    <row r="104" spans="1:30" s="242" customFormat="1" ht="13.9" customHeight="1">
      <c r="A104" s="286" t="s">
        <v>933</v>
      </c>
      <c r="B104" s="286">
        <f>5.252*2.7+1.2</f>
        <v>15.3804</v>
      </c>
      <c r="C104" s="287">
        <f t="shared" ref="C104" si="72">G104*F104*7.85/1000*2</f>
        <v>7.0650000000000004</v>
      </c>
      <c r="D104" s="287">
        <f t="shared" ref="D104" si="73">(H104+I104)*2/1000</f>
        <v>0.34</v>
      </c>
      <c r="E104" s="278"/>
      <c r="F104" s="288">
        <v>2</v>
      </c>
      <c r="G104" s="289">
        <v>225</v>
      </c>
      <c r="H104" s="289">
        <v>120</v>
      </c>
      <c r="I104" s="289">
        <v>50</v>
      </c>
      <c r="J104" s="281">
        <f>VLOOKUP(W104,材料信息更新!$B:$C,2,0)</f>
        <v>3.6</v>
      </c>
      <c r="K104" s="282">
        <f>Sheet1!$A$3*2.6</f>
        <v>2.6</v>
      </c>
      <c r="L104" s="281">
        <v>9.1999999999999993</v>
      </c>
      <c r="M104" s="293" t="s">
        <v>834</v>
      </c>
      <c r="N104" s="281"/>
      <c r="O104" s="293" t="s">
        <v>834</v>
      </c>
      <c r="P104" s="281"/>
      <c r="Q104" s="284"/>
      <c r="R104" s="296">
        <v>60</v>
      </c>
      <c r="S104" s="70"/>
      <c r="W104" s="188" t="s">
        <v>835</v>
      </c>
      <c r="AB104" s="242" t="str">
        <f t="shared" ref="AB104" si="74">"B"&amp;H104&amp;"*"&amp;I104&amp;"*"&amp;F104&amp;" mm,"</f>
        <v>B120*50*2 mm,</v>
      </c>
      <c r="AC104" s="290">
        <f t="shared" ref="AC104" si="75">J104+0.25</f>
        <v>3.85</v>
      </c>
      <c r="AD104" s="291"/>
    </row>
    <row r="105" spans="1:30" s="242" customFormat="1">
      <c r="A105" s="286" t="s">
        <v>934</v>
      </c>
      <c r="B105" s="286"/>
      <c r="C105" s="287">
        <f t="shared" si="64"/>
        <v>8.3209999999999997</v>
      </c>
      <c r="D105" s="287">
        <f t="shared" si="65"/>
        <v>0.42</v>
      </c>
      <c r="E105" s="278"/>
      <c r="F105" s="288">
        <v>2</v>
      </c>
      <c r="G105" s="289">
        <v>265</v>
      </c>
      <c r="H105" s="289">
        <v>160</v>
      </c>
      <c r="I105" s="289">
        <v>50</v>
      </c>
      <c r="J105" s="281">
        <f>VLOOKUP(W105,材料信息更新!$B:$C,2,0)</f>
        <v>3.6</v>
      </c>
      <c r="K105" s="282">
        <f>Sheet1!$A$3*3.4</f>
        <v>3.4</v>
      </c>
      <c r="L105" s="281">
        <v>9.1999999999999993</v>
      </c>
      <c r="M105" s="293" t="s">
        <v>834</v>
      </c>
      <c r="N105" s="281"/>
      <c r="O105" s="293" t="s">
        <v>834</v>
      </c>
      <c r="P105" s="281"/>
      <c r="Q105" s="284"/>
      <c r="R105" s="296">
        <v>60</v>
      </c>
      <c r="S105" s="70"/>
      <c r="W105" s="188" t="s">
        <v>835</v>
      </c>
      <c r="AB105" s="242" t="str">
        <f t="shared" si="66"/>
        <v>B160*50*2 mm,</v>
      </c>
      <c r="AC105" s="290">
        <f t="shared" si="67"/>
        <v>3.85</v>
      </c>
      <c r="AD105" s="291"/>
    </row>
    <row r="106" spans="1:30" s="242" customFormat="1">
      <c r="A106" s="286" t="s">
        <v>935</v>
      </c>
      <c r="B106" s="286"/>
      <c r="C106" s="287">
        <f t="shared" si="64"/>
        <v>8.9489999999999998</v>
      </c>
      <c r="D106" s="287">
        <f t="shared" si="65"/>
        <v>0.46</v>
      </c>
      <c r="E106" s="278"/>
      <c r="F106" s="288">
        <v>2</v>
      </c>
      <c r="G106" s="289">
        <v>285</v>
      </c>
      <c r="H106" s="289">
        <v>180</v>
      </c>
      <c r="I106" s="289">
        <v>50</v>
      </c>
      <c r="J106" s="281">
        <f>VLOOKUP(W106,材料信息更新!$B:$C,2,0)</f>
        <v>3.6</v>
      </c>
      <c r="K106" s="282">
        <f>Sheet1!$A$3*3.7</f>
        <v>3.7</v>
      </c>
      <c r="L106" s="281">
        <v>9.1999999999999993</v>
      </c>
      <c r="M106" s="293" t="s">
        <v>834</v>
      </c>
      <c r="N106" s="281"/>
      <c r="O106" s="293" t="s">
        <v>834</v>
      </c>
      <c r="P106" s="281"/>
      <c r="Q106" s="284"/>
      <c r="R106" s="296">
        <v>60</v>
      </c>
      <c r="S106" s="70"/>
      <c r="W106" s="188" t="s">
        <v>835</v>
      </c>
      <c r="AB106" s="242" t="str">
        <f t="shared" si="66"/>
        <v>B180*50*2 mm,</v>
      </c>
      <c r="AC106" s="290">
        <f t="shared" si="67"/>
        <v>3.85</v>
      </c>
      <c r="AD106" s="291"/>
    </row>
    <row r="107" spans="1:30" s="242" customFormat="1">
      <c r="A107" s="286" t="s">
        <v>936</v>
      </c>
      <c r="B107" s="286"/>
      <c r="C107" s="287">
        <f t="shared" si="64"/>
        <v>4.0223399999999998</v>
      </c>
      <c r="D107" s="287">
        <f t="shared" si="65"/>
        <v>0.26</v>
      </c>
      <c r="E107" s="278"/>
      <c r="F107" s="288">
        <v>1.4</v>
      </c>
      <c r="G107" s="289">
        <v>183</v>
      </c>
      <c r="H107" s="289">
        <v>80</v>
      </c>
      <c r="I107" s="289">
        <v>50</v>
      </c>
      <c r="J107" s="281">
        <f>VLOOKUP(W107,材料信息更新!$B:$C,2,0)</f>
        <v>3.69</v>
      </c>
      <c r="K107" s="282">
        <f>Sheet1!$A$3*2.6</f>
        <v>2.6</v>
      </c>
      <c r="L107" s="281">
        <v>9.1999999999999993</v>
      </c>
      <c r="M107" s="293" t="s">
        <v>834</v>
      </c>
      <c r="N107" s="281"/>
      <c r="O107" s="293" t="s">
        <v>834</v>
      </c>
      <c r="P107" s="281"/>
      <c r="Q107" s="284"/>
      <c r="R107" s="296">
        <v>60</v>
      </c>
      <c r="S107" s="70"/>
      <c r="W107" s="188" t="s">
        <v>894</v>
      </c>
      <c r="X107" s="194"/>
      <c r="AB107" s="242" t="str">
        <f t="shared" si="66"/>
        <v>B80*50*1.4 mm,</v>
      </c>
      <c r="AC107" s="290">
        <f t="shared" si="67"/>
        <v>3.94</v>
      </c>
      <c r="AD107" s="291"/>
    </row>
    <row r="108" spans="1:30" s="242" customFormat="1" ht="15" customHeight="1">
      <c r="A108" s="286" t="s">
        <v>937</v>
      </c>
      <c r="B108" s="297"/>
      <c r="C108" s="287">
        <f t="shared" ref="C108" si="76">G108*F108*7.85/1000*2</f>
        <v>4.18405</v>
      </c>
      <c r="D108" s="287">
        <f t="shared" ref="D108" si="77">(H108+I108)*2/1000</f>
        <v>0.3</v>
      </c>
      <c r="E108" s="278"/>
      <c r="F108" s="288">
        <v>1.3</v>
      </c>
      <c r="G108" s="289">
        <v>205</v>
      </c>
      <c r="H108" s="289">
        <v>100</v>
      </c>
      <c r="I108" s="289">
        <v>50</v>
      </c>
      <c r="J108" s="281">
        <f>VLOOKUP(W108,材料信息更新!$B:$C,2,0)</f>
        <v>0</v>
      </c>
      <c r="K108" s="282">
        <f>Sheet1!$A$3*2.6</f>
        <v>2.6</v>
      </c>
      <c r="L108" s="281">
        <v>9.1999999999999993</v>
      </c>
      <c r="M108" s="293" t="s">
        <v>834</v>
      </c>
      <c r="N108" s="281"/>
      <c r="O108" s="293" t="s">
        <v>834</v>
      </c>
      <c r="P108" s="281"/>
      <c r="Q108" s="284"/>
      <c r="R108" s="296">
        <v>60</v>
      </c>
      <c r="S108" s="70"/>
      <c r="W108" s="188" t="s">
        <v>915</v>
      </c>
      <c r="AB108" s="242" t="str">
        <f t="shared" ref="AB108" si="78">"B"&amp;H108&amp;"*"&amp;I108&amp;"*"&amp;F108&amp;" mm,"</f>
        <v>B100*50*1.3 mm,</v>
      </c>
      <c r="AC108" s="290">
        <f t="shared" ref="AC108" si="79">J108+0.25</f>
        <v>0.25</v>
      </c>
      <c r="AD108" s="291"/>
    </row>
    <row r="109" spans="1:30" s="242" customFormat="1">
      <c r="A109" s="286"/>
      <c r="B109" s="286"/>
      <c r="C109" s="287"/>
      <c r="D109" s="287"/>
      <c r="E109" s="278"/>
      <c r="F109" s="288"/>
      <c r="G109" s="289"/>
      <c r="H109" s="289"/>
      <c r="I109" s="289"/>
      <c r="J109" s="281"/>
      <c r="K109" s="282"/>
      <c r="L109" s="281"/>
      <c r="M109" s="281"/>
      <c r="N109" s="281"/>
      <c r="O109" s="281"/>
      <c r="P109" s="281"/>
      <c r="Q109" s="284"/>
      <c r="R109" s="284"/>
      <c r="S109" s="70"/>
      <c r="W109" s="247"/>
    </row>
    <row r="110" spans="1:30" s="242" customFormat="1">
      <c r="A110" s="286"/>
      <c r="B110" s="286"/>
      <c r="C110" s="287"/>
      <c r="D110" s="287"/>
      <c r="E110" s="278"/>
      <c r="F110" s="288"/>
      <c r="G110" s="289"/>
      <c r="H110" s="289"/>
      <c r="I110" s="289"/>
      <c r="J110" s="281"/>
      <c r="K110" s="282"/>
      <c r="L110" s="281"/>
      <c r="M110" s="281"/>
      <c r="N110" s="281"/>
      <c r="O110" s="281"/>
      <c r="P110" s="281"/>
      <c r="Q110" s="284"/>
      <c r="R110" s="284"/>
      <c r="S110" s="70"/>
      <c r="W110" s="247"/>
    </row>
    <row r="111" spans="1:30" s="242" customFormat="1">
      <c r="A111" s="286"/>
      <c r="B111" s="286"/>
      <c r="C111" s="287"/>
      <c r="D111" s="287"/>
      <c r="E111" s="278"/>
      <c r="F111" s="288"/>
      <c r="G111" s="289"/>
      <c r="H111" s="289"/>
      <c r="I111" s="289"/>
      <c r="J111" s="281"/>
      <c r="K111" s="282"/>
      <c r="L111" s="281"/>
      <c r="M111" s="281"/>
      <c r="N111" s="281"/>
      <c r="O111" s="281"/>
      <c r="P111" s="281"/>
      <c r="Q111" s="284"/>
      <c r="R111" s="284"/>
      <c r="S111" s="70"/>
      <c r="W111" s="247"/>
    </row>
    <row r="112" spans="1:30" s="242" customFormat="1">
      <c r="A112" s="286"/>
      <c r="B112" s="286"/>
      <c r="C112" s="287"/>
      <c r="D112" s="287"/>
      <c r="E112" s="278"/>
      <c r="F112" s="288"/>
      <c r="G112" s="289"/>
      <c r="H112" s="289"/>
      <c r="I112" s="289"/>
      <c r="J112" s="281"/>
      <c r="K112" s="282"/>
      <c r="L112" s="281"/>
      <c r="M112" s="281"/>
      <c r="N112" s="281"/>
      <c r="O112" s="281"/>
      <c r="P112" s="281"/>
      <c r="Q112" s="284"/>
      <c r="R112" s="284"/>
      <c r="S112" s="70"/>
      <c r="W112" s="247"/>
    </row>
    <row r="113" spans="1:28" s="242" customFormat="1">
      <c r="A113" s="286"/>
      <c r="B113" s="286"/>
      <c r="C113" s="287"/>
      <c r="D113" s="287"/>
      <c r="E113" s="278"/>
      <c r="F113" s="288"/>
      <c r="G113" s="289"/>
      <c r="H113" s="289"/>
      <c r="I113" s="289"/>
      <c r="J113" s="281"/>
      <c r="K113" s="282"/>
      <c r="L113" s="281"/>
      <c r="M113" s="281"/>
      <c r="N113" s="281"/>
      <c r="O113" s="281"/>
      <c r="P113" s="281"/>
      <c r="Q113" s="284"/>
      <c r="R113" s="284"/>
      <c r="S113" s="70"/>
      <c r="W113" s="247"/>
    </row>
    <row r="114" spans="1:28" s="242" customFormat="1">
      <c r="A114" s="277" t="s">
        <v>938</v>
      </c>
      <c r="B114" s="277"/>
      <c r="C114" s="278"/>
      <c r="D114" s="278"/>
      <c r="E114" s="278"/>
      <c r="F114" s="279"/>
      <c r="G114" s="280"/>
      <c r="H114" s="280"/>
      <c r="I114" s="280"/>
      <c r="J114" s="281"/>
      <c r="K114" s="282"/>
      <c r="L114" s="281"/>
      <c r="M114" s="281"/>
      <c r="N114" s="281"/>
      <c r="O114" s="281"/>
      <c r="P114" s="281"/>
      <c r="Q114" s="281" t="s">
        <v>939</v>
      </c>
      <c r="R114" s="281" t="s">
        <v>940</v>
      </c>
      <c r="S114" s="70"/>
    </row>
    <row r="115" spans="1:28" s="242" customFormat="1">
      <c r="A115" s="286" t="s">
        <v>941</v>
      </c>
      <c r="B115" s="286"/>
      <c r="C115" s="287">
        <f t="shared" ref="C115:C123" si="80">G115*F115*7.85/1000</f>
        <v>1.4601</v>
      </c>
      <c r="D115" s="287">
        <f t="shared" ref="D115:D130" si="81">(H115+I115)*2/1000</f>
        <v>0.16</v>
      </c>
      <c r="E115" s="287"/>
      <c r="F115" s="288">
        <v>1.2</v>
      </c>
      <c r="G115" s="289">
        <v>155</v>
      </c>
      <c r="H115" s="289">
        <v>50</v>
      </c>
      <c r="I115" s="289">
        <v>30</v>
      </c>
      <c r="J115" s="281">
        <f>VLOOKUP(W115,材料信息更新!$B:$C,2,0)</f>
        <v>4.3099999999999996</v>
      </c>
      <c r="K115" s="282">
        <f>Sheet1!$A$3*2</f>
        <v>2</v>
      </c>
      <c r="L115" s="281">
        <v>9.6999999999999993</v>
      </c>
      <c r="M115" s="281"/>
      <c r="N115" s="296"/>
      <c r="O115" s="296"/>
      <c r="P115" s="281"/>
      <c r="Q115" s="296">
        <v>50</v>
      </c>
      <c r="R115" s="296" t="s">
        <v>942</v>
      </c>
      <c r="S115" s="70"/>
      <c r="W115" s="188" t="s">
        <v>943</v>
      </c>
      <c r="AB115" s="242" t="str">
        <f t="shared" ref="AB115:AB140" si="82">"P"&amp;H115&amp;"*"&amp;I115&amp;"*"&amp;F115&amp;" mm,"</f>
        <v>P50*30*1.2 mm,</v>
      </c>
    </row>
    <row r="116" spans="1:28" s="242" customFormat="1">
      <c r="A116" s="286" t="s">
        <v>377</v>
      </c>
      <c r="B116" s="286"/>
      <c r="C116" s="287">
        <f t="shared" si="80"/>
        <v>1.81335</v>
      </c>
      <c r="D116" s="287">
        <f t="shared" si="81"/>
        <v>0.16</v>
      </c>
      <c r="E116" s="287"/>
      <c r="F116" s="288">
        <v>1.5</v>
      </c>
      <c r="G116" s="289">
        <v>154</v>
      </c>
      <c r="H116" s="289">
        <v>50</v>
      </c>
      <c r="I116" s="289">
        <v>30</v>
      </c>
      <c r="J116" s="281">
        <f>VLOOKUP(W116,材料信息更新!$B:$C,2,0)</f>
        <v>4.3099999999999996</v>
      </c>
      <c r="K116" s="282">
        <f>Sheet1!$A$3*2</f>
        <v>2</v>
      </c>
      <c r="L116" s="281">
        <v>9.6999999999999993</v>
      </c>
      <c r="M116" s="281"/>
      <c r="N116" s="296"/>
      <c r="O116" s="296"/>
      <c r="P116" s="281"/>
      <c r="Q116" s="296">
        <v>50</v>
      </c>
      <c r="R116" s="296" t="s">
        <v>942</v>
      </c>
      <c r="S116" s="70"/>
      <c r="W116" s="188" t="s">
        <v>944</v>
      </c>
      <c r="AB116" s="242" t="str">
        <f t="shared" si="82"/>
        <v>P50*30*1.5 mm,</v>
      </c>
    </row>
    <row r="117" spans="1:28" s="242" customFormat="1">
      <c r="A117" s="286" t="s">
        <v>945</v>
      </c>
      <c r="B117" s="286"/>
      <c r="C117" s="287">
        <f t="shared" si="80"/>
        <v>1.8369</v>
      </c>
      <c r="D117" s="287">
        <f t="shared" si="81"/>
        <v>0.2</v>
      </c>
      <c r="E117" s="287"/>
      <c r="F117" s="288">
        <v>1.2</v>
      </c>
      <c r="G117" s="289">
        <v>195</v>
      </c>
      <c r="H117" s="289">
        <v>60</v>
      </c>
      <c r="I117" s="289">
        <v>40</v>
      </c>
      <c r="J117" s="281">
        <f>VLOOKUP(W117,材料信息更新!$B:$C,2,0)</f>
        <v>4.3099999999999996</v>
      </c>
      <c r="K117" s="282">
        <f>Sheet1!$A$3*2</f>
        <v>2</v>
      </c>
      <c r="L117" s="281">
        <v>9.6999999999999993</v>
      </c>
      <c r="M117" s="281"/>
      <c r="N117" s="296"/>
      <c r="O117" s="296"/>
      <c r="P117" s="281"/>
      <c r="Q117" s="296">
        <v>50</v>
      </c>
      <c r="R117" s="296" t="s">
        <v>942</v>
      </c>
      <c r="S117" s="70"/>
      <c r="W117" s="188" t="s">
        <v>943</v>
      </c>
      <c r="AB117" s="242" t="str">
        <f t="shared" si="82"/>
        <v>P60*40*1.2 mm,</v>
      </c>
    </row>
    <row r="118" spans="1:28" s="242" customFormat="1">
      <c r="A118" s="286" t="s">
        <v>946</v>
      </c>
      <c r="B118" s="286"/>
      <c r="C118" s="287">
        <f t="shared" si="80"/>
        <v>2.2843499999999999</v>
      </c>
      <c r="D118" s="287">
        <f t="shared" si="81"/>
        <v>0.2</v>
      </c>
      <c r="E118" s="287"/>
      <c r="F118" s="288">
        <v>1.5</v>
      </c>
      <c r="G118" s="289">
        <v>194</v>
      </c>
      <c r="H118" s="289">
        <v>60</v>
      </c>
      <c r="I118" s="289">
        <v>40</v>
      </c>
      <c r="J118" s="281">
        <f>VLOOKUP(W118,材料信息更新!$B:$C,2,0)</f>
        <v>4.3099999999999996</v>
      </c>
      <c r="K118" s="282">
        <f>Sheet1!$A$3*2</f>
        <v>2</v>
      </c>
      <c r="L118" s="281">
        <v>9.6999999999999993</v>
      </c>
      <c r="M118" s="281"/>
      <c r="N118" s="296"/>
      <c r="O118" s="296"/>
      <c r="P118" s="281"/>
      <c r="Q118" s="296">
        <v>50</v>
      </c>
      <c r="R118" s="296" t="s">
        <v>942</v>
      </c>
      <c r="S118" s="70"/>
      <c r="W118" s="188" t="s">
        <v>944</v>
      </c>
      <c r="AB118" s="242" t="str">
        <f t="shared" si="82"/>
        <v>P60*40*1.5 mm,</v>
      </c>
    </row>
    <row r="119" spans="1:28" s="242" customFormat="1">
      <c r="A119" s="286" t="s">
        <v>947</v>
      </c>
      <c r="B119" s="286"/>
      <c r="C119" s="287">
        <f t="shared" si="80"/>
        <v>3.0144000000000002</v>
      </c>
      <c r="D119" s="287">
        <f t="shared" si="81"/>
        <v>0.2</v>
      </c>
      <c r="E119" s="287"/>
      <c r="F119" s="288">
        <v>2</v>
      </c>
      <c r="G119" s="289">
        <v>192</v>
      </c>
      <c r="H119" s="289">
        <v>60</v>
      </c>
      <c r="I119" s="289">
        <v>40</v>
      </c>
      <c r="J119" s="281">
        <f>VLOOKUP(W119,材料信息更新!$B:$C,2,0)</f>
        <v>4.3099999999999996</v>
      </c>
      <c r="K119" s="282">
        <f>Sheet1!$A$3*2</f>
        <v>2</v>
      </c>
      <c r="L119" s="281">
        <v>9.6999999999999993</v>
      </c>
      <c r="M119" s="281"/>
      <c r="N119" s="296"/>
      <c r="O119" s="296"/>
      <c r="P119" s="281"/>
      <c r="Q119" s="296">
        <v>50</v>
      </c>
      <c r="R119" s="296" t="s">
        <v>942</v>
      </c>
      <c r="S119" s="70"/>
      <c r="W119" s="188" t="s">
        <v>948</v>
      </c>
      <c r="AB119" s="242" t="str">
        <f t="shared" si="82"/>
        <v>P60*40*2 mm,</v>
      </c>
    </row>
    <row r="120" spans="1:28" s="242" customFormat="1">
      <c r="A120" s="286" t="s">
        <v>949</v>
      </c>
      <c r="B120" s="286"/>
      <c r="C120" s="287">
        <f t="shared" si="80"/>
        <v>3.0144000000000002</v>
      </c>
      <c r="D120" s="287">
        <f t="shared" si="81"/>
        <v>0.2</v>
      </c>
      <c r="E120" s="287"/>
      <c r="F120" s="288">
        <v>2</v>
      </c>
      <c r="G120" s="289">
        <v>192</v>
      </c>
      <c r="H120" s="289">
        <v>60</v>
      </c>
      <c r="I120" s="289">
        <v>40</v>
      </c>
      <c r="J120" s="281">
        <f>VLOOKUP(W120,材料信息更新!$B:$C,2,0)</f>
        <v>4.3099999999999996</v>
      </c>
      <c r="K120" s="282">
        <f>Sheet1!$A$3*2</f>
        <v>2</v>
      </c>
      <c r="L120" s="281">
        <v>9.6999999999999993</v>
      </c>
      <c r="M120" s="281"/>
      <c r="N120" s="296"/>
      <c r="O120" s="296"/>
      <c r="P120" s="281"/>
      <c r="Q120" s="296">
        <v>50</v>
      </c>
      <c r="R120" s="296" t="s">
        <v>942</v>
      </c>
      <c r="S120" s="70"/>
      <c r="W120" s="188" t="s">
        <v>948</v>
      </c>
      <c r="AB120" s="242" t="str">
        <f t="shared" si="82"/>
        <v>P60*40*2 mm,</v>
      </c>
    </row>
    <row r="121" spans="1:28" s="242" customFormat="1">
      <c r="A121" s="286" t="s">
        <v>950</v>
      </c>
      <c r="B121" s="286"/>
      <c r="C121" s="287">
        <f t="shared" si="80"/>
        <v>2.4039839999999999</v>
      </c>
      <c r="D121" s="287">
        <f t="shared" si="81"/>
        <v>0.26</v>
      </c>
      <c r="E121" s="287"/>
      <c r="F121" s="288">
        <v>1.2</v>
      </c>
      <c r="G121" s="289">
        <v>255.2</v>
      </c>
      <c r="H121" s="289">
        <v>80</v>
      </c>
      <c r="I121" s="289">
        <v>50</v>
      </c>
      <c r="J121" s="281">
        <f>VLOOKUP(W121,材料信息更新!$B:$C,2,0)</f>
        <v>4.3099999999999996</v>
      </c>
      <c r="K121" s="282">
        <f>Sheet1!$A$3*2.4</f>
        <v>2.4</v>
      </c>
      <c r="L121" s="281">
        <v>9.1999999999999993</v>
      </c>
      <c r="M121" s="281"/>
      <c r="N121" s="296"/>
      <c r="O121" s="296"/>
      <c r="P121" s="281"/>
      <c r="Q121" s="296">
        <v>60</v>
      </c>
      <c r="R121" s="296">
        <v>60</v>
      </c>
      <c r="S121" s="70"/>
      <c r="W121" s="188" t="s">
        <v>943</v>
      </c>
      <c r="AB121" s="242" t="str">
        <f t="shared" si="82"/>
        <v>P80*50*1.2 mm,</v>
      </c>
    </row>
    <row r="122" spans="1:28" s="242" customFormat="1">
      <c r="A122" s="286" t="s">
        <v>951</v>
      </c>
      <c r="B122" s="286"/>
      <c r="C122" s="287">
        <f t="shared" si="80"/>
        <v>2.99085</v>
      </c>
      <c r="D122" s="287">
        <f t="shared" si="81"/>
        <v>0.26</v>
      </c>
      <c r="E122" s="287"/>
      <c r="F122" s="288">
        <v>1.5</v>
      </c>
      <c r="G122" s="289">
        <v>254</v>
      </c>
      <c r="H122" s="289">
        <v>80</v>
      </c>
      <c r="I122" s="289">
        <v>50</v>
      </c>
      <c r="J122" s="281">
        <f>VLOOKUP(W122,材料信息更新!$B:$C,2,0)</f>
        <v>4.3099999999999996</v>
      </c>
      <c r="K122" s="282">
        <f>Sheet1!$A$3*2.4</f>
        <v>2.4</v>
      </c>
      <c r="L122" s="281">
        <v>9.1999999999999993</v>
      </c>
      <c r="M122" s="281"/>
      <c r="N122" s="296"/>
      <c r="O122" s="296"/>
      <c r="P122" s="281"/>
      <c r="Q122" s="296">
        <v>60</v>
      </c>
      <c r="R122" s="296">
        <v>60</v>
      </c>
      <c r="S122" s="70"/>
      <c r="W122" s="188" t="s">
        <v>944</v>
      </c>
      <c r="AB122" s="242" t="str">
        <f t="shared" si="82"/>
        <v>P80*50*1.5 mm,</v>
      </c>
    </row>
    <row r="123" spans="1:28" s="242" customFormat="1">
      <c r="A123" s="286" t="s">
        <v>736</v>
      </c>
      <c r="B123" s="286"/>
      <c r="C123" s="287">
        <f t="shared" si="80"/>
        <v>3.9563999999999999</v>
      </c>
      <c r="D123" s="287">
        <f t="shared" si="81"/>
        <v>0.26</v>
      </c>
      <c r="E123" s="287"/>
      <c r="F123" s="288">
        <v>2</v>
      </c>
      <c r="G123" s="289">
        <v>252</v>
      </c>
      <c r="H123" s="289">
        <v>80</v>
      </c>
      <c r="I123" s="289">
        <v>50</v>
      </c>
      <c r="J123" s="281">
        <f>VLOOKUP(W123,材料信息更新!$B:$C,2,0)</f>
        <v>4.3099999999999996</v>
      </c>
      <c r="K123" s="282">
        <f>Sheet1!$A$3*2.4</f>
        <v>2.4</v>
      </c>
      <c r="L123" s="281">
        <v>9.1999999999999993</v>
      </c>
      <c r="M123" s="281"/>
      <c r="N123" s="296"/>
      <c r="O123" s="296"/>
      <c r="P123" s="281"/>
      <c r="Q123" s="296">
        <v>60</v>
      </c>
      <c r="R123" s="296">
        <v>60</v>
      </c>
      <c r="S123" s="70"/>
      <c r="W123" s="188" t="s">
        <v>948</v>
      </c>
      <c r="AB123" s="242" t="str">
        <f t="shared" si="82"/>
        <v>P80*50*2 mm,</v>
      </c>
    </row>
    <row r="124" spans="1:28" s="242" customFormat="1">
      <c r="A124" s="286" t="s">
        <v>952</v>
      </c>
      <c r="B124" s="286"/>
      <c r="C124" s="287">
        <f t="shared" ref="C124:C130" si="83">G124*F124*7.85/1000</f>
        <v>3.6973500000000001</v>
      </c>
      <c r="D124" s="287">
        <f t="shared" si="81"/>
        <v>0.32</v>
      </c>
      <c r="E124" s="287"/>
      <c r="F124" s="288">
        <v>1.5</v>
      </c>
      <c r="G124" s="289">
        <v>314</v>
      </c>
      <c r="H124" s="289">
        <v>110</v>
      </c>
      <c r="I124" s="289">
        <v>50</v>
      </c>
      <c r="J124" s="281">
        <f>VLOOKUP(W124,材料信息更新!$B:$C,2,0)</f>
        <v>4.3099999999999996</v>
      </c>
      <c r="K124" s="282">
        <f>Sheet1!$A$3*2.6</f>
        <v>2.6</v>
      </c>
      <c r="L124" s="281">
        <v>9.1999999999999993</v>
      </c>
      <c r="M124" s="281"/>
      <c r="N124" s="296"/>
      <c r="O124" s="296"/>
      <c r="P124" s="281"/>
      <c r="Q124" s="296">
        <v>60</v>
      </c>
      <c r="R124" s="296">
        <v>60</v>
      </c>
      <c r="S124" s="70"/>
      <c r="W124" s="188" t="s">
        <v>944</v>
      </c>
      <c r="AB124" s="242" t="str">
        <f t="shared" si="82"/>
        <v>P110*50*1.5 mm,</v>
      </c>
    </row>
    <row r="125" spans="1:28" s="242" customFormat="1">
      <c r="A125" s="286" t="s">
        <v>953</v>
      </c>
      <c r="B125" s="286"/>
      <c r="C125" s="287">
        <f t="shared" si="83"/>
        <v>3.2616749999999999</v>
      </c>
      <c r="D125" s="287">
        <f t="shared" si="81"/>
        <v>0.27900000000000003</v>
      </c>
      <c r="E125" s="287"/>
      <c r="F125" s="288">
        <v>1.5</v>
      </c>
      <c r="G125" s="289">
        <v>277</v>
      </c>
      <c r="H125" s="289">
        <v>76</v>
      </c>
      <c r="I125" s="289">
        <v>63.5</v>
      </c>
      <c r="J125" s="281">
        <f>VLOOKUP(W125,美式P梁价格!$B$1:$F$65536,4,0)/1000</f>
        <v>4.51</v>
      </c>
      <c r="K125" s="282">
        <f>Sheet1!$A$3*2.4</f>
        <v>2.4</v>
      </c>
      <c r="L125" s="281">
        <v>9.1999999999999993</v>
      </c>
      <c r="M125" s="281"/>
      <c r="N125" s="296"/>
      <c r="O125" s="296"/>
      <c r="P125" s="281">
        <v>0.5</v>
      </c>
      <c r="Q125" s="296">
        <v>75</v>
      </c>
      <c r="R125" s="296">
        <v>75</v>
      </c>
      <c r="S125" s="70"/>
      <c r="W125" s="188" t="s">
        <v>954</v>
      </c>
      <c r="AB125" s="242" t="str">
        <f t="shared" si="82"/>
        <v>P76*63.5*1.5 mm,</v>
      </c>
    </row>
    <row r="126" spans="1:28" s="242" customFormat="1">
      <c r="A126" s="286" t="s">
        <v>955</v>
      </c>
      <c r="B126" s="286"/>
      <c r="C126" s="287">
        <f t="shared" si="83"/>
        <v>3.9140100000000002</v>
      </c>
      <c r="D126" s="287">
        <f t="shared" si="81"/>
        <v>0.27900000000000003</v>
      </c>
      <c r="E126" s="287"/>
      <c r="F126" s="288">
        <v>1.8</v>
      </c>
      <c r="G126" s="289">
        <v>277</v>
      </c>
      <c r="H126" s="289">
        <v>76</v>
      </c>
      <c r="I126" s="289">
        <v>63.5</v>
      </c>
      <c r="J126" s="281">
        <f>VLOOKUP(W126,美式P梁价格!$B$1:$F$65536,4,0)/1000</f>
        <v>4.4000000000000004</v>
      </c>
      <c r="K126" s="282">
        <f>Sheet1!$A$3*2.4</f>
        <v>2.4</v>
      </c>
      <c r="L126" s="281">
        <v>9.1999999999999993</v>
      </c>
      <c r="M126" s="281"/>
      <c r="N126" s="296"/>
      <c r="O126" s="296"/>
      <c r="P126" s="281">
        <v>0.5</v>
      </c>
      <c r="Q126" s="296">
        <v>75</v>
      </c>
      <c r="R126" s="296">
        <v>75</v>
      </c>
      <c r="S126" s="70"/>
      <c r="W126" s="188" t="s">
        <v>956</v>
      </c>
      <c r="AB126" s="242" t="str">
        <f t="shared" si="82"/>
        <v>P76*63.5*1.8 mm,</v>
      </c>
    </row>
    <row r="127" spans="1:28" s="242" customFormat="1">
      <c r="A127" s="286" t="s">
        <v>957</v>
      </c>
      <c r="B127" s="286"/>
      <c r="C127" s="287">
        <f t="shared" si="83"/>
        <v>4.2672600000000003</v>
      </c>
      <c r="D127" s="287">
        <f t="shared" si="81"/>
        <v>0.30480000000000002</v>
      </c>
      <c r="E127" s="287"/>
      <c r="F127" s="288">
        <v>1.8</v>
      </c>
      <c r="G127" s="289">
        <v>302</v>
      </c>
      <c r="H127" s="289">
        <v>88.9</v>
      </c>
      <c r="I127" s="289">
        <v>63.5</v>
      </c>
      <c r="J127" s="281">
        <f>VLOOKUP(W127,美式P梁价格!$B$1:$F$65536,4,0)/1000</f>
        <v>4.51</v>
      </c>
      <c r="K127" s="282">
        <f>Sheet1!$A$3*2.6</f>
        <v>2.6</v>
      </c>
      <c r="L127" s="281">
        <v>9.1999999999999993</v>
      </c>
      <c r="M127" s="281"/>
      <c r="N127" s="296"/>
      <c r="O127" s="296"/>
      <c r="P127" s="281">
        <v>0.5</v>
      </c>
      <c r="Q127" s="296">
        <v>75</v>
      </c>
      <c r="R127" s="296">
        <v>75</v>
      </c>
      <c r="S127" s="70"/>
      <c r="W127" s="188" t="s">
        <v>958</v>
      </c>
      <c r="AB127" s="242" t="str">
        <f t="shared" si="82"/>
        <v>P88.9*63.5*1.8 mm,</v>
      </c>
    </row>
    <row r="128" spans="1:28" s="242" customFormat="1">
      <c r="A128" s="286" t="s">
        <v>957</v>
      </c>
      <c r="B128" s="286"/>
      <c r="C128" s="287">
        <f t="shared" si="83"/>
        <v>4.2672600000000003</v>
      </c>
      <c r="D128" s="287">
        <f t="shared" si="81"/>
        <v>0.30480000000000002</v>
      </c>
      <c r="E128" s="287"/>
      <c r="F128" s="288">
        <v>1.8</v>
      </c>
      <c r="G128" s="289">
        <v>302</v>
      </c>
      <c r="H128" s="289">
        <v>88.9</v>
      </c>
      <c r="I128" s="289">
        <v>63.5</v>
      </c>
      <c r="J128" s="281">
        <f>VLOOKUP(W128,美式P梁价格!$B$1:$F$65536,4,0)/1000</f>
        <v>4.4000000000000004</v>
      </c>
      <c r="K128" s="282">
        <f>Sheet1!$A$3*2.6</f>
        <v>2.6</v>
      </c>
      <c r="L128" s="281">
        <v>9.1999999999999993</v>
      </c>
      <c r="M128" s="281"/>
      <c r="N128" s="296"/>
      <c r="O128" s="296"/>
      <c r="P128" s="281">
        <v>0.5</v>
      </c>
      <c r="Q128" s="296">
        <v>75</v>
      </c>
      <c r="R128" s="296">
        <v>75</v>
      </c>
      <c r="S128" s="70"/>
      <c r="W128" s="188" t="s">
        <v>959</v>
      </c>
      <c r="AB128" s="242" t="str">
        <f t="shared" si="82"/>
        <v>P88.9*63.5*1.8 mm,</v>
      </c>
    </row>
    <row r="129" spans="1:28" s="242" customFormat="1">
      <c r="A129" s="286" t="s">
        <v>960</v>
      </c>
      <c r="B129" s="286"/>
      <c r="C129" s="287">
        <f t="shared" si="83"/>
        <v>3.8622000000000001</v>
      </c>
      <c r="D129" s="287">
        <f t="shared" si="81"/>
        <v>0.33019999999999999</v>
      </c>
      <c r="E129" s="287"/>
      <c r="F129" s="288">
        <v>1.5</v>
      </c>
      <c r="G129" s="289">
        <v>328</v>
      </c>
      <c r="H129" s="289">
        <v>101.6</v>
      </c>
      <c r="I129" s="289">
        <v>63.5</v>
      </c>
      <c r="J129" s="281">
        <f>VLOOKUP(W129,美式P梁价格!$B$1:$F$65536,4,0)/1000</f>
        <v>4.51</v>
      </c>
      <c r="K129" s="282">
        <f>Sheet1!$A$3*2.6</f>
        <v>2.6</v>
      </c>
      <c r="L129" s="281">
        <v>9.1999999999999993</v>
      </c>
      <c r="M129" s="281"/>
      <c r="N129" s="296"/>
      <c r="O129" s="296"/>
      <c r="P129" s="281">
        <v>0.5</v>
      </c>
      <c r="Q129" s="296">
        <v>75</v>
      </c>
      <c r="R129" s="296">
        <v>75</v>
      </c>
      <c r="S129" s="70"/>
      <c r="W129" s="188" t="s">
        <v>961</v>
      </c>
      <c r="AB129" s="242" t="str">
        <f t="shared" si="82"/>
        <v>P101.6*63.5*1.5 mm,</v>
      </c>
    </row>
    <row r="130" spans="1:28" s="242" customFormat="1">
      <c r="A130" s="286" t="s">
        <v>962</v>
      </c>
      <c r="B130" s="286"/>
      <c r="C130" s="287">
        <f t="shared" si="83"/>
        <v>4.6346400000000001</v>
      </c>
      <c r="D130" s="287">
        <f t="shared" si="81"/>
        <v>0.33019999999999999</v>
      </c>
      <c r="E130" s="287"/>
      <c r="F130" s="288">
        <v>1.8</v>
      </c>
      <c r="G130" s="289">
        <v>328</v>
      </c>
      <c r="H130" s="289">
        <v>101.6</v>
      </c>
      <c r="I130" s="289">
        <v>63.5</v>
      </c>
      <c r="J130" s="281">
        <f>VLOOKUP(W130,美式P梁价格!$B$1:$F$65536,4,0)/1000</f>
        <v>4.4000000000000004</v>
      </c>
      <c r="K130" s="282">
        <f>Sheet1!$A$3*2.6</f>
        <v>2.6</v>
      </c>
      <c r="L130" s="281">
        <v>9.1999999999999993</v>
      </c>
      <c r="M130" s="281"/>
      <c r="N130" s="296"/>
      <c r="O130" s="296"/>
      <c r="P130" s="281">
        <v>0.5</v>
      </c>
      <c r="Q130" s="296">
        <v>75</v>
      </c>
      <c r="R130" s="296">
        <v>75</v>
      </c>
      <c r="S130" s="70"/>
      <c r="W130" s="188" t="s">
        <v>963</v>
      </c>
      <c r="AB130" s="242" t="str">
        <f t="shared" si="82"/>
        <v>P101.6*63.5*1.8 mm,</v>
      </c>
    </row>
    <row r="131" spans="1:28" s="242" customFormat="1" ht="15" customHeight="1">
      <c r="A131" s="286" t="s">
        <v>964</v>
      </c>
      <c r="B131" s="286"/>
      <c r="C131" s="287">
        <f t="shared" ref="C131:C140" si="84">G131*F131*7.85/1000</f>
        <v>4.1448</v>
      </c>
      <c r="D131" s="287">
        <f t="shared" ref="D131:D140" si="85">(H131+I131)*2/1000</f>
        <v>0.35499999999999998</v>
      </c>
      <c r="E131" s="287"/>
      <c r="F131" s="288">
        <v>1.5</v>
      </c>
      <c r="G131" s="289">
        <v>352</v>
      </c>
      <c r="H131" s="289">
        <v>114</v>
      </c>
      <c r="I131" s="289">
        <v>63.5</v>
      </c>
      <c r="J131" s="281">
        <f>VLOOKUP(W131,美式P梁价格!$B$1:$F$65536,4,0)/1000</f>
        <v>4.51</v>
      </c>
      <c r="K131" s="282">
        <f>Sheet1!$A$3*2.8</f>
        <v>2.8</v>
      </c>
      <c r="L131" s="281">
        <v>9.1999999999999993</v>
      </c>
      <c r="M131" s="281"/>
      <c r="N131" s="296"/>
      <c r="O131" s="296"/>
      <c r="P131" s="281">
        <v>0.5</v>
      </c>
      <c r="Q131" s="296">
        <v>75</v>
      </c>
      <c r="R131" s="296">
        <v>75</v>
      </c>
      <c r="S131" s="70"/>
      <c r="W131" s="188" t="s">
        <v>965</v>
      </c>
      <c r="AB131" s="242" t="str">
        <f t="shared" si="82"/>
        <v>P114*63.5*1.5 mm,</v>
      </c>
    </row>
    <row r="132" spans="1:28" s="242" customFormat="1">
      <c r="A132" s="286" t="s">
        <v>966</v>
      </c>
      <c r="B132" s="286"/>
      <c r="C132" s="287">
        <f t="shared" si="84"/>
        <v>4.9737600000000004</v>
      </c>
      <c r="D132" s="287">
        <f t="shared" si="85"/>
        <v>0.35499999999999998</v>
      </c>
      <c r="E132" s="287"/>
      <c r="F132" s="288">
        <v>1.8</v>
      </c>
      <c r="G132" s="289">
        <v>352</v>
      </c>
      <c r="H132" s="289">
        <v>114</v>
      </c>
      <c r="I132" s="289">
        <v>63.5</v>
      </c>
      <c r="J132" s="281">
        <f>VLOOKUP(W132,美式P梁价格!$B$1:$F$65536,4,0)/1000</f>
        <v>4.4000000000000004</v>
      </c>
      <c r="K132" s="282">
        <f>Sheet1!$A$3*2.8</f>
        <v>2.8</v>
      </c>
      <c r="L132" s="281">
        <v>9.1999999999999993</v>
      </c>
      <c r="M132" s="281"/>
      <c r="N132" s="296"/>
      <c r="O132" s="296"/>
      <c r="P132" s="281">
        <v>0.5</v>
      </c>
      <c r="Q132" s="296">
        <v>75</v>
      </c>
      <c r="R132" s="296">
        <v>75</v>
      </c>
      <c r="S132" s="70"/>
      <c r="W132" s="188" t="s">
        <v>967</v>
      </c>
      <c r="AB132" s="242" t="str">
        <f t="shared" si="82"/>
        <v>P114*63.5*1.8 mm,</v>
      </c>
    </row>
    <row r="133" spans="1:28" s="242" customFormat="1">
      <c r="A133" s="286" t="s">
        <v>968</v>
      </c>
      <c r="B133" s="286"/>
      <c r="C133" s="287">
        <f t="shared" si="84"/>
        <v>5.3693999999999997</v>
      </c>
      <c r="D133" s="287">
        <f t="shared" si="85"/>
        <v>0.38100000000000001</v>
      </c>
      <c r="E133" s="287"/>
      <c r="F133" s="288">
        <v>1.8</v>
      </c>
      <c r="G133" s="289">
        <v>380</v>
      </c>
      <c r="H133" s="289">
        <v>127</v>
      </c>
      <c r="I133" s="289">
        <v>63.5</v>
      </c>
      <c r="J133" s="281">
        <f>VLOOKUP(W133,美式P梁价格!$B$1:$F$65536,4,0)/1000</f>
        <v>4.4000000000000004</v>
      </c>
      <c r="K133" s="282">
        <f>Sheet1!$A$3*3</f>
        <v>3</v>
      </c>
      <c r="L133" s="281">
        <v>9.1999999999999993</v>
      </c>
      <c r="M133" s="281"/>
      <c r="N133" s="296"/>
      <c r="O133" s="296"/>
      <c r="P133" s="281">
        <v>0.5</v>
      </c>
      <c r="Q133" s="296">
        <v>75</v>
      </c>
      <c r="R133" s="296">
        <v>75</v>
      </c>
      <c r="S133" s="70"/>
      <c r="W133" s="188" t="s">
        <v>969</v>
      </c>
      <c r="AB133" s="242" t="str">
        <f t="shared" si="82"/>
        <v>P127*63.5*1.8 mm,</v>
      </c>
    </row>
    <row r="134" spans="1:28" s="242" customFormat="1">
      <c r="A134" s="286" t="s">
        <v>970</v>
      </c>
      <c r="B134" s="286"/>
      <c r="C134" s="287">
        <f t="shared" si="84"/>
        <v>5.9660000000000002</v>
      </c>
      <c r="D134" s="287">
        <f t="shared" si="85"/>
        <v>0.38100000000000001</v>
      </c>
      <c r="E134" s="287"/>
      <c r="F134" s="288">
        <v>2</v>
      </c>
      <c r="G134" s="289">
        <v>380</v>
      </c>
      <c r="H134" s="289">
        <v>127</v>
      </c>
      <c r="I134" s="289">
        <v>63.5</v>
      </c>
      <c r="J134" s="281">
        <f>VLOOKUP(W134,美式P梁价格!$B$1:$F$65536,4,0)/1000</f>
        <v>4.3899999999999997</v>
      </c>
      <c r="K134" s="282">
        <f>Sheet1!$A$3*3</f>
        <v>3</v>
      </c>
      <c r="L134" s="281">
        <v>9.1999999999999993</v>
      </c>
      <c r="M134" s="281"/>
      <c r="N134" s="296"/>
      <c r="O134" s="296"/>
      <c r="P134" s="281">
        <v>0.5</v>
      </c>
      <c r="Q134" s="296">
        <v>75</v>
      </c>
      <c r="R134" s="296">
        <v>75</v>
      </c>
      <c r="S134" s="70"/>
      <c r="W134" s="247" t="s">
        <v>971</v>
      </c>
      <c r="AB134" s="242" t="str">
        <f t="shared" si="82"/>
        <v>P127*63.5*2 mm,</v>
      </c>
    </row>
    <row r="135" spans="1:28" s="242" customFormat="1">
      <c r="A135" s="286" t="s">
        <v>972</v>
      </c>
      <c r="B135" s="286" t="s">
        <v>973</v>
      </c>
      <c r="C135" s="287">
        <f t="shared" ref="C135" si="86">G135*F135*7.85/1000</f>
        <v>7.4574999999999996</v>
      </c>
      <c r="D135" s="287">
        <f t="shared" ref="D135" si="87">(H135+I135)*2/1000</f>
        <v>0.38100000000000001</v>
      </c>
      <c r="E135" s="287"/>
      <c r="F135" s="288">
        <v>2.5</v>
      </c>
      <c r="G135" s="289">
        <v>380</v>
      </c>
      <c r="H135" s="289">
        <v>127</v>
      </c>
      <c r="I135" s="289">
        <v>63.5</v>
      </c>
      <c r="J135" s="281">
        <f>VLOOKUP(W135,美式P梁价格!$B$1:$F$65536,4,0)/1000</f>
        <v>4.3899999999999997</v>
      </c>
      <c r="K135" s="282">
        <f>Sheet1!$A$3*3</f>
        <v>3</v>
      </c>
      <c r="L135" s="281">
        <v>9.1999999999999993</v>
      </c>
      <c r="M135" s="281"/>
      <c r="N135" s="296"/>
      <c r="O135" s="296"/>
      <c r="P135" s="281">
        <v>0.5</v>
      </c>
      <c r="Q135" s="296">
        <v>75</v>
      </c>
      <c r="R135" s="296">
        <v>75</v>
      </c>
      <c r="S135" s="70"/>
      <c r="W135" s="247" t="s">
        <v>971</v>
      </c>
      <c r="AB135" s="242" t="str">
        <f t="shared" ref="AB135" si="88">"P"&amp;H135&amp;"*"&amp;I135&amp;"*"&amp;F135&amp;" mm,"</f>
        <v>P127*63.5*2.5 mm,</v>
      </c>
    </row>
    <row r="136" spans="1:28" s="242" customFormat="1">
      <c r="A136" s="286" t="s">
        <v>974</v>
      </c>
      <c r="B136" s="286"/>
      <c r="C136" s="287">
        <f t="shared" si="84"/>
        <v>5.6943900000000003</v>
      </c>
      <c r="D136" s="287">
        <f t="shared" si="85"/>
        <v>0.40639999999999998</v>
      </c>
      <c r="E136" s="287"/>
      <c r="F136" s="288">
        <v>1.8</v>
      </c>
      <c r="G136" s="289">
        <v>403</v>
      </c>
      <c r="H136" s="289">
        <v>139.69999999999999</v>
      </c>
      <c r="I136" s="289">
        <v>63.5</v>
      </c>
      <c r="J136" s="281">
        <f>VLOOKUP(W136,美式P梁价格!$B$1:$F$65536,4,0)/1000</f>
        <v>4.4000000000000004</v>
      </c>
      <c r="K136" s="282">
        <f>Sheet1!$A$3*3.3</f>
        <v>3.3</v>
      </c>
      <c r="L136" s="281">
        <v>9.1999999999999993</v>
      </c>
      <c r="M136" s="281"/>
      <c r="N136" s="296"/>
      <c r="O136" s="296"/>
      <c r="P136" s="281">
        <v>0.5</v>
      </c>
      <c r="Q136" s="296">
        <v>75</v>
      </c>
      <c r="R136" s="296">
        <v>75</v>
      </c>
      <c r="S136" s="70"/>
      <c r="W136" s="188" t="s">
        <v>975</v>
      </c>
      <c r="AB136" s="242" t="str">
        <f t="shared" si="82"/>
        <v>P139.7*63.5*1.8 mm,</v>
      </c>
    </row>
    <row r="137" spans="1:28" s="242" customFormat="1">
      <c r="A137" s="286" t="s">
        <v>976</v>
      </c>
      <c r="B137" s="286"/>
      <c r="C137" s="287">
        <f t="shared" si="84"/>
        <v>6.3270999999999997</v>
      </c>
      <c r="D137" s="287">
        <f t="shared" si="85"/>
        <v>0.40639999999999998</v>
      </c>
      <c r="E137" s="287"/>
      <c r="F137" s="288">
        <v>2</v>
      </c>
      <c r="G137" s="289">
        <v>403</v>
      </c>
      <c r="H137" s="289">
        <v>139.69999999999999</v>
      </c>
      <c r="I137" s="289">
        <v>63.5</v>
      </c>
      <c r="J137" s="281">
        <f>VLOOKUP(W137,美式P梁价格!$B$1:$F$65536,4,0)/1000</f>
        <v>4.3899999999999997</v>
      </c>
      <c r="K137" s="282">
        <f>Sheet1!$A$3*3.3</f>
        <v>3.3</v>
      </c>
      <c r="L137" s="281">
        <v>9.1999999999999993</v>
      </c>
      <c r="M137" s="281"/>
      <c r="N137" s="296"/>
      <c r="O137" s="296"/>
      <c r="P137" s="281">
        <v>0.5</v>
      </c>
      <c r="Q137" s="296">
        <v>75</v>
      </c>
      <c r="R137" s="296">
        <v>75</v>
      </c>
      <c r="S137" s="70"/>
      <c r="W137" s="247" t="s">
        <v>977</v>
      </c>
      <c r="AB137" s="242" t="str">
        <f t="shared" si="82"/>
        <v>P139.7*63.5*2 mm,</v>
      </c>
    </row>
    <row r="138" spans="1:28" s="242" customFormat="1">
      <c r="A138" s="286" t="s">
        <v>978</v>
      </c>
      <c r="B138" s="286" t="s">
        <v>973</v>
      </c>
      <c r="C138" s="287">
        <f t="shared" ref="C138" si="89">G138*F138*7.85/1000</f>
        <v>7.9088750000000001</v>
      </c>
      <c r="D138" s="287">
        <f t="shared" ref="D138" si="90">(H138+I138)*2/1000</f>
        <v>0.40639999999999998</v>
      </c>
      <c r="E138" s="287"/>
      <c r="F138" s="288">
        <v>2.5</v>
      </c>
      <c r="G138" s="289">
        <v>403</v>
      </c>
      <c r="H138" s="289">
        <v>139.69999999999999</v>
      </c>
      <c r="I138" s="289">
        <v>63.5</v>
      </c>
      <c r="J138" s="281">
        <f>VLOOKUP(W138,美式P梁价格!$B$1:$F$65536,4,0)/1000</f>
        <v>4.3899999999999997</v>
      </c>
      <c r="K138" s="282">
        <f>Sheet1!$A$3*3.3</f>
        <v>3.3</v>
      </c>
      <c r="L138" s="281">
        <v>9.1999999999999993</v>
      </c>
      <c r="M138" s="281"/>
      <c r="N138" s="296"/>
      <c r="O138" s="296"/>
      <c r="P138" s="281">
        <v>0.5</v>
      </c>
      <c r="Q138" s="296">
        <v>75</v>
      </c>
      <c r="R138" s="296">
        <v>75</v>
      </c>
      <c r="S138" s="70"/>
      <c r="W138" s="247" t="s">
        <v>977</v>
      </c>
      <c r="AB138" s="242" t="str">
        <f t="shared" ref="AB138" si="91">"P"&amp;H138&amp;"*"&amp;I138&amp;"*"&amp;F138&amp;" mm,"</f>
        <v>P139.7*63.5*2.5 mm,</v>
      </c>
    </row>
    <row r="139" spans="1:28" s="242" customFormat="1">
      <c r="A139" s="286" t="s">
        <v>979</v>
      </c>
      <c r="B139" s="286"/>
      <c r="C139" s="287">
        <f t="shared" si="84"/>
        <v>6.0476400000000003</v>
      </c>
      <c r="D139" s="287">
        <f t="shared" si="85"/>
        <v>0.43180000000000002</v>
      </c>
      <c r="E139" s="287"/>
      <c r="F139" s="288">
        <v>1.8</v>
      </c>
      <c r="G139" s="289">
        <v>428</v>
      </c>
      <c r="H139" s="289">
        <v>152.4</v>
      </c>
      <c r="I139" s="289">
        <v>63.5</v>
      </c>
      <c r="J139" s="281">
        <f>VLOOKUP(W139,美式P梁价格!$B$1:$F$65536,4,0)/1000</f>
        <v>4.4000000000000004</v>
      </c>
      <c r="K139" s="282">
        <f>Sheet1!$A$3*3.6</f>
        <v>3.6</v>
      </c>
      <c r="L139" s="281">
        <v>9.1999999999999993</v>
      </c>
      <c r="M139" s="281"/>
      <c r="N139" s="296"/>
      <c r="O139" s="296"/>
      <c r="P139" s="281">
        <v>0.5</v>
      </c>
      <c r="Q139" s="296">
        <v>75</v>
      </c>
      <c r="R139" s="296">
        <v>75</v>
      </c>
      <c r="S139" s="70"/>
      <c r="W139" s="247" t="s">
        <v>980</v>
      </c>
      <c r="AB139" s="242" t="str">
        <f t="shared" si="82"/>
        <v>P152.4*63.5*1.8 mm,</v>
      </c>
    </row>
    <row r="140" spans="1:28" s="242" customFormat="1">
      <c r="A140" s="286" t="s">
        <v>981</v>
      </c>
      <c r="B140" s="286"/>
      <c r="C140" s="287">
        <f t="shared" si="84"/>
        <v>6.7195999999999998</v>
      </c>
      <c r="D140" s="287">
        <f t="shared" si="85"/>
        <v>0.43180000000000002</v>
      </c>
      <c r="E140" s="287"/>
      <c r="F140" s="288">
        <v>2</v>
      </c>
      <c r="G140" s="289">
        <v>428</v>
      </c>
      <c r="H140" s="289">
        <v>152.4</v>
      </c>
      <c r="I140" s="289">
        <v>63.5</v>
      </c>
      <c r="J140" s="281">
        <f>VLOOKUP(W140,美式P梁价格!$B$1:$F$65536,4,0)/1000</f>
        <v>4.3899999999999997</v>
      </c>
      <c r="K140" s="282">
        <f>Sheet1!$A$3*3.6</f>
        <v>3.6</v>
      </c>
      <c r="L140" s="281">
        <v>9.1999999999999993</v>
      </c>
      <c r="M140" s="281"/>
      <c r="N140" s="296"/>
      <c r="O140" s="296"/>
      <c r="P140" s="281">
        <v>0.5</v>
      </c>
      <c r="Q140" s="296">
        <v>75</v>
      </c>
      <c r="R140" s="296">
        <v>75</v>
      </c>
      <c r="S140" s="70"/>
      <c r="W140" s="247" t="s">
        <v>982</v>
      </c>
      <c r="AB140" s="242" t="str">
        <f t="shared" si="82"/>
        <v>P152.4*63.5*2 mm,</v>
      </c>
    </row>
    <row r="141" spans="1:28" s="242" customFormat="1">
      <c r="A141" s="286"/>
      <c r="B141" s="286"/>
      <c r="C141" s="287"/>
      <c r="D141" s="287"/>
      <c r="E141" s="287"/>
      <c r="F141" s="288"/>
      <c r="G141" s="289"/>
      <c r="H141" s="289"/>
      <c r="I141" s="289"/>
      <c r="J141" s="281"/>
      <c r="K141" s="282"/>
      <c r="L141" s="281"/>
      <c r="M141" s="281"/>
      <c r="N141" s="281"/>
      <c r="O141" s="281"/>
      <c r="P141" s="281"/>
      <c r="Q141" s="284"/>
      <c r="R141" s="284"/>
      <c r="S141" s="70"/>
      <c r="W141" s="247"/>
    </row>
    <row r="142" spans="1:28" s="242" customFormat="1">
      <c r="A142" s="286"/>
      <c r="B142" s="286"/>
      <c r="C142" s="287"/>
      <c r="D142" s="287"/>
      <c r="E142" s="287"/>
      <c r="F142" s="288"/>
      <c r="G142" s="289"/>
      <c r="H142" s="289"/>
      <c r="I142" s="289"/>
      <c r="J142" s="281"/>
      <c r="K142" s="282"/>
      <c r="L142" s="281"/>
      <c r="M142" s="281"/>
      <c r="N142" s="281"/>
      <c r="O142" s="281"/>
      <c r="P142" s="281"/>
      <c r="Q142" s="284"/>
      <c r="R142" s="284"/>
      <c r="S142" s="70"/>
      <c r="W142" s="247"/>
    </row>
    <row r="143" spans="1:28" s="242" customFormat="1">
      <c r="A143" s="286"/>
      <c r="B143" s="286"/>
      <c r="C143" s="287"/>
      <c r="D143" s="287"/>
      <c r="E143" s="287"/>
      <c r="F143" s="288"/>
      <c r="G143" s="289"/>
      <c r="H143" s="289"/>
      <c r="I143" s="289"/>
      <c r="J143" s="281"/>
      <c r="K143" s="282"/>
      <c r="L143" s="281"/>
      <c r="M143" s="281"/>
      <c r="N143" s="281"/>
      <c r="O143" s="281"/>
      <c r="P143" s="281"/>
      <c r="Q143" s="284"/>
      <c r="R143" s="284"/>
      <c r="S143" s="70"/>
      <c r="W143" s="247"/>
    </row>
    <row r="144" spans="1:28" s="242" customFormat="1">
      <c r="A144" s="286"/>
      <c r="B144" s="286"/>
      <c r="C144" s="287"/>
      <c r="D144" s="287"/>
      <c r="E144" s="287"/>
      <c r="F144" s="288"/>
      <c r="G144" s="289"/>
      <c r="H144" s="289"/>
      <c r="I144" s="289"/>
      <c r="J144" s="281"/>
      <c r="K144" s="282"/>
      <c r="L144" s="281"/>
      <c r="M144" s="281"/>
      <c r="N144" s="281"/>
      <c r="O144" s="281"/>
      <c r="P144" s="281"/>
      <c r="Q144" s="284"/>
      <c r="R144" s="284"/>
      <c r="S144" s="70"/>
      <c r="W144" s="247"/>
    </row>
    <row r="145" spans="1:28" s="242" customFormat="1">
      <c r="A145" s="286"/>
      <c r="B145" s="286"/>
      <c r="C145" s="287"/>
      <c r="D145" s="287"/>
      <c r="E145" s="287"/>
      <c r="F145" s="288"/>
      <c r="G145" s="289"/>
      <c r="H145" s="289"/>
      <c r="I145" s="289"/>
      <c r="J145" s="281"/>
      <c r="K145" s="282"/>
      <c r="L145" s="281"/>
      <c r="M145" s="281"/>
      <c r="N145" s="281"/>
      <c r="O145" s="281"/>
      <c r="P145" s="281"/>
      <c r="Q145" s="284"/>
      <c r="R145" s="284"/>
      <c r="S145" s="70"/>
      <c r="W145" s="247"/>
    </row>
    <row r="146" spans="1:28" s="242" customFormat="1">
      <c r="A146" s="286"/>
      <c r="B146" s="286"/>
      <c r="C146" s="287"/>
      <c r="D146" s="287"/>
      <c r="E146" s="287"/>
      <c r="F146" s="288"/>
      <c r="G146" s="289"/>
      <c r="H146" s="289"/>
      <c r="I146" s="289"/>
      <c r="J146" s="281"/>
      <c r="K146" s="282"/>
      <c r="L146" s="281"/>
      <c r="M146" s="281"/>
      <c r="N146" s="281"/>
      <c r="O146" s="281"/>
      <c r="P146" s="281"/>
      <c r="Q146" s="284"/>
      <c r="R146" s="284"/>
      <c r="S146" s="70"/>
      <c r="W146" s="247"/>
    </row>
    <row r="147" spans="1:28" s="242" customFormat="1">
      <c r="A147" s="286"/>
      <c r="B147" s="286"/>
      <c r="C147" s="287"/>
      <c r="D147" s="287"/>
      <c r="E147" s="287"/>
      <c r="F147" s="288"/>
      <c r="G147" s="289"/>
      <c r="H147" s="289"/>
      <c r="I147" s="289"/>
      <c r="J147" s="281"/>
      <c r="K147" s="282"/>
      <c r="L147" s="281"/>
      <c r="M147" s="281"/>
      <c r="N147" s="281"/>
      <c r="O147" s="281"/>
      <c r="P147" s="281"/>
      <c r="Q147" s="284"/>
      <c r="R147" s="284"/>
      <c r="S147" s="70"/>
      <c r="W147" s="247"/>
    </row>
    <row r="148" spans="1:28" s="242" customFormat="1">
      <c r="A148" s="286"/>
      <c r="B148" s="286"/>
      <c r="C148" s="287"/>
      <c r="D148" s="287"/>
      <c r="E148" s="287"/>
      <c r="F148" s="288"/>
      <c r="G148" s="289"/>
      <c r="H148" s="289"/>
      <c r="I148" s="289"/>
      <c r="J148" s="281"/>
      <c r="K148" s="282"/>
      <c r="L148" s="281"/>
      <c r="M148" s="281"/>
      <c r="N148" s="281"/>
      <c r="O148" s="281"/>
      <c r="P148" s="281"/>
      <c r="Q148" s="284"/>
      <c r="R148" s="284"/>
      <c r="S148" s="70"/>
      <c r="W148" s="247"/>
    </row>
    <row r="149" spans="1:28" s="242" customFormat="1">
      <c r="A149" s="286"/>
      <c r="B149" s="286"/>
      <c r="C149" s="287"/>
      <c r="D149" s="287"/>
      <c r="E149" s="287"/>
      <c r="F149" s="288"/>
      <c r="G149" s="289"/>
      <c r="H149" s="289"/>
      <c r="I149" s="289"/>
      <c r="J149" s="281"/>
      <c r="K149" s="282"/>
      <c r="L149" s="281"/>
      <c r="M149" s="281"/>
      <c r="N149" s="281"/>
      <c r="O149" s="281"/>
      <c r="P149" s="281"/>
      <c r="Q149" s="284"/>
      <c r="R149" s="284"/>
      <c r="S149" s="70"/>
      <c r="W149" s="247"/>
    </row>
    <row r="150" spans="1:28" s="242" customFormat="1">
      <c r="A150" s="286"/>
      <c r="B150" s="286"/>
      <c r="C150" s="287"/>
      <c r="D150" s="287"/>
      <c r="E150" s="287"/>
      <c r="F150" s="288"/>
      <c r="G150" s="289"/>
      <c r="H150" s="289"/>
      <c r="I150" s="289"/>
      <c r="J150" s="281"/>
      <c r="K150" s="282"/>
      <c r="L150" s="281"/>
      <c r="M150" s="281"/>
      <c r="N150" s="281"/>
      <c r="O150" s="281"/>
      <c r="P150" s="281"/>
      <c r="Q150" s="284"/>
      <c r="R150" s="284"/>
      <c r="S150" s="70"/>
      <c r="W150" s="247"/>
    </row>
    <row r="151" spans="1:28" s="242" customFormat="1">
      <c r="A151" s="286"/>
      <c r="B151" s="286"/>
      <c r="C151" s="287"/>
      <c r="D151" s="287"/>
      <c r="E151" s="287"/>
      <c r="F151" s="288"/>
      <c r="G151" s="289"/>
      <c r="H151" s="289"/>
      <c r="I151" s="289"/>
      <c r="J151" s="281"/>
      <c r="K151" s="282"/>
      <c r="L151" s="281"/>
      <c r="M151" s="281"/>
      <c r="N151" s="281"/>
      <c r="O151" s="281"/>
      <c r="P151" s="281"/>
      <c r="Q151" s="284"/>
      <c r="R151" s="284"/>
      <c r="S151" s="70"/>
      <c r="W151" s="247"/>
    </row>
    <row r="152" spans="1:28" s="242" customFormat="1">
      <c r="A152" s="286"/>
      <c r="B152" s="286"/>
      <c r="C152" s="287"/>
      <c r="D152" s="287"/>
      <c r="E152" s="287"/>
      <c r="F152" s="288"/>
      <c r="G152" s="289"/>
      <c r="H152" s="289"/>
      <c r="I152" s="289"/>
      <c r="J152" s="281"/>
      <c r="K152" s="282"/>
      <c r="L152" s="281"/>
      <c r="M152" s="281"/>
      <c r="N152" s="281"/>
      <c r="O152" s="281"/>
      <c r="P152" s="281"/>
      <c r="Q152" s="284"/>
      <c r="R152" s="284"/>
      <c r="S152" s="70"/>
      <c r="W152" s="247"/>
    </row>
    <row r="153" spans="1:28" s="242" customFormat="1">
      <c r="A153" s="277" t="s">
        <v>983</v>
      </c>
      <c r="B153" s="277"/>
      <c r="C153" s="278"/>
      <c r="D153" s="278"/>
      <c r="E153" s="278"/>
      <c r="F153" s="279"/>
      <c r="G153" s="280"/>
      <c r="H153" s="280"/>
      <c r="I153" s="280"/>
      <c r="J153" s="281"/>
      <c r="K153" s="282"/>
      <c r="L153" s="281"/>
      <c r="M153" s="281"/>
      <c r="N153" s="281"/>
      <c r="O153" s="281"/>
      <c r="P153" s="281"/>
      <c r="Q153" s="284"/>
      <c r="R153" s="281" t="s">
        <v>921</v>
      </c>
      <c r="S153" s="70"/>
    </row>
    <row r="154" spans="1:28" s="242" customFormat="1">
      <c r="A154" s="286" t="s">
        <v>984</v>
      </c>
      <c r="B154" s="286"/>
      <c r="C154" s="287">
        <f t="shared" ref="C154:C171" si="92">G154*F154*7.85/1000</f>
        <v>1.81335</v>
      </c>
      <c r="D154" s="287">
        <f t="shared" ref="D154:D171" si="93">(H154+I154)*2/1000</f>
        <v>0.16</v>
      </c>
      <c r="E154" s="287"/>
      <c r="F154" s="288">
        <v>1.5</v>
      </c>
      <c r="G154" s="289">
        <v>154</v>
      </c>
      <c r="H154" s="289">
        <v>40</v>
      </c>
      <c r="I154" s="289">
        <v>40</v>
      </c>
      <c r="J154" s="281">
        <f>VLOOKUP(W154,材料信息更新!$B:$C,2,0)</f>
        <v>4.28</v>
      </c>
      <c r="K154" s="282">
        <f>Sheet1!$A$3*1.3</f>
        <v>1.3</v>
      </c>
      <c r="L154" s="281">
        <v>9.6999999999999993</v>
      </c>
      <c r="M154" s="281"/>
      <c r="N154" s="281"/>
      <c r="O154" s="281"/>
      <c r="P154" s="298">
        <v>0.3</v>
      </c>
      <c r="Q154" s="284"/>
      <c r="R154" s="296">
        <v>60</v>
      </c>
      <c r="S154" s="70"/>
      <c r="W154" s="188" t="s">
        <v>985</v>
      </c>
      <c r="AB154" s="242" t="str">
        <f t="shared" ref="AB154:AB170" si="94">"HS"&amp;H154&amp;"*"&amp;I154&amp;"*"&amp;F154&amp;" mm,"</f>
        <v>HS40*40*1.5 mm,</v>
      </c>
    </row>
    <row r="155" spans="1:28" s="242" customFormat="1">
      <c r="A155" s="286" t="s">
        <v>986</v>
      </c>
      <c r="B155" s="286"/>
      <c r="C155" s="287">
        <f t="shared" si="92"/>
        <v>1.461984</v>
      </c>
      <c r="D155" s="287">
        <f t="shared" si="93"/>
        <v>0.16</v>
      </c>
      <c r="E155" s="287"/>
      <c r="F155" s="288">
        <v>1.2</v>
      </c>
      <c r="G155" s="289">
        <f>50*2+30*2-4*1.2</f>
        <v>155.19999999999999</v>
      </c>
      <c r="H155" s="289">
        <v>50</v>
      </c>
      <c r="I155" s="289">
        <v>30</v>
      </c>
      <c r="J155" s="281">
        <f>VLOOKUP(W155,材料信息更新!$B:$C,2,0)</f>
        <v>4.33</v>
      </c>
      <c r="K155" s="282">
        <f>Sheet1!$A$3*1.3</f>
        <v>1.3</v>
      </c>
      <c r="L155" s="281">
        <v>9.6999999999999993</v>
      </c>
      <c r="M155" s="281"/>
      <c r="N155" s="281"/>
      <c r="O155" s="281"/>
      <c r="P155" s="298">
        <v>0.3</v>
      </c>
      <c r="Q155" s="284"/>
      <c r="R155" s="296">
        <v>60</v>
      </c>
      <c r="S155" s="70"/>
      <c r="W155" s="188" t="s">
        <v>987</v>
      </c>
      <c r="AB155" s="242" t="str">
        <f t="shared" si="94"/>
        <v>HS50*30*1.2 mm,</v>
      </c>
    </row>
    <row r="156" spans="1:28" s="242" customFormat="1">
      <c r="A156" s="286" t="s">
        <v>344</v>
      </c>
      <c r="B156" s="286"/>
      <c r="C156" s="287">
        <f t="shared" si="92"/>
        <v>1.81335</v>
      </c>
      <c r="D156" s="287">
        <f t="shared" si="93"/>
        <v>0.16</v>
      </c>
      <c r="E156" s="287"/>
      <c r="F156" s="288">
        <v>1.5</v>
      </c>
      <c r="G156" s="289">
        <v>154</v>
      </c>
      <c r="H156" s="289">
        <v>50</v>
      </c>
      <c r="I156" s="289">
        <v>30</v>
      </c>
      <c r="J156" s="281">
        <f>VLOOKUP(W156,材料信息更新!$B:$C,2,0)</f>
        <v>4.28</v>
      </c>
      <c r="K156" s="282">
        <f>Sheet1!$A$3*1.3</f>
        <v>1.3</v>
      </c>
      <c r="L156" s="281">
        <v>9.6999999999999993</v>
      </c>
      <c r="M156" s="281"/>
      <c r="N156" s="281"/>
      <c r="O156" s="281"/>
      <c r="P156" s="298">
        <v>0.3</v>
      </c>
      <c r="Q156" s="284"/>
      <c r="R156" s="296">
        <v>60</v>
      </c>
      <c r="S156" s="70"/>
      <c r="W156" s="188" t="s">
        <v>985</v>
      </c>
      <c r="AB156" s="242" t="str">
        <f t="shared" si="94"/>
        <v>HS50*30*1.5 mm,</v>
      </c>
    </row>
    <row r="157" spans="1:28" s="242" customFormat="1">
      <c r="A157" s="286" t="s">
        <v>988</v>
      </c>
      <c r="B157" s="286"/>
      <c r="C157" s="287">
        <f t="shared" si="92"/>
        <v>2.3864000000000001</v>
      </c>
      <c r="D157" s="287">
        <f t="shared" si="93"/>
        <v>0.16</v>
      </c>
      <c r="E157" s="287"/>
      <c r="F157" s="288">
        <v>2</v>
      </c>
      <c r="G157" s="289">
        <v>152</v>
      </c>
      <c r="H157" s="289">
        <v>50</v>
      </c>
      <c r="I157" s="289">
        <v>30</v>
      </c>
      <c r="J157" s="281">
        <f>VLOOKUP(W157,材料信息更新!$B:$C,2,0)</f>
        <v>4.08</v>
      </c>
      <c r="K157" s="282">
        <f>Sheet1!$A$3*1.3</f>
        <v>1.3</v>
      </c>
      <c r="L157" s="281">
        <v>9.6999999999999993</v>
      </c>
      <c r="M157" s="281"/>
      <c r="N157" s="281"/>
      <c r="O157" s="281"/>
      <c r="P157" s="298">
        <v>0.3</v>
      </c>
      <c r="Q157" s="284"/>
      <c r="R157" s="296">
        <v>60</v>
      </c>
      <c r="S157" s="70"/>
      <c r="W157" s="188" t="s">
        <v>989</v>
      </c>
      <c r="AB157" s="242" t="str">
        <f t="shared" si="94"/>
        <v>HS50*30*2 mm,</v>
      </c>
    </row>
    <row r="158" spans="1:28" s="242" customFormat="1">
      <c r="A158" s="286" t="s">
        <v>990</v>
      </c>
      <c r="B158" s="286"/>
      <c r="C158" s="287">
        <f t="shared" si="92"/>
        <v>1.838784</v>
      </c>
      <c r="D158" s="287">
        <f t="shared" si="93"/>
        <v>0.2</v>
      </c>
      <c r="E158" s="287"/>
      <c r="F158" s="288">
        <v>1.2</v>
      </c>
      <c r="G158" s="289">
        <f t="shared" ref="G158:G171" si="95">(H158+I158)*2-4*F158</f>
        <v>195.2</v>
      </c>
      <c r="H158" s="289">
        <v>60</v>
      </c>
      <c r="I158" s="289">
        <v>40</v>
      </c>
      <c r="J158" s="281">
        <f>VLOOKUP(W158,材料信息更新!$B:$C,2,0)</f>
        <v>4.33</v>
      </c>
      <c r="K158" s="282">
        <f>Sheet1!$A$3*1.3</f>
        <v>1.3</v>
      </c>
      <c r="L158" s="281">
        <v>9.6999999999999993</v>
      </c>
      <c r="M158" s="281"/>
      <c r="N158" s="281"/>
      <c r="O158" s="281"/>
      <c r="P158" s="298">
        <v>0.3</v>
      </c>
      <c r="Q158" s="284"/>
      <c r="R158" s="296">
        <v>60</v>
      </c>
      <c r="S158" s="70"/>
      <c r="W158" s="188" t="s">
        <v>987</v>
      </c>
      <c r="AB158" s="242" t="str">
        <f t="shared" si="94"/>
        <v>HS60*40*1.2 mm,</v>
      </c>
    </row>
    <row r="159" spans="1:28" s="242" customFormat="1">
      <c r="A159" s="286" t="s">
        <v>371</v>
      </c>
      <c r="B159" s="286"/>
      <c r="C159" s="287">
        <f t="shared" si="92"/>
        <v>2.2843499999999999</v>
      </c>
      <c r="D159" s="287">
        <f t="shared" si="93"/>
        <v>0.2</v>
      </c>
      <c r="E159" s="287"/>
      <c r="F159" s="288">
        <v>1.5</v>
      </c>
      <c r="G159" s="289">
        <f t="shared" si="95"/>
        <v>194</v>
      </c>
      <c r="H159" s="289">
        <v>60</v>
      </c>
      <c r="I159" s="289">
        <v>40</v>
      </c>
      <c r="J159" s="281">
        <f>VLOOKUP(W159,材料信息更新!$B:$C,2,0)</f>
        <v>4.28</v>
      </c>
      <c r="K159" s="282">
        <f>Sheet1!$A$3*1.3</f>
        <v>1.3</v>
      </c>
      <c r="L159" s="281">
        <v>9.6999999999999993</v>
      </c>
      <c r="M159" s="281"/>
      <c r="N159" s="281"/>
      <c r="O159" s="281"/>
      <c r="P159" s="298">
        <v>0.3</v>
      </c>
      <c r="Q159" s="284"/>
      <c r="R159" s="296">
        <v>60</v>
      </c>
      <c r="S159" s="70"/>
      <c r="W159" s="188" t="s">
        <v>985</v>
      </c>
      <c r="AB159" s="242" t="str">
        <f t="shared" si="94"/>
        <v>HS60*40*1.5 mm,</v>
      </c>
    </row>
    <row r="160" spans="1:28" s="242" customFormat="1">
      <c r="A160" s="286" t="s">
        <v>991</v>
      </c>
      <c r="B160" s="286"/>
      <c r="C160" s="287">
        <f t="shared" si="92"/>
        <v>3.0144000000000002</v>
      </c>
      <c r="D160" s="287">
        <f t="shared" si="93"/>
        <v>0.2</v>
      </c>
      <c r="E160" s="287"/>
      <c r="F160" s="288">
        <v>2</v>
      </c>
      <c r="G160" s="289">
        <f t="shared" si="95"/>
        <v>192</v>
      </c>
      <c r="H160" s="289">
        <v>60</v>
      </c>
      <c r="I160" s="289">
        <v>40</v>
      </c>
      <c r="J160" s="281">
        <f>VLOOKUP(W160,材料信息更新!$B:$C,2,0)</f>
        <v>4.08</v>
      </c>
      <c r="K160" s="282">
        <f>Sheet1!$A$3*1.3</f>
        <v>1.3</v>
      </c>
      <c r="L160" s="281">
        <v>9.6999999999999993</v>
      </c>
      <c r="M160" s="281"/>
      <c r="N160" s="281"/>
      <c r="O160" s="281"/>
      <c r="P160" s="298">
        <v>0.3</v>
      </c>
      <c r="Q160" s="284"/>
      <c r="R160" s="296">
        <v>60</v>
      </c>
      <c r="S160" s="70"/>
      <c r="W160" s="188" t="s">
        <v>989</v>
      </c>
      <c r="AB160" s="242" t="str">
        <f t="shared" si="94"/>
        <v>HS60*40*2 mm,</v>
      </c>
    </row>
    <row r="161" spans="1:28" s="242" customFormat="1">
      <c r="A161" s="286" t="s">
        <v>480</v>
      </c>
      <c r="B161" s="286"/>
      <c r="C161" s="287">
        <f t="shared" si="92"/>
        <v>2.75535</v>
      </c>
      <c r="D161" s="287">
        <f t="shared" si="93"/>
        <v>0.24</v>
      </c>
      <c r="E161" s="287"/>
      <c r="F161" s="288">
        <v>1.5</v>
      </c>
      <c r="G161" s="289">
        <f t="shared" si="95"/>
        <v>234</v>
      </c>
      <c r="H161" s="289">
        <v>80</v>
      </c>
      <c r="I161" s="289">
        <v>40</v>
      </c>
      <c r="J161" s="281">
        <f>VLOOKUP(W161,材料信息更新!$B:$C,2,0)</f>
        <v>4.28</v>
      </c>
      <c r="K161" s="282">
        <f>Sheet1!$A$3*2</f>
        <v>2</v>
      </c>
      <c r="L161" s="281">
        <v>9.1999999999999993</v>
      </c>
      <c r="M161" s="281"/>
      <c r="N161" s="281"/>
      <c r="O161" s="281"/>
      <c r="P161" s="298">
        <v>0.3</v>
      </c>
      <c r="Q161" s="284"/>
      <c r="R161" s="296">
        <v>60</v>
      </c>
      <c r="S161" s="70"/>
      <c r="W161" s="188" t="s">
        <v>985</v>
      </c>
      <c r="AB161" s="242" t="str">
        <f t="shared" si="94"/>
        <v>HS80*40*1.5 mm,</v>
      </c>
    </row>
    <row r="162" spans="1:28" s="242" customFormat="1">
      <c r="A162" s="286" t="s">
        <v>992</v>
      </c>
      <c r="B162" s="286"/>
      <c r="C162" s="287">
        <f t="shared" si="92"/>
        <v>3.6423999999999999</v>
      </c>
      <c r="D162" s="287">
        <f t="shared" si="93"/>
        <v>0.24</v>
      </c>
      <c r="E162" s="287"/>
      <c r="F162" s="288">
        <v>2</v>
      </c>
      <c r="G162" s="289">
        <f t="shared" si="95"/>
        <v>232</v>
      </c>
      <c r="H162" s="289">
        <v>80</v>
      </c>
      <c r="I162" s="289">
        <v>40</v>
      </c>
      <c r="J162" s="281">
        <f>VLOOKUP(W162,材料信息更新!$B:$C,2,0)</f>
        <v>4.08</v>
      </c>
      <c r="K162" s="282">
        <f>Sheet1!$A$3*2</f>
        <v>2</v>
      </c>
      <c r="L162" s="281">
        <v>9.1999999999999993</v>
      </c>
      <c r="M162" s="281"/>
      <c r="N162" s="281"/>
      <c r="O162" s="281"/>
      <c r="P162" s="298">
        <v>0.3</v>
      </c>
      <c r="Q162" s="284"/>
      <c r="R162" s="296">
        <v>60</v>
      </c>
      <c r="S162" s="70"/>
      <c r="W162" s="188" t="s">
        <v>989</v>
      </c>
      <c r="AB162" s="242" t="str">
        <f t="shared" si="94"/>
        <v>HS80*40*2 mm,</v>
      </c>
    </row>
    <row r="163" spans="1:28" s="242" customFormat="1">
      <c r="A163" s="286" t="s">
        <v>993</v>
      </c>
      <c r="B163" s="286"/>
      <c r="C163" s="287">
        <f t="shared" si="92"/>
        <v>2.99085</v>
      </c>
      <c r="D163" s="287">
        <f t="shared" si="93"/>
        <v>0.26</v>
      </c>
      <c r="E163" s="287"/>
      <c r="F163" s="288">
        <v>1.5</v>
      </c>
      <c r="G163" s="289">
        <f t="shared" si="95"/>
        <v>254</v>
      </c>
      <c r="H163" s="289">
        <v>80</v>
      </c>
      <c r="I163" s="289">
        <v>50</v>
      </c>
      <c r="J163" s="281">
        <f>VLOOKUP(W163,材料信息更新!$B:$C,2,0)</f>
        <v>4.28</v>
      </c>
      <c r="K163" s="282">
        <f>Sheet1!$A$3*2</f>
        <v>2</v>
      </c>
      <c r="L163" s="281">
        <v>9.1999999999999993</v>
      </c>
      <c r="M163" s="281"/>
      <c r="N163" s="281"/>
      <c r="O163" s="281"/>
      <c r="P163" s="298">
        <v>0.3</v>
      </c>
      <c r="Q163" s="284"/>
      <c r="R163" s="296">
        <v>60</v>
      </c>
      <c r="S163" s="70"/>
      <c r="W163" s="188" t="s">
        <v>985</v>
      </c>
      <c r="AB163" s="242" t="str">
        <f t="shared" si="94"/>
        <v>HS80*50*1.5 mm,</v>
      </c>
    </row>
    <row r="164" spans="1:28" s="242" customFormat="1">
      <c r="A164" s="286" t="s">
        <v>994</v>
      </c>
      <c r="B164" s="286"/>
      <c r="C164" s="287">
        <f t="shared" si="92"/>
        <v>3.9563999999999999</v>
      </c>
      <c r="D164" s="287">
        <f t="shared" si="93"/>
        <v>0.26</v>
      </c>
      <c r="E164" s="287"/>
      <c r="F164" s="288">
        <v>2</v>
      </c>
      <c r="G164" s="289">
        <f t="shared" si="95"/>
        <v>252</v>
      </c>
      <c r="H164" s="289">
        <v>80</v>
      </c>
      <c r="I164" s="289">
        <v>50</v>
      </c>
      <c r="J164" s="281">
        <f>VLOOKUP(W164,材料信息更新!$B:$C,2,0)</f>
        <v>4.08</v>
      </c>
      <c r="K164" s="282">
        <f>Sheet1!$A$3*2</f>
        <v>2</v>
      </c>
      <c r="L164" s="281">
        <v>9.1999999999999993</v>
      </c>
      <c r="M164" s="281"/>
      <c r="N164" s="281"/>
      <c r="O164" s="281"/>
      <c r="P164" s="298">
        <v>0.3</v>
      </c>
      <c r="Q164" s="284"/>
      <c r="R164" s="296">
        <v>60</v>
      </c>
      <c r="S164" s="70"/>
      <c r="W164" s="188" t="s">
        <v>989</v>
      </c>
      <c r="AB164" s="242" t="str">
        <f t="shared" si="94"/>
        <v>HS80*50*2 mm,</v>
      </c>
    </row>
    <row r="165" spans="1:28" s="242" customFormat="1">
      <c r="A165" s="286" t="s">
        <v>995</v>
      </c>
      <c r="B165" s="286"/>
      <c r="C165" s="287">
        <f t="shared" si="92"/>
        <v>3.4618500000000001</v>
      </c>
      <c r="D165" s="287">
        <f t="shared" si="93"/>
        <v>0.3</v>
      </c>
      <c r="E165" s="287"/>
      <c r="F165" s="288">
        <v>1.5</v>
      </c>
      <c r="G165" s="289">
        <f t="shared" si="95"/>
        <v>294</v>
      </c>
      <c r="H165" s="289">
        <v>100</v>
      </c>
      <c r="I165" s="289">
        <v>50</v>
      </c>
      <c r="J165" s="281">
        <f>VLOOKUP(W165,材料信息更新!$B:$C,2,0)</f>
        <v>4.28</v>
      </c>
      <c r="K165" s="282">
        <f>Sheet1!$A$3*2.6</f>
        <v>2.6</v>
      </c>
      <c r="L165" s="281">
        <v>9.1999999999999993</v>
      </c>
      <c r="M165" s="281"/>
      <c r="N165" s="281"/>
      <c r="O165" s="281"/>
      <c r="P165" s="298">
        <v>0.3</v>
      </c>
      <c r="Q165" s="284"/>
      <c r="R165" s="296">
        <v>60</v>
      </c>
      <c r="S165" s="70"/>
      <c r="W165" s="188" t="s">
        <v>985</v>
      </c>
      <c r="AB165" s="242" t="str">
        <f t="shared" si="94"/>
        <v>HS100*50*1.5 mm,</v>
      </c>
    </row>
    <row r="166" spans="1:28" s="242" customFormat="1">
      <c r="A166" s="286" t="s">
        <v>996</v>
      </c>
      <c r="B166" s="286"/>
      <c r="C166" s="287">
        <f t="shared" si="92"/>
        <v>4.5843999999999996</v>
      </c>
      <c r="D166" s="287">
        <f t="shared" si="93"/>
        <v>0.3</v>
      </c>
      <c r="E166" s="287"/>
      <c r="F166" s="288">
        <v>2</v>
      </c>
      <c r="G166" s="289">
        <f t="shared" si="95"/>
        <v>292</v>
      </c>
      <c r="H166" s="289">
        <v>100</v>
      </c>
      <c r="I166" s="289">
        <v>50</v>
      </c>
      <c r="J166" s="281">
        <f>VLOOKUP(W166,材料信息更新!$B:$C,2,0)</f>
        <v>4.08</v>
      </c>
      <c r="K166" s="282">
        <f>Sheet1!$A$3*2.6</f>
        <v>2.6</v>
      </c>
      <c r="L166" s="281">
        <v>9.1999999999999993</v>
      </c>
      <c r="M166" s="281"/>
      <c r="N166" s="281"/>
      <c r="O166" s="281"/>
      <c r="P166" s="298">
        <v>0.3</v>
      </c>
      <c r="Q166" s="284"/>
      <c r="R166" s="296">
        <v>60</v>
      </c>
      <c r="S166" s="70"/>
      <c r="W166" s="188" t="s">
        <v>989</v>
      </c>
      <c r="AB166" s="242" t="str">
        <f t="shared" si="94"/>
        <v>HS100*50*2 mm,</v>
      </c>
    </row>
    <row r="167" spans="1:28" s="242" customFormat="1">
      <c r="A167" s="286" t="s">
        <v>997</v>
      </c>
      <c r="B167" s="286"/>
      <c r="C167" s="287">
        <f t="shared" si="92"/>
        <v>5.6912500000000001</v>
      </c>
      <c r="D167" s="287">
        <f t="shared" si="93"/>
        <v>0.3</v>
      </c>
      <c r="E167" s="287"/>
      <c r="F167" s="288">
        <v>2.5</v>
      </c>
      <c r="G167" s="289">
        <f t="shared" si="95"/>
        <v>290</v>
      </c>
      <c r="H167" s="289">
        <v>100</v>
      </c>
      <c r="I167" s="289">
        <v>50</v>
      </c>
      <c r="J167" s="281">
        <f>VLOOKUP(W167,材料信息更新!$B:$C,2,0)</f>
        <v>3.98</v>
      </c>
      <c r="K167" s="282">
        <f>Sheet1!$A$3*2.6</f>
        <v>2.6</v>
      </c>
      <c r="L167" s="281">
        <v>9.1999999999999993</v>
      </c>
      <c r="M167" s="281"/>
      <c r="N167" s="281"/>
      <c r="O167" s="281"/>
      <c r="P167" s="298">
        <v>0.3</v>
      </c>
      <c r="Q167" s="284"/>
      <c r="R167" s="296">
        <v>60</v>
      </c>
      <c r="S167" s="70"/>
      <c r="W167" s="188" t="s">
        <v>998</v>
      </c>
      <c r="AB167" s="242" t="str">
        <f t="shared" si="94"/>
        <v>HS100*50*2.5 mm,</v>
      </c>
    </row>
    <row r="168" spans="1:28" s="242" customFormat="1">
      <c r="A168" s="295" t="s">
        <v>999</v>
      </c>
      <c r="B168" s="295"/>
      <c r="C168" s="287">
        <f t="shared" ref="C168" si="96">G168*F168*7.85/1000</f>
        <v>5.5263999999999998</v>
      </c>
      <c r="D168" s="287">
        <f t="shared" ref="D168" si="97">(H168+I168)*2/1000</f>
        <v>0.36</v>
      </c>
      <c r="E168" s="287"/>
      <c r="F168" s="288">
        <v>2</v>
      </c>
      <c r="G168" s="289">
        <f t="shared" ref="G168" si="98">(H168+I168)*2-4*F168</f>
        <v>352</v>
      </c>
      <c r="H168" s="289">
        <v>120</v>
      </c>
      <c r="I168" s="289">
        <v>60</v>
      </c>
      <c r="J168" s="281">
        <f>VLOOKUP(W168,材料信息更新!$B:$C,2,0)</f>
        <v>3.98</v>
      </c>
      <c r="K168" s="282">
        <f>Sheet1!$A$3*2.6</f>
        <v>2.6</v>
      </c>
      <c r="L168" s="281">
        <v>9.1999999999999993</v>
      </c>
      <c r="M168" s="281"/>
      <c r="N168" s="281"/>
      <c r="O168" s="281"/>
      <c r="P168" s="298">
        <v>0.3</v>
      </c>
      <c r="Q168" s="284"/>
      <c r="R168" s="296">
        <v>60</v>
      </c>
      <c r="S168" s="70"/>
      <c r="W168" s="188" t="s">
        <v>998</v>
      </c>
      <c r="AB168" s="242" t="str">
        <f t="shared" ref="AB168" si="99">"HS"&amp;H168&amp;"*"&amp;I168&amp;"*"&amp;F168&amp;" mm,"</f>
        <v>HS120*60*2 mm,</v>
      </c>
    </row>
    <row r="169" spans="1:28" s="242" customFormat="1">
      <c r="A169" s="295" t="s">
        <v>1000</v>
      </c>
      <c r="B169" s="295"/>
      <c r="C169" s="287">
        <f t="shared" si="92"/>
        <v>6.8687500000000004</v>
      </c>
      <c r="D169" s="287">
        <f t="shared" si="93"/>
        <v>0.36</v>
      </c>
      <c r="E169" s="287"/>
      <c r="F169" s="288">
        <v>2.5</v>
      </c>
      <c r="G169" s="289">
        <f t="shared" si="95"/>
        <v>350</v>
      </c>
      <c r="H169" s="289">
        <v>120</v>
      </c>
      <c r="I169" s="289">
        <v>60</v>
      </c>
      <c r="J169" s="281">
        <f>VLOOKUP(W169,材料信息更新!$B:$C,2,0)</f>
        <v>4.08</v>
      </c>
      <c r="K169" s="282">
        <f>Sheet1!$A$3*2.6</f>
        <v>2.6</v>
      </c>
      <c r="L169" s="281">
        <v>9.1999999999999993</v>
      </c>
      <c r="M169" s="281"/>
      <c r="N169" s="281"/>
      <c r="O169" s="281"/>
      <c r="P169" s="298">
        <v>0.3</v>
      </c>
      <c r="Q169" s="284"/>
      <c r="R169" s="296">
        <v>60</v>
      </c>
      <c r="S169" s="70"/>
      <c r="W169" s="188" t="s">
        <v>989</v>
      </c>
      <c r="AB169" s="242" t="str">
        <f t="shared" si="94"/>
        <v>HS120*60*2.5 mm,</v>
      </c>
    </row>
    <row r="170" spans="1:28" s="242" customFormat="1">
      <c r="A170" s="286" t="s">
        <v>1001</v>
      </c>
      <c r="B170" s="286"/>
      <c r="C170" s="287">
        <f t="shared" si="92"/>
        <v>10.801600000000001</v>
      </c>
      <c r="D170" s="287">
        <f t="shared" si="93"/>
        <v>0.36</v>
      </c>
      <c r="E170" s="287"/>
      <c r="F170" s="288">
        <v>4</v>
      </c>
      <c r="G170" s="289">
        <f t="shared" si="95"/>
        <v>344</v>
      </c>
      <c r="H170" s="289">
        <v>120</v>
      </c>
      <c r="I170" s="289">
        <v>60</v>
      </c>
      <c r="J170" s="281">
        <f>VLOOKUP(W170,材料信息更新!$B:$C,2,0)</f>
        <v>3.98</v>
      </c>
      <c r="K170" s="282">
        <f>Sheet1!$A$3*2.6</f>
        <v>2.6</v>
      </c>
      <c r="L170" s="281">
        <v>9.1999999999999993</v>
      </c>
      <c r="M170" s="281"/>
      <c r="N170" s="281"/>
      <c r="O170" s="281"/>
      <c r="P170" s="298">
        <v>0.3</v>
      </c>
      <c r="Q170" s="284"/>
      <c r="R170" s="296">
        <v>60</v>
      </c>
      <c r="S170" s="70"/>
      <c r="W170" s="188" t="s">
        <v>1002</v>
      </c>
      <c r="AB170" s="242" t="str">
        <f t="shared" si="94"/>
        <v>HS120*60*4 mm,</v>
      </c>
    </row>
    <row r="171" spans="1:28" s="242" customFormat="1">
      <c r="A171" s="286" t="s">
        <v>1003</v>
      </c>
      <c r="B171" s="286"/>
      <c r="C171" s="287">
        <f t="shared" si="92"/>
        <v>9.1373999999999995</v>
      </c>
      <c r="D171" s="287">
        <f t="shared" si="93"/>
        <v>0.4</v>
      </c>
      <c r="E171" s="287"/>
      <c r="F171" s="288">
        <v>3</v>
      </c>
      <c r="G171" s="289">
        <f t="shared" si="95"/>
        <v>388</v>
      </c>
      <c r="H171" s="289">
        <v>100</v>
      </c>
      <c r="I171" s="289">
        <v>100</v>
      </c>
      <c r="J171" s="281"/>
      <c r="K171" s="282"/>
      <c r="L171" s="281"/>
      <c r="M171" s="281"/>
      <c r="N171" s="281"/>
      <c r="O171" s="281"/>
      <c r="P171" s="281"/>
      <c r="Q171" s="284"/>
      <c r="R171" s="284"/>
      <c r="S171" s="70"/>
      <c r="W171" s="247"/>
    </row>
    <row r="172" spans="1:28" s="242" customFormat="1">
      <c r="A172" s="286" t="s">
        <v>1004</v>
      </c>
      <c r="B172" s="286"/>
      <c r="C172" s="287">
        <f t="shared" ref="C172" si="100">G172*F172*7.85/1000</f>
        <v>6.6567999999999996</v>
      </c>
      <c r="D172" s="287">
        <f t="shared" ref="D172" si="101">(H172+I172)*2/1000</f>
        <v>0.42399999999999999</v>
      </c>
      <c r="E172" s="287"/>
      <c r="F172" s="288">
        <v>4</v>
      </c>
      <c r="G172" s="289">
        <v>212</v>
      </c>
      <c r="H172" s="289">
        <v>212</v>
      </c>
      <c r="I172" s="289"/>
      <c r="J172" s="281">
        <v>4.9400000000000004</v>
      </c>
      <c r="K172" s="282">
        <f>Sheet1!$A$3*2</f>
        <v>2</v>
      </c>
      <c r="L172" s="281">
        <v>9.1999999999999993</v>
      </c>
      <c r="M172" s="281"/>
      <c r="N172" s="281"/>
      <c r="O172" s="281"/>
      <c r="P172" s="298">
        <v>0.3</v>
      </c>
      <c r="Q172" s="284"/>
      <c r="R172" s="284"/>
      <c r="S172" s="70"/>
      <c r="W172" s="247" t="s">
        <v>1005</v>
      </c>
    </row>
    <row r="173" spans="1:28" s="242" customFormat="1">
      <c r="A173" s="286" t="s">
        <v>1006</v>
      </c>
      <c r="B173" s="286"/>
      <c r="C173" s="287">
        <v>6.18</v>
      </c>
      <c r="D173" s="287">
        <f t="shared" ref="D173" si="102">(H173+I173)*2/1000</f>
        <v>0.61</v>
      </c>
      <c r="E173" s="287"/>
      <c r="F173" s="288">
        <v>2.5</v>
      </c>
      <c r="G173" s="289">
        <f>215+45*2</f>
        <v>305</v>
      </c>
      <c r="H173" s="289">
        <f>G173</f>
        <v>305</v>
      </c>
      <c r="I173" s="289"/>
      <c r="J173" s="281">
        <v>4.9400000000000004</v>
      </c>
      <c r="K173" s="282">
        <f>Sheet1!$A$3*2</f>
        <v>2</v>
      </c>
      <c r="L173" s="281">
        <v>9.1999999999999993</v>
      </c>
      <c r="M173" s="281"/>
      <c r="N173" s="281"/>
      <c r="O173" s="281"/>
      <c r="P173" s="298">
        <v>0.3</v>
      </c>
      <c r="Q173" s="284"/>
      <c r="R173" s="284"/>
      <c r="S173" s="70"/>
      <c r="W173" s="247" t="s">
        <v>1007</v>
      </c>
      <c r="AB173" s="242" t="s">
        <v>1008</v>
      </c>
    </row>
    <row r="174" spans="1:28" s="242" customFormat="1">
      <c r="A174" s="286"/>
      <c r="B174" s="286"/>
      <c r="C174" s="287"/>
      <c r="D174" s="287"/>
      <c r="E174" s="287"/>
      <c r="F174" s="288"/>
      <c r="G174" s="289"/>
      <c r="H174" s="289"/>
      <c r="I174" s="289"/>
      <c r="J174" s="281"/>
      <c r="K174" s="282"/>
      <c r="L174" s="281"/>
      <c r="M174" s="281"/>
      <c r="N174" s="281"/>
      <c r="O174" s="281"/>
      <c r="P174" s="281"/>
      <c r="Q174" s="284"/>
      <c r="R174" s="284"/>
      <c r="S174" s="70"/>
      <c r="W174" s="247"/>
    </row>
    <row r="175" spans="1:28" s="242" customFormat="1">
      <c r="A175" s="277" t="s">
        <v>1009</v>
      </c>
      <c r="B175" s="277"/>
      <c r="C175" s="278"/>
      <c r="D175" s="278"/>
      <c r="E175" s="278"/>
      <c r="F175" s="279"/>
      <c r="G175" s="280"/>
      <c r="H175" s="280"/>
      <c r="I175" s="280"/>
      <c r="J175" s="281"/>
      <c r="K175" s="282"/>
      <c r="L175" s="281"/>
      <c r="M175" s="281"/>
      <c r="N175" s="281"/>
      <c r="O175" s="281"/>
      <c r="P175" s="281"/>
      <c r="Q175" s="284"/>
      <c r="R175" s="284"/>
      <c r="S175" s="70"/>
    </row>
    <row r="176" spans="1:28" s="242" customFormat="1">
      <c r="A176" s="286" t="s">
        <v>1010</v>
      </c>
      <c r="B176" s="286" t="s">
        <v>328</v>
      </c>
      <c r="C176" s="287">
        <f>G176*F176*7.85/1000</f>
        <v>1.8839999999999999</v>
      </c>
      <c r="D176" s="287">
        <f>(H176+I176)*2/1000</f>
        <v>0.16</v>
      </c>
      <c r="E176" s="287">
        <v>4.59</v>
      </c>
      <c r="F176" s="288">
        <v>3</v>
      </c>
      <c r="G176" s="289">
        <v>80</v>
      </c>
      <c r="H176" s="289">
        <v>40</v>
      </c>
      <c r="I176" s="289">
        <v>40</v>
      </c>
      <c r="J176" s="281">
        <f>IFERROR(VLOOKUP(W176,材料信息更新!$B:$C,2,0),"需要更新")</f>
        <v>3.78</v>
      </c>
      <c r="K176" s="282">
        <f>Sheet1!$A$3*2.8</f>
        <v>2.8</v>
      </c>
      <c r="L176" s="281">
        <v>0.95</v>
      </c>
      <c r="M176" s="281"/>
      <c r="N176" s="281"/>
      <c r="O176" s="281">
        <v>2.2000000000000002</v>
      </c>
      <c r="P176" s="281"/>
      <c r="Q176" s="284" t="s">
        <v>1011</v>
      </c>
      <c r="R176" s="284">
        <v>2</v>
      </c>
      <c r="S176" s="70"/>
      <c r="W176" s="242" t="s">
        <v>1012</v>
      </c>
      <c r="AB176" s="242" t="str">
        <f>"L"&amp;H176&amp;"*"&amp;I176&amp;"*"&amp;F176&amp;" mm,"</f>
        <v>L40*40*3 mm,</v>
      </c>
    </row>
    <row r="177" spans="1:28" s="242" customFormat="1">
      <c r="A177" s="286" t="s">
        <v>325</v>
      </c>
      <c r="B177" s="286" t="s">
        <v>328</v>
      </c>
      <c r="C177" s="287">
        <f t="shared" ref="C177:C182" si="103">G177*F177*7.85/1000</f>
        <v>1.8839999999999999</v>
      </c>
      <c r="D177" s="287">
        <f t="shared" ref="D177:D182" si="104">(H177+I177)*2/1000</f>
        <v>0.16</v>
      </c>
      <c r="E177" s="287">
        <v>4.59</v>
      </c>
      <c r="F177" s="288">
        <v>3</v>
      </c>
      <c r="G177" s="289">
        <v>80</v>
      </c>
      <c r="H177" s="289">
        <v>40</v>
      </c>
      <c r="I177" s="289">
        <v>40</v>
      </c>
      <c r="J177" s="281">
        <f>IFERROR(VLOOKUP(W177,材料信息更新!$B:$C,2,0),"需要更新")</f>
        <v>3.78</v>
      </c>
      <c r="K177" s="282">
        <f>Sheet1!$A$3*0.65</f>
        <v>0.65</v>
      </c>
      <c r="L177" s="281">
        <v>0.95</v>
      </c>
      <c r="M177" s="281"/>
      <c r="N177" s="281"/>
      <c r="O177" s="281">
        <v>2.2000000000000002</v>
      </c>
      <c r="P177" s="281"/>
      <c r="Q177" s="284" t="s">
        <v>1011</v>
      </c>
      <c r="R177" s="284">
        <v>2</v>
      </c>
      <c r="S177" s="70"/>
      <c r="W177" s="242" t="s">
        <v>1012</v>
      </c>
      <c r="AB177" s="242" t="str">
        <f>"L"&amp;H177&amp;"*"&amp;I177&amp;"*"&amp;F177&amp;" mm,"</f>
        <v>L40*40*3 mm,</v>
      </c>
    </row>
    <row r="178" spans="1:28" s="242" customFormat="1">
      <c r="A178" s="286" t="s">
        <v>1013</v>
      </c>
      <c r="B178" s="286" t="s">
        <v>328</v>
      </c>
      <c r="C178" s="287">
        <f t="shared" si="103"/>
        <v>1.81335</v>
      </c>
      <c r="D178" s="287">
        <f t="shared" si="104"/>
        <v>0.16</v>
      </c>
      <c r="E178" s="287"/>
      <c r="F178" s="288">
        <v>1.5</v>
      </c>
      <c r="G178" s="289">
        <v>154</v>
      </c>
      <c r="H178" s="289">
        <v>40</v>
      </c>
      <c r="I178" s="289">
        <v>40</v>
      </c>
      <c r="J178" s="281">
        <f>J156</f>
        <v>4.28</v>
      </c>
      <c r="K178" s="282">
        <f>Sheet1!$A$3*1.3</f>
        <v>1.3</v>
      </c>
      <c r="L178" s="281"/>
      <c r="M178" s="281"/>
      <c r="N178" s="281"/>
      <c r="O178" s="281">
        <v>2.2000000000000002</v>
      </c>
      <c r="P178" s="281"/>
      <c r="Q178" s="284"/>
      <c r="R178" s="284"/>
      <c r="S178" s="70"/>
      <c r="W178" s="188"/>
      <c r="AB178" s="242" t="str">
        <f>"HS"&amp;H178&amp;"*"&amp;I178&amp;"*"&amp;F178&amp;" mm,"</f>
        <v>HS40*40*1.5 mm,</v>
      </c>
    </row>
    <row r="179" spans="1:28" s="242" customFormat="1">
      <c r="A179" s="286" t="s">
        <v>1014</v>
      </c>
      <c r="B179" s="286" t="s">
        <v>328</v>
      </c>
      <c r="C179" s="287">
        <f t="shared" si="103"/>
        <v>1.81335</v>
      </c>
      <c r="D179" s="287">
        <f t="shared" si="104"/>
        <v>0.16</v>
      </c>
      <c r="E179" s="287"/>
      <c r="F179" s="288">
        <v>1.5</v>
      </c>
      <c r="G179" s="289">
        <v>154</v>
      </c>
      <c r="H179" s="289">
        <v>40</v>
      </c>
      <c r="I179" s="289">
        <v>40</v>
      </c>
      <c r="J179" s="281">
        <f>J154</f>
        <v>4.28</v>
      </c>
      <c r="K179" s="282">
        <f>Sheet1!$A$3*1.3</f>
        <v>1.3</v>
      </c>
      <c r="L179" s="281"/>
      <c r="M179" s="281"/>
      <c r="N179" s="281"/>
      <c r="O179" s="281">
        <v>2.2000000000000002</v>
      </c>
      <c r="P179" s="281"/>
      <c r="Q179" s="284"/>
      <c r="R179" s="284"/>
      <c r="S179" s="70"/>
      <c r="W179" s="188"/>
      <c r="AB179" s="242" t="str">
        <f>"HS"&amp;H179&amp;"*"&amp;I179&amp;"*"&amp;F179&amp;" mm,"</f>
        <v>HS40*40*1.5 mm,</v>
      </c>
    </row>
    <row r="180" spans="1:28" s="242" customFormat="1">
      <c r="A180" s="286" t="s">
        <v>1015</v>
      </c>
      <c r="B180" s="286" t="s">
        <v>1016</v>
      </c>
      <c r="C180" s="287">
        <f t="shared" si="103"/>
        <v>1.81335</v>
      </c>
      <c r="D180" s="287">
        <f t="shared" si="104"/>
        <v>0.16</v>
      </c>
      <c r="E180" s="287"/>
      <c r="F180" s="288">
        <v>1.5</v>
      </c>
      <c r="G180" s="289">
        <v>154</v>
      </c>
      <c r="H180" s="289">
        <v>50</v>
      </c>
      <c r="I180" s="289">
        <v>30</v>
      </c>
      <c r="J180" s="281">
        <f>J156</f>
        <v>4.28</v>
      </c>
      <c r="K180" s="282">
        <f>Sheet1!$A$3*1.3</f>
        <v>1.3</v>
      </c>
      <c r="L180" s="281"/>
      <c r="M180" s="281"/>
      <c r="N180" s="281"/>
      <c r="O180" s="281">
        <v>2.2000000000000002</v>
      </c>
      <c r="P180" s="281"/>
      <c r="Q180" s="284"/>
      <c r="R180" s="284"/>
      <c r="S180" s="70"/>
      <c r="W180" s="188"/>
      <c r="AB180" s="242" t="str">
        <f>"HS"&amp;H180&amp;"*"&amp;I180&amp;"*"&amp;F180&amp;" mm,"</f>
        <v>HS50*30*1.5 mm,</v>
      </c>
    </row>
    <row r="181" spans="1:28" s="242" customFormat="1">
      <c r="A181" s="286" t="s">
        <v>1017</v>
      </c>
      <c r="B181" s="286" t="s">
        <v>1016</v>
      </c>
      <c r="C181" s="287">
        <f t="shared" si="103"/>
        <v>2.2843499999999999</v>
      </c>
      <c r="D181" s="287">
        <f t="shared" si="104"/>
        <v>0.2</v>
      </c>
      <c r="E181" s="287"/>
      <c r="F181" s="288">
        <v>1.5</v>
      </c>
      <c r="G181" s="289">
        <v>194</v>
      </c>
      <c r="H181" s="289">
        <v>60</v>
      </c>
      <c r="I181" s="289">
        <v>40</v>
      </c>
      <c r="J181" s="281">
        <f>J159</f>
        <v>4.28</v>
      </c>
      <c r="K181" s="282">
        <f>Sheet1!$A$3*1.3</f>
        <v>1.3</v>
      </c>
      <c r="L181" s="281"/>
      <c r="M181" s="281"/>
      <c r="N181" s="281"/>
      <c r="O181" s="281">
        <v>2.2000000000000002</v>
      </c>
      <c r="P181" s="281"/>
      <c r="Q181" s="284"/>
      <c r="R181" s="284"/>
      <c r="S181" s="70"/>
      <c r="W181" s="188"/>
      <c r="AB181" s="242" t="str">
        <f>"HS"&amp;H181&amp;"*"&amp;I181&amp;"*"&amp;F181&amp;" mm,"</f>
        <v>HS60*40*1.5 mm,</v>
      </c>
    </row>
    <row r="182" spans="1:28" s="242" customFormat="1">
      <c r="A182" s="286" t="s">
        <v>1018</v>
      </c>
      <c r="B182" s="286" t="s">
        <v>1019</v>
      </c>
      <c r="C182" s="287">
        <f t="shared" si="103"/>
        <v>2.2843499999999999</v>
      </c>
      <c r="D182" s="287">
        <f t="shared" si="104"/>
        <v>0.2</v>
      </c>
      <c r="E182" s="287"/>
      <c r="F182" s="288">
        <v>1.5</v>
      </c>
      <c r="G182" s="289">
        <v>194</v>
      </c>
      <c r="H182" s="289">
        <v>60</v>
      </c>
      <c r="I182" s="289">
        <v>40</v>
      </c>
      <c r="J182" s="281">
        <f>J159</f>
        <v>4.28</v>
      </c>
      <c r="K182" s="282">
        <f>Sheet1!$A$3*5.2</f>
        <v>5.2</v>
      </c>
      <c r="L182" s="281"/>
      <c r="M182" s="281"/>
      <c r="N182" s="281"/>
      <c r="O182" s="281">
        <v>2.2000000000000002</v>
      </c>
      <c r="P182" s="281"/>
      <c r="Q182" s="284"/>
      <c r="R182" s="284"/>
      <c r="S182" s="70"/>
      <c r="W182" s="188"/>
      <c r="AB182" s="242" t="str">
        <f>"HS"&amp;H182&amp;"*"&amp;I182&amp;"*"&amp;F182&amp;" mm,"</f>
        <v>HS60*40*1.5 mm,</v>
      </c>
    </row>
    <row r="183" spans="1:28" s="242" customFormat="1">
      <c r="A183" s="286" t="s">
        <v>1020</v>
      </c>
      <c r="B183" s="286"/>
      <c r="C183" s="287"/>
      <c r="D183" s="287"/>
      <c r="E183" s="287"/>
      <c r="F183" s="288"/>
      <c r="G183" s="289"/>
      <c r="H183" s="289"/>
      <c r="I183" s="289"/>
      <c r="J183" s="281"/>
      <c r="K183" s="282">
        <f>Sheet1!$A$3*2.2</f>
        <v>2.2000000000000002</v>
      </c>
      <c r="L183" s="281"/>
      <c r="M183" s="281"/>
      <c r="N183" s="281"/>
      <c r="O183" s="281">
        <v>2.2000000000000002</v>
      </c>
      <c r="P183" s="281"/>
      <c r="Q183" s="284"/>
      <c r="R183" s="284"/>
      <c r="S183" s="70"/>
      <c r="W183" s="247"/>
    </row>
    <row r="184" spans="1:28" s="242" customFormat="1">
      <c r="A184" s="70" t="s">
        <v>477</v>
      </c>
      <c r="B184" s="70" t="s">
        <v>1021</v>
      </c>
      <c r="C184" s="71">
        <v>0.5</v>
      </c>
      <c r="D184" s="71">
        <v>3.5200000000000002E-2</v>
      </c>
      <c r="E184" s="287"/>
      <c r="F184" s="299">
        <v>3</v>
      </c>
      <c r="G184" s="300"/>
      <c r="H184" s="300">
        <v>80</v>
      </c>
      <c r="I184" s="300">
        <v>110</v>
      </c>
      <c r="J184" s="281">
        <v>6.5</v>
      </c>
      <c r="K184" s="282"/>
      <c r="L184" s="281">
        <v>0.95</v>
      </c>
      <c r="M184" s="281"/>
      <c r="N184" s="281"/>
      <c r="O184" s="281">
        <v>2.2000000000000002</v>
      </c>
      <c r="P184" s="281"/>
      <c r="Q184" s="284" t="s">
        <v>327</v>
      </c>
      <c r="R184" s="284">
        <v>4</v>
      </c>
      <c r="S184" s="70"/>
    </row>
    <row r="185" spans="1:28" s="242" customFormat="1">
      <c r="A185" s="70" t="s">
        <v>1022</v>
      </c>
      <c r="B185" s="70" t="s">
        <v>1023</v>
      </c>
      <c r="C185" s="71">
        <v>0.56991000000000003</v>
      </c>
      <c r="D185" s="71">
        <v>4.8399999999999999E-2</v>
      </c>
      <c r="E185" s="287"/>
      <c r="F185" s="299">
        <v>3</v>
      </c>
      <c r="G185" s="300"/>
      <c r="H185" s="300">
        <v>110</v>
      </c>
      <c r="I185" s="300">
        <v>110</v>
      </c>
      <c r="J185" s="281">
        <v>6.5</v>
      </c>
      <c r="K185" s="282"/>
      <c r="L185" s="281">
        <v>0.95</v>
      </c>
      <c r="M185" s="281"/>
      <c r="N185" s="281"/>
      <c r="O185" s="281">
        <v>2.2000000000000002</v>
      </c>
      <c r="P185" s="281"/>
      <c r="Q185" s="284" t="s">
        <v>327</v>
      </c>
      <c r="R185" s="284">
        <v>4</v>
      </c>
      <c r="S185" s="70"/>
    </row>
    <row r="186" spans="1:28" s="242" customFormat="1">
      <c r="A186" s="70" t="s">
        <v>346</v>
      </c>
      <c r="B186" s="70" t="s">
        <v>1024</v>
      </c>
      <c r="C186" s="71">
        <v>0.52987499999999998</v>
      </c>
      <c r="D186" s="71">
        <v>4.4999999999999998E-2</v>
      </c>
      <c r="E186" s="287"/>
      <c r="F186" s="299">
        <v>3</v>
      </c>
      <c r="G186" s="300"/>
      <c r="H186" s="300">
        <v>150</v>
      </c>
      <c r="I186" s="300">
        <v>75</v>
      </c>
      <c r="J186" s="281">
        <v>6.5</v>
      </c>
      <c r="K186" s="282"/>
      <c r="L186" s="281">
        <v>0.95</v>
      </c>
      <c r="M186" s="281"/>
      <c r="N186" s="281"/>
      <c r="O186" s="281">
        <v>2.2000000000000002</v>
      </c>
      <c r="P186" s="281"/>
      <c r="Q186" s="284"/>
      <c r="R186" s="284"/>
      <c r="S186" s="70"/>
    </row>
    <row r="187" spans="1:28" s="242" customFormat="1">
      <c r="A187" s="70" t="s">
        <v>1025</v>
      </c>
      <c r="B187" s="70" t="s">
        <v>1026</v>
      </c>
      <c r="C187" s="71">
        <v>0.75360000000000005</v>
      </c>
      <c r="D187" s="71">
        <v>4.8000000000000001E-2</v>
      </c>
      <c r="E187" s="287"/>
      <c r="F187" s="299">
        <v>4</v>
      </c>
      <c r="G187" s="300"/>
      <c r="H187" s="300">
        <v>160</v>
      </c>
      <c r="I187" s="300">
        <v>75</v>
      </c>
      <c r="J187" s="281">
        <v>6.5</v>
      </c>
      <c r="K187" s="282"/>
      <c r="L187" s="281">
        <v>0.95</v>
      </c>
      <c r="M187" s="281"/>
      <c r="N187" s="281"/>
      <c r="O187" s="281">
        <v>2.2000000000000002</v>
      </c>
      <c r="P187" s="281"/>
      <c r="Q187" s="284"/>
      <c r="R187" s="284"/>
      <c r="S187" s="70"/>
    </row>
    <row r="188" spans="1:28" s="242" customFormat="1">
      <c r="A188" s="70"/>
      <c r="B188" s="70"/>
      <c r="C188" s="71"/>
      <c r="D188" s="71"/>
      <c r="E188" s="287"/>
      <c r="F188" s="299"/>
      <c r="G188" s="300"/>
      <c r="H188" s="300"/>
      <c r="I188" s="300"/>
      <c r="J188" s="281"/>
      <c r="K188" s="282"/>
      <c r="L188" s="281"/>
      <c r="M188" s="281"/>
      <c r="N188" s="281"/>
      <c r="O188" s="281"/>
      <c r="P188" s="281"/>
      <c r="Q188" s="284"/>
      <c r="R188" s="284"/>
      <c r="S188" s="70"/>
    </row>
    <row r="189" spans="1:28" s="242" customFormat="1">
      <c r="A189" s="70"/>
      <c r="B189" s="70"/>
      <c r="C189" s="71"/>
      <c r="D189" s="71"/>
      <c r="E189" s="287"/>
      <c r="F189" s="299"/>
      <c r="G189" s="300"/>
      <c r="H189" s="300"/>
      <c r="I189" s="300"/>
      <c r="J189" s="281"/>
      <c r="K189" s="282"/>
      <c r="L189" s="281"/>
      <c r="M189" s="281"/>
      <c r="N189" s="281"/>
      <c r="O189" s="281"/>
      <c r="P189" s="281"/>
      <c r="Q189" s="284"/>
      <c r="R189" s="284"/>
      <c r="S189" s="70"/>
    </row>
    <row r="190" spans="1:28" s="242" customFormat="1">
      <c r="A190" s="70"/>
      <c r="B190" s="70"/>
      <c r="C190" s="71"/>
      <c r="D190" s="71"/>
      <c r="E190" s="287"/>
      <c r="F190" s="299"/>
      <c r="G190" s="300"/>
      <c r="H190" s="300"/>
      <c r="I190" s="300"/>
      <c r="J190" s="281"/>
      <c r="K190" s="282"/>
      <c r="L190" s="281"/>
      <c r="M190" s="281"/>
      <c r="N190" s="281"/>
      <c r="O190" s="281"/>
      <c r="P190" s="281"/>
      <c r="Q190" s="284"/>
      <c r="R190" s="284"/>
      <c r="S190" s="70"/>
    </row>
    <row r="191" spans="1:28" s="242" customFormat="1">
      <c r="A191" s="70"/>
      <c r="B191" s="70"/>
      <c r="C191" s="71"/>
      <c r="D191" s="71"/>
      <c r="E191" s="287"/>
      <c r="F191" s="299"/>
      <c r="G191" s="300"/>
      <c r="H191" s="300"/>
      <c r="I191" s="300"/>
      <c r="J191" s="281"/>
      <c r="K191" s="282"/>
      <c r="L191" s="281"/>
      <c r="M191" s="281"/>
      <c r="N191" s="281"/>
      <c r="O191" s="281"/>
      <c r="P191" s="281"/>
      <c r="Q191" s="284"/>
      <c r="R191" s="284"/>
      <c r="S191" s="70"/>
    </row>
    <row r="192" spans="1:28" s="242" customFormat="1">
      <c r="A192" s="70"/>
      <c r="B192" s="70"/>
      <c r="C192" s="71"/>
      <c r="D192" s="71"/>
      <c r="E192" s="287"/>
      <c r="F192" s="299"/>
      <c r="G192" s="300"/>
      <c r="H192" s="300"/>
      <c r="I192" s="300"/>
      <c r="J192" s="281"/>
      <c r="K192" s="282"/>
      <c r="L192" s="281"/>
      <c r="M192" s="281"/>
      <c r="N192" s="281"/>
      <c r="O192" s="281"/>
      <c r="P192" s="281"/>
      <c r="Q192" s="284"/>
      <c r="R192" s="284"/>
      <c r="S192" s="70"/>
    </row>
    <row r="193" spans="1:28" s="242" customFormat="1">
      <c r="A193" s="70"/>
      <c r="B193" s="70"/>
      <c r="C193" s="71"/>
      <c r="D193" s="71"/>
      <c r="E193" s="287"/>
      <c r="F193" s="299"/>
      <c r="G193" s="300"/>
      <c r="H193" s="300"/>
      <c r="I193" s="300"/>
      <c r="J193" s="281"/>
      <c r="K193" s="282"/>
      <c r="L193" s="281"/>
      <c r="M193" s="281"/>
      <c r="N193" s="281"/>
      <c r="O193" s="281"/>
      <c r="P193" s="281"/>
      <c r="Q193" s="284"/>
      <c r="R193" s="284"/>
      <c r="S193" s="70"/>
    </row>
    <row r="194" spans="1:28" s="242" customFormat="1">
      <c r="A194" s="70"/>
      <c r="B194" s="70"/>
      <c r="C194" s="71"/>
      <c r="D194" s="71"/>
      <c r="E194" s="287"/>
      <c r="F194" s="299"/>
      <c r="G194" s="300"/>
      <c r="H194" s="300"/>
      <c r="I194" s="300"/>
      <c r="J194" s="281"/>
      <c r="K194" s="282"/>
      <c r="L194" s="281"/>
      <c r="M194" s="281"/>
      <c r="N194" s="281"/>
      <c r="O194" s="281"/>
      <c r="P194" s="281"/>
      <c r="Q194" s="284"/>
      <c r="R194" s="284"/>
      <c r="S194" s="70"/>
    </row>
    <row r="195" spans="1:28" s="242" customFormat="1">
      <c r="A195" s="70"/>
      <c r="B195" s="70"/>
      <c r="C195" s="71"/>
      <c r="D195" s="71"/>
      <c r="E195" s="287"/>
      <c r="F195" s="299"/>
      <c r="G195" s="300"/>
      <c r="H195" s="300"/>
      <c r="I195" s="300"/>
      <c r="J195" s="281"/>
      <c r="K195" s="282"/>
      <c r="L195" s="281"/>
      <c r="M195" s="281"/>
      <c r="N195" s="281"/>
      <c r="O195" s="281"/>
      <c r="P195" s="281"/>
      <c r="Q195" s="284"/>
      <c r="R195" s="284"/>
      <c r="S195" s="70"/>
    </row>
    <row r="196" spans="1:28" s="242" customFormat="1">
      <c r="A196" s="277" t="s">
        <v>201</v>
      </c>
      <c r="B196" s="277"/>
      <c r="C196" s="278"/>
      <c r="D196" s="278"/>
      <c r="E196" s="278"/>
      <c r="F196" s="279"/>
      <c r="G196" s="280"/>
      <c r="H196" s="280"/>
      <c r="I196" s="280"/>
      <c r="J196" s="281"/>
      <c r="K196" s="282"/>
      <c r="L196" s="281"/>
      <c r="M196" s="281"/>
      <c r="N196" s="281"/>
      <c r="O196" s="281"/>
      <c r="P196" s="281"/>
      <c r="Q196" s="284"/>
      <c r="R196" s="284"/>
      <c r="S196" s="70"/>
    </row>
    <row r="197" spans="1:28" s="242" customFormat="1">
      <c r="A197" s="286" t="s">
        <v>1027</v>
      </c>
      <c r="B197" s="286" t="s">
        <v>1028</v>
      </c>
      <c r="C197" s="287">
        <f>G197*F197*7.85/1000</f>
        <v>4.0819999999999999</v>
      </c>
      <c r="D197" s="287">
        <f>G197*2/1000</f>
        <v>0.52</v>
      </c>
      <c r="E197" s="287">
        <v>5.4</v>
      </c>
      <c r="F197" s="288">
        <v>2</v>
      </c>
      <c r="G197" s="289">
        <v>260</v>
      </c>
      <c r="H197" s="289"/>
      <c r="I197" s="289"/>
      <c r="J197" s="281"/>
      <c r="K197" s="282"/>
      <c r="L197" s="281"/>
      <c r="M197" s="281"/>
      <c r="N197" s="301"/>
      <c r="O197" s="281"/>
      <c r="P197" s="281"/>
      <c r="Q197" s="284"/>
      <c r="R197" s="284"/>
      <c r="S197" s="70"/>
      <c r="W197" s="188"/>
    </row>
    <row r="198" spans="1:28" s="242" customFormat="1">
      <c r="A198" s="286" t="s">
        <v>1029</v>
      </c>
      <c r="B198" s="286" t="s">
        <v>1030</v>
      </c>
      <c r="C198" s="287">
        <f>G198*F198*7.85/1000</f>
        <v>4.6943000000000001</v>
      </c>
      <c r="D198" s="287">
        <f>G198*2/1000</f>
        <v>0.52</v>
      </c>
      <c r="E198" s="287">
        <v>5.4</v>
      </c>
      <c r="F198" s="288">
        <v>2.2999999999999998</v>
      </c>
      <c r="G198" s="289">
        <v>260</v>
      </c>
      <c r="H198" s="289"/>
      <c r="I198" s="289"/>
      <c r="J198" s="281"/>
      <c r="K198" s="282"/>
      <c r="L198" s="281"/>
      <c r="M198" s="281"/>
      <c r="N198" s="301"/>
      <c r="O198" s="281"/>
      <c r="P198" s="281"/>
      <c r="Q198" s="284"/>
      <c r="R198" s="284"/>
      <c r="S198" s="70"/>
    </row>
    <row r="199" spans="1:28" s="242" customFormat="1">
      <c r="A199" s="286" t="s">
        <v>1031</v>
      </c>
      <c r="B199" s="286" t="s">
        <v>1032</v>
      </c>
      <c r="C199" s="287">
        <v>5.16</v>
      </c>
      <c r="D199" s="287">
        <v>0.24</v>
      </c>
      <c r="E199" s="287"/>
      <c r="F199" s="288">
        <v>5.5</v>
      </c>
      <c r="G199" s="289"/>
      <c r="H199" s="289"/>
      <c r="I199" s="289"/>
      <c r="J199" s="281">
        <v>4.53</v>
      </c>
      <c r="K199" s="282" t="s">
        <v>1033</v>
      </c>
      <c r="L199" s="281"/>
      <c r="M199" s="281"/>
      <c r="N199" s="281"/>
      <c r="O199" s="281"/>
      <c r="P199" s="281"/>
      <c r="Q199" s="70" t="s">
        <v>1034</v>
      </c>
      <c r="R199" s="302">
        <v>2</v>
      </c>
      <c r="S199" s="70"/>
    </row>
    <row r="200" spans="1:28" s="242" customFormat="1">
      <c r="A200" s="303" t="s">
        <v>1035</v>
      </c>
      <c r="B200" s="286" t="s">
        <v>1036</v>
      </c>
      <c r="C200" s="287">
        <f>G200*F200*7.85/1000</f>
        <v>0.94199999999999995</v>
      </c>
      <c r="D200" s="287">
        <f>G200*2/1000</f>
        <v>0.08</v>
      </c>
      <c r="E200" s="287"/>
      <c r="F200" s="288">
        <v>3</v>
      </c>
      <c r="G200" s="304">
        <v>40</v>
      </c>
      <c r="H200" s="289"/>
      <c r="I200" s="289"/>
      <c r="J200" s="281"/>
      <c r="K200" s="282">
        <f>Sheet1!$A$3*0.8</f>
        <v>0.8</v>
      </c>
      <c r="L200" s="281"/>
      <c r="M200" s="281"/>
      <c r="N200" s="281"/>
      <c r="O200" s="281"/>
      <c r="P200" s="281"/>
      <c r="Q200" s="284" t="s">
        <v>327</v>
      </c>
      <c r="R200" s="302">
        <v>2</v>
      </c>
      <c r="S200" s="70"/>
    </row>
    <row r="201" spans="1:28" s="242" customFormat="1">
      <c r="A201" s="303" t="s">
        <v>1037</v>
      </c>
      <c r="B201" s="286" t="s">
        <v>1036</v>
      </c>
      <c r="C201" s="287">
        <f>G201*F201*7.85/1000</f>
        <v>0.94199999999999995</v>
      </c>
      <c r="D201" s="287">
        <f>G201*2/1000</f>
        <v>0.08</v>
      </c>
      <c r="E201" s="287"/>
      <c r="F201" s="288">
        <v>3</v>
      </c>
      <c r="G201" s="304">
        <v>40</v>
      </c>
      <c r="H201" s="289"/>
      <c r="I201" s="289"/>
      <c r="J201" s="281"/>
      <c r="K201" s="282">
        <f>Sheet1!$A$3*0</f>
        <v>0</v>
      </c>
      <c r="L201" s="281"/>
      <c r="M201" s="281"/>
      <c r="N201" s="281"/>
      <c r="O201" s="281"/>
      <c r="P201" s="281"/>
      <c r="Q201" s="284" t="s">
        <v>327</v>
      </c>
      <c r="R201" s="302">
        <v>2</v>
      </c>
      <c r="S201" s="70"/>
    </row>
    <row r="202" spans="1:28" s="242" customFormat="1">
      <c r="A202" s="286" t="s">
        <v>1038</v>
      </c>
      <c r="B202" s="286" t="s">
        <v>1039</v>
      </c>
      <c r="C202" s="287">
        <f>G202*F202*7.85/1000</f>
        <v>2.75535</v>
      </c>
      <c r="D202" s="287">
        <f>(H202+I202)*2/1000</f>
        <v>0.24</v>
      </c>
      <c r="E202" s="287"/>
      <c r="F202" s="288">
        <v>1.5</v>
      </c>
      <c r="G202" s="289">
        <v>234</v>
      </c>
      <c r="H202" s="289">
        <v>80</v>
      </c>
      <c r="I202" s="289">
        <v>40</v>
      </c>
      <c r="J202" s="281">
        <v>4.53</v>
      </c>
      <c r="K202" s="282">
        <f>Sheet1!$A$3*2</f>
        <v>2</v>
      </c>
      <c r="L202" s="281"/>
      <c r="M202" s="281"/>
      <c r="N202" s="281"/>
      <c r="O202" s="281"/>
      <c r="P202" s="281"/>
      <c r="Q202" s="284" t="s">
        <v>1040</v>
      </c>
      <c r="R202" s="302">
        <v>2</v>
      </c>
      <c r="S202" s="70"/>
      <c r="W202" s="188"/>
      <c r="AB202" s="242" t="str">
        <f>"HS"&amp;H202&amp;"*"&amp;I202&amp;"*"&amp;F202&amp;" mm,"</f>
        <v>HS80*40*1.5 mm,</v>
      </c>
    </row>
    <row r="203" spans="1:28" s="242" customFormat="1">
      <c r="A203" s="286" t="s">
        <v>1041</v>
      </c>
      <c r="B203" s="286" t="s">
        <v>1042</v>
      </c>
      <c r="C203" s="287">
        <f>G203*F203*7.85/1000</f>
        <v>2.75535</v>
      </c>
      <c r="D203" s="287">
        <f>(H203+I203)*2/1000</f>
        <v>0.24</v>
      </c>
      <c r="E203" s="287"/>
      <c r="F203" s="288">
        <v>1.5</v>
      </c>
      <c r="G203" s="289">
        <v>234</v>
      </c>
      <c r="H203" s="289">
        <v>80</v>
      </c>
      <c r="I203" s="289">
        <v>40</v>
      </c>
      <c r="J203" s="281">
        <v>4.53</v>
      </c>
      <c r="K203" s="282">
        <f>Sheet1!$A$3*2</f>
        <v>2</v>
      </c>
      <c r="L203" s="281"/>
      <c r="M203" s="281"/>
      <c r="N203" s="281"/>
      <c r="O203" s="281"/>
      <c r="P203" s="281"/>
      <c r="Q203" s="284" t="s">
        <v>1040</v>
      </c>
      <c r="R203" s="302">
        <v>2</v>
      </c>
      <c r="S203" s="70"/>
      <c r="W203" s="188"/>
      <c r="AB203" s="242" t="str">
        <f>"HS"&amp;H203&amp;"*"&amp;I203&amp;"*"&amp;F203&amp;" mm,"</f>
        <v>HS80*40*1.5 mm,</v>
      </c>
    </row>
    <row r="204" spans="1:28" s="242" customFormat="1">
      <c r="A204" s="286" t="s">
        <v>1041</v>
      </c>
      <c r="B204" s="286" t="s">
        <v>1043</v>
      </c>
      <c r="C204" s="287">
        <f>G204*F204*7.85/1000</f>
        <v>2.75535</v>
      </c>
      <c r="D204" s="287">
        <f>(H204+I204)*2/1000</f>
        <v>0.24</v>
      </c>
      <c r="E204" s="287"/>
      <c r="F204" s="288">
        <v>1.5</v>
      </c>
      <c r="G204" s="289">
        <v>234</v>
      </c>
      <c r="H204" s="289">
        <v>80</v>
      </c>
      <c r="I204" s="289">
        <v>40</v>
      </c>
      <c r="J204" s="281">
        <v>4.53</v>
      </c>
      <c r="K204" s="282">
        <f>Sheet1!$A$3*3</f>
        <v>3</v>
      </c>
      <c r="L204" s="281"/>
      <c r="M204" s="281"/>
      <c r="N204" s="281"/>
      <c r="O204" s="281"/>
      <c r="P204" s="281"/>
      <c r="Q204" s="284" t="s">
        <v>1040</v>
      </c>
      <c r="R204" s="302">
        <v>2</v>
      </c>
      <c r="S204" s="70"/>
      <c r="W204" s="188"/>
      <c r="AB204" s="242" t="str">
        <f>"HS"&amp;H204&amp;"*"&amp;I204&amp;"*"&amp;F204&amp;" mm,"</f>
        <v>HS80*40*1.5 mm,</v>
      </c>
    </row>
    <row r="205" spans="1:28" s="242" customFormat="1">
      <c r="A205" s="70" t="s">
        <v>1044</v>
      </c>
      <c r="B205" s="70" t="s">
        <v>1045</v>
      </c>
      <c r="C205" s="71">
        <v>0.148365</v>
      </c>
      <c r="D205" s="71">
        <v>1.26E-2</v>
      </c>
      <c r="E205" s="71"/>
      <c r="F205" s="299">
        <v>3</v>
      </c>
      <c r="G205" s="300"/>
      <c r="H205" s="300">
        <v>90</v>
      </c>
      <c r="I205" s="300">
        <v>70</v>
      </c>
      <c r="J205" s="281"/>
      <c r="K205" s="282">
        <f>Sheet1!$A$3*1.2</f>
        <v>1.2</v>
      </c>
      <c r="L205" s="281"/>
      <c r="M205" s="281"/>
      <c r="N205" s="281"/>
      <c r="O205" s="281"/>
      <c r="P205" s="281"/>
      <c r="Q205" s="284"/>
      <c r="R205" s="284"/>
      <c r="S205" s="70"/>
    </row>
    <row r="206" spans="1:28" s="242" customFormat="1">
      <c r="A206" s="70" t="s">
        <v>1046</v>
      </c>
      <c r="B206" s="70" t="s">
        <v>1047</v>
      </c>
      <c r="C206" s="71">
        <v>0.176625</v>
      </c>
      <c r="D206" s="71">
        <v>1.4999999999999999E-2</v>
      </c>
      <c r="E206" s="71"/>
      <c r="F206" s="299">
        <v>3</v>
      </c>
      <c r="G206" s="300"/>
      <c r="H206" s="300">
        <v>100</v>
      </c>
      <c r="I206" s="300">
        <v>75</v>
      </c>
      <c r="J206" s="281"/>
      <c r="K206" s="282">
        <f>Sheet1!$A$3*1.2</f>
        <v>1.2</v>
      </c>
      <c r="L206" s="281"/>
      <c r="M206" s="281"/>
      <c r="N206" s="281"/>
      <c r="O206" s="281"/>
      <c r="P206" s="281"/>
      <c r="Q206" s="284"/>
      <c r="R206" s="284"/>
      <c r="S206" s="70"/>
    </row>
    <row r="207" spans="1:28" s="242" customFormat="1">
      <c r="A207" s="70" t="s">
        <v>1048</v>
      </c>
      <c r="B207" s="70" t="s">
        <v>1049</v>
      </c>
      <c r="C207" s="71">
        <v>0.21195</v>
      </c>
      <c r="D207" s="71">
        <v>1.7999999999999999E-2</v>
      </c>
      <c r="E207" s="71"/>
      <c r="F207" s="299">
        <v>3</v>
      </c>
      <c r="G207" s="300"/>
      <c r="H207" s="300">
        <v>120</v>
      </c>
      <c r="I207" s="300">
        <v>75</v>
      </c>
      <c r="J207" s="281"/>
      <c r="K207" s="282">
        <f>Sheet1!$A$3*1.2</f>
        <v>1.2</v>
      </c>
      <c r="L207" s="281"/>
      <c r="M207" s="281"/>
      <c r="N207" s="281"/>
      <c r="O207" s="281"/>
      <c r="P207" s="281"/>
      <c r="Q207" s="284"/>
      <c r="R207" s="284"/>
      <c r="S207" s="70"/>
    </row>
    <row r="208" spans="1:28" s="242" customFormat="1">
      <c r="A208" s="70" t="s">
        <v>1044</v>
      </c>
      <c r="B208" s="70" t="s">
        <v>1050</v>
      </c>
      <c r="C208" s="71">
        <v>0.148365</v>
      </c>
      <c r="D208" s="71">
        <v>1.26E-2</v>
      </c>
      <c r="E208" s="71"/>
      <c r="F208" s="299">
        <v>3</v>
      </c>
      <c r="G208" s="300"/>
      <c r="H208" s="300">
        <v>90</v>
      </c>
      <c r="I208" s="300">
        <v>70</v>
      </c>
      <c r="J208" s="281"/>
      <c r="K208" s="282">
        <f>Sheet1!$A$3*2.1</f>
        <v>2.1</v>
      </c>
      <c r="L208" s="281"/>
      <c r="M208" s="281"/>
      <c r="N208" s="281"/>
      <c r="O208" s="281"/>
      <c r="P208" s="281"/>
      <c r="Q208" s="284"/>
      <c r="R208" s="284"/>
      <c r="S208" s="70"/>
    </row>
    <row r="209" spans="1:28" s="242" customFormat="1">
      <c r="A209" s="70" t="s">
        <v>1046</v>
      </c>
      <c r="B209" s="70" t="s">
        <v>1051</v>
      </c>
      <c r="C209" s="71">
        <v>0.176625</v>
      </c>
      <c r="D209" s="71">
        <v>1.4999999999999999E-2</v>
      </c>
      <c r="E209" s="71"/>
      <c r="F209" s="299">
        <v>3</v>
      </c>
      <c r="G209" s="300"/>
      <c r="H209" s="300">
        <v>100</v>
      </c>
      <c r="I209" s="300">
        <v>75</v>
      </c>
      <c r="J209" s="281"/>
      <c r="K209" s="282">
        <f>Sheet1!$A$3*2.3</f>
        <v>2.2999999999999998</v>
      </c>
      <c r="L209" s="281"/>
      <c r="M209" s="281"/>
      <c r="N209" s="281"/>
      <c r="O209" s="281"/>
      <c r="P209" s="281"/>
      <c r="Q209" s="284"/>
      <c r="R209" s="284"/>
      <c r="S209" s="70"/>
    </row>
    <row r="210" spans="1:28" s="242" customFormat="1">
      <c r="A210" s="70" t="s">
        <v>1048</v>
      </c>
      <c r="B210" s="70" t="s">
        <v>1052</v>
      </c>
      <c r="C210" s="71">
        <v>0.21195</v>
      </c>
      <c r="D210" s="71">
        <v>1.7999999999999999E-2</v>
      </c>
      <c r="E210" s="71"/>
      <c r="F210" s="299">
        <v>3</v>
      </c>
      <c r="G210" s="300"/>
      <c r="H210" s="300">
        <v>120</v>
      </c>
      <c r="I210" s="300">
        <v>75</v>
      </c>
      <c r="J210" s="281"/>
      <c r="K210" s="282">
        <f>Sheet1!$A$3*2.5</f>
        <v>2.5</v>
      </c>
      <c r="L210" s="281"/>
      <c r="M210" s="281"/>
      <c r="N210" s="281"/>
      <c r="O210" s="281"/>
      <c r="P210" s="281"/>
      <c r="Q210" s="284"/>
      <c r="R210" s="284"/>
      <c r="S210" s="70"/>
    </row>
    <row r="211" spans="1:28" s="242" customFormat="1">
      <c r="A211" s="70" t="s">
        <v>1053</v>
      </c>
      <c r="B211" s="70" t="s">
        <v>1054</v>
      </c>
      <c r="C211" s="71">
        <v>1.6</v>
      </c>
      <c r="D211" s="71">
        <v>0.13</v>
      </c>
      <c r="E211" s="71"/>
      <c r="F211" s="299">
        <v>3</v>
      </c>
      <c r="G211" s="300"/>
      <c r="H211" s="300"/>
      <c r="I211" s="300"/>
      <c r="J211" s="281"/>
      <c r="K211" s="282">
        <f>Sheet1!$A$3*2.2</f>
        <v>2.2000000000000002</v>
      </c>
      <c r="L211" s="281"/>
      <c r="M211" s="281"/>
      <c r="N211" s="281"/>
      <c r="O211" s="281"/>
      <c r="P211" s="281"/>
      <c r="Q211" s="284"/>
      <c r="R211" s="284"/>
      <c r="S211" s="70"/>
    </row>
    <row r="212" spans="1:28" s="242" customFormat="1">
      <c r="A212" s="70" t="s">
        <v>1055</v>
      </c>
      <c r="B212" s="70" t="s">
        <v>1056</v>
      </c>
      <c r="C212" s="71">
        <v>2.15</v>
      </c>
      <c r="D212" s="71">
        <v>0.2</v>
      </c>
      <c r="E212" s="71"/>
      <c r="F212" s="299">
        <v>3</v>
      </c>
      <c r="G212" s="300"/>
      <c r="H212" s="300"/>
      <c r="I212" s="300"/>
      <c r="J212" s="281"/>
      <c r="K212" s="282">
        <f>Sheet1!$A$3*4.2</f>
        <v>4.2</v>
      </c>
      <c r="L212" s="281"/>
      <c r="M212" s="281"/>
      <c r="N212" s="281"/>
      <c r="O212" s="281"/>
      <c r="P212" s="281"/>
      <c r="Q212" s="284"/>
      <c r="R212" s="284"/>
      <c r="S212" s="70"/>
    </row>
    <row r="213" spans="1:28" s="242" customFormat="1">
      <c r="A213" s="70" t="s">
        <v>1053</v>
      </c>
      <c r="B213" s="70" t="s">
        <v>488</v>
      </c>
      <c r="C213" s="71">
        <v>1.6</v>
      </c>
      <c r="D213" s="71">
        <v>0.13</v>
      </c>
      <c r="E213" s="71"/>
      <c r="F213" s="299">
        <v>3</v>
      </c>
      <c r="G213" s="300"/>
      <c r="H213" s="300"/>
      <c r="I213" s="300"/>
      <c r="J213" s="281"/>
      <c r="K213" s="282"/>
      <c r="L213" s="281"/>
      <c r="M213" s="281"/>
      <c r="N213" s="281"/>
      <c r="O213" s="281"/>
      <c r="P213" s="281"/>
      <c r="Q213" s="284"/>
      <c r="R213" s="284"/>
      <c r="S213" s="70"/>
    </row>
    <row r="214" spans="1:28" s="242" customFormat="1">
      <c r="A214" s="70" t="s">
        <v>1055</v>
      </c>
      <c r="B214" s="70" t="s">
        <v>491</v>
      </c>
      <c r="C214" s="71">
        <v>2.15</v>
      </c>
      <c r="D214" s="71">
        <v>0.2</v>
      </c>
      <c r="E214" s="71"/>
      <c r="F214" s="299">
        <v>3</v>
      </c>
      <c r="G214" s="300"/>
      <c r="H214" s="300"/>
      <c r="I214" s="300"/>
      <c r="J214" s="281"/>
      <c r="K214" s="282"/>
      <c r="L214" s="281"/>
      <c r="M214" s="281"/>
      <c r="N214" s="281"/>
      <c r="O214" s="281"/>
      <c r="P214" s="281"/>
      <c r="Q214" s="284"/>
      <c r="R214" s="284"/>
      <c r="S214" s="70"/>
    </row>
    <row r="215" spans="1:28" s="242" customFormat="1">
      <c r="A215" s="70"/>
      <c r="B215" s="70"/>
      <c r="C215" s="71"/>
      <c r="D215" s="71"/>
      <c r="E215" s="71"/>
      <c r="F215" s="299"/>
      <c r="G215" s="300"/>
      <c r="H215" s="300"/>
      <c r="I215" s="300"/>
      <c r="J215" s="281"/>
      <c r="K215" s="282"/>
      <c r="L215" s="281"/>
      <c r="M215" s="281"/>
      <c r="N215" s="281"/>
      <c r="O215" s="281"/>
      <c r="P215" s="281"/>
      <c r="Q215" s="284"/>
      <c r="R215" s="284"/>
      <c r="S215" s="70"/>
    </row>
    <row r="216" spans="1:28" s="242" customFormat="1">
      <c r="A216" s="305" t="s">
        <v>564</v>
      </c>
      <c r="B216" s="70"/>
      <c r="C216" s="71"/>
      <c r="D216" s="71"/>
      <c r="E216" s="71"/>
      <c r="F216" s="299"/>
      <c r="G216" s="300"/>
      <c r="H216" s="300"/>
      <c r="I216" s="300"/>
      <c r="J216" s="281"/>
      <c r="K216" s="282"/>
      <c r="L216" s="281"/>
      <c r="M216" s="281"/>
      <c r="N216" s="281"/>
      <c r="O216" s="281"/>
      <c r="P216" s="281"/>
      <c r="Q216" s="284"/>
      <c r="R216" s="284"/>
      <c r="S216" s="70"/>
    </row>
    <row r="217" spans="1:28" s="242" customFormat="1">
      <c r="A217" s="286" t="s">
        <v>1057</v>
      </c>
      <c r="B217" s="286" t="s">
        <v>1058</v>
      </c>
      <c r="C217" s="287">
        <f>G217*F217*7.85/1000</f>
        <v>2.2843499999999999</v>
      </c>
      <c r="D217" s="287">
        <f>(H217+I217)*2/1000</f>
        <v>0.2</v>
      </c>
      <c r="E217" s="287"/>
      <c r="F217" s="288">
        <v>1.5</v>
      </c>
      <c r="G217" s="289">
        <f>(H217+I217)*2-4*F217</f>
        <v>194</v>
      </c>
      <c r="H217" s="289">
        <v>50</v>
      </c>
      <c r="I217" s="289">
        <v>50</v>
      </c>
      <c r="J217" s="281">
        <f>VLOOKUP(W217,材料信息更新!$B:$C,2,0)</f>
        <v>4.28</v>
      </c>
      <c r="K217" s="282">
        <f>Sheet1!$A$3*4</f>
        <v>4</v>
      </c>
      <c r="L217" s="281">
        <v>9.1999999999999993</v>
      </c>
      <c r="M217" s="281"/>
      <c r="N217" s="281"/>
      <c r="O217" s="281"/>
      <c r="P217" s="281"/>
      <c r="Q217" s="284" t="s">
        <v>1040</v>
      </c>
      <c r="R217" s="302">
        <v>4</v>
      </c>
      <c r="S217" s="70"/>
      <c r="W217" s="188" t="s">
        <v>985</v>
      </c>
      <c r="AB217" s="242" t="str">
        <f>"HS"&amp;H217&amp;"*"&amp;I217&amp;"*"&amp;F217&amp;" mm,"</f>
        <v>HS50*50*1.5 mm,</v>
      </c>
    </row>
    <row r="218" spans="1:28" s="242" customFormat="1">
      <c r="A218" s="286" t="s">
        <v>1059</v>
      </c>
      <c r="B218" s="286" t="s">
        <v>1058</v>
      </c>
      <c r="C218" s="287">
        <f>G218*F218*7.85/1000</f>
        <v>3.0144000000000002</v>
      </c>
      <c r="D218" s="287">
        <f>(H218+I218)*2/1000</f>
        <v>0.2</v>
      </c>
      <c r="E218" s="287"/>
      <c r="F218" s="288">
        <v>2</v>
      </c>
      <c r="G218" s="289">
        <f>(H218+I218)*2-4*F218</f>
        <v>192</v>
      </c>
      <c r="H218" s="289">
        <v>50</v>
      </c>
      <c r="I218" s="289">
        <v>50</v>
      </c>
      <c r="J218" s="281">
        <f>VLOOKUP(W218,材料信息更新!$B:$C,2,0)</f>
        <v>4.08</v>
      </c>
      <c r="K218" s="282">
        <f>Sheet1!$A$3*4</f>
        <v>4</v>
      </c>
      <c r="L218" s="281">
        <v>9.1999999999999993</v>
      </c>
      <c r="M218" s="281"/>
      <c r="N218" s="281"/>
      <c r="O218" s="281"/>
      <c r="P218" s="281"/>
      <c r="Q218" s="284" t="s">
        <v>1040</v>
      </c>
      <c r="R218" s="302">
        <v>4</v>
      </c>
      <c r="S218" s="70"/>
      <c r="W218" s="188" t="s">
        <v>989</v>
      </c>
      <c r="AB218" s="242" t="str">
        <f>"HS"&amp;H218&amp;"*"&amp;I218&amp;"*"&amp;F218&amp;" mm,"</f>
        <v>HS50*50*2 mm,</v>
      </c>
    </row>
    <row r="219" spans="1:28" s="242" customFormat="1">
      <c r="A219" s="286" t="s">
        <v>1060</v>
      </c>
      <c r="B219" s="286" t="s">
        <v>1058</v>
      </c>
      <c r="C219" s="287">
        <f>G219*F219*7.85/1000</f>
        <v>1.838784</v>
      </c>
      <c r="D219" s="287">
        <f>(H219+I219)*2/1000</f>
        <v>0.2</v>
      </c>
      <c r="E219" s="287"/>
      <c r="F219" s="288">
        <v>1.2</v>
      </c>
      <c r="G219" s="289">
        <f>(H219+I219)*2-4*F219</f>
        <v>195.2</v>
      </c>
      <c r="H219" s="289">
        <v>60</v>
      </c>
      <c r="I219" s="289">
        <v>40</v>
      </c>
      <c r="J219" s="281">
        <f>VLOOKUP(W219,材料信息更新!$B:$C,2,0)</f>
        <v>4.33</v>
      </c>
      <c r="K219" s="282">
        <f>Sheet1!$A$3*4.2</f>
        <v>4.2</v>
      </c>
      <c r="L219" s="281">
        <v>9.1999999999999993</v>
      </c>
      <c r="M219" s="281"/>
      <c r="N219" s="281"/>
      <c r="O219" s="281"/>
      <c r="P219" s="281"/>
      <c r="Q219" s="284" t="s">
        <v>1040</v>
      </c>
      <c r="R219" s="302">
        <v>4</v>
      </c>
      <c r="S219" s="70"/>
      <c r="W219" s="188" t="s">
        <v>987</v>
      </c>
      <c r="AB219" s="242" t="str">
        <f>"HS"&amp;H219&amp;"*"&amp;I219&amp;"*"&amp;F219&amp;" mm,"</f>
        <v>HS60*40*1.2 mm,</v>
      </c>
    </row>
    <row r="220" spans="1:28" s="242" customFormat="1">
      <c r="A220" s="286" t="s">
        <v>578</v>
      </c>
      <c r="B220" s="286" t="s">
        <v>1058</v>
      </c>
      <c r="C220" s="287">
        <f>G220*F220*7.85/1000</f>
        <v>2.2843499999999999</v>
      </c>
      <c r="D220" s="287">
        <f>(H220+I220)*2/1000</f>
        <v>0.2</v>
      </c>
      <c r="E220" s="287"/>
      <c r="F220" s="288">
        <v>1.5</v>
      </c>
      <c r="G220" s="289">
        <f>(H220+I220)*2-4*F220</f>
        <v>194</v>
      </c>
      <c r="H220" s="289">
        <v>60</v>
      </c>
      <c r="I220" s="289">
        <v>40</v>
      </c>
      <c r="J220" s="281">
        <f>VLOOKUP(W220,材料信息更新!$B:$C,2,0)</f>
        <v>4.28</v>
      </c>
      <c r="K220" s="282">
        <f>Sheet1!$A$3*4.2</f>
        <v>4.2</v>
      </c>
      <c r="L220" s="281">
        <v>9.1999999999999993</v>
      </c>
      <c r="M220" s="281"/>
      <c r="N220" s="281"/>
      <c r="O220" s="281"/>
      <c r="P220" s="281"/>
      <c r="Q220" s="284" t="s">
        <v>1040</v>
      </c>
      <c r="R220" s="302">
        <v>4</v>
      </c>
      <c r="S220" s="70"/>
      <c r="W220" s="188" t="s">
        <v>985</v>
      </c>
      <c r="AB220" s="242" t="str">
        <f>"HS"&amp;H220&amp;"*"&amp;I220&amp;"*"&amp;F220&amp;" mm,"</f>
        <v>HS60*40*1.5 mm,</v>
      </c>
    </row>
    <row r="221" spans="1:28" s="242" customFormat="1">
      <c r="A221" s="286" t="s">
        <v>1061</v>
      </c>
      <c r="B221" s="286" t="s">
        <v>1058</v>
      </c>
      <c r="C221" s="287">
        <f>G221*F221*7.85/1000</f>
        <v>3.0144000000000002</v>
      </c>
      <c r="D221" s="287">
        <f>(H221+I221)*2/1000</f>
        <v>0.2</v>
      </c>
      <c r="E221" s="71"/>
      <c r="F221" s="299">
        <v>2</v>
      </c>
      <c r="G221" s="289">
        <f>(H221+I221)*2-4*F221</f>
        <v>192</v>
      </c>
      <c r="H221" s="289">
        <v>60</v>
      </c>
      <c r="I221" s="289">
        <v>40</v>
      </c>
      <c r="J221" s="281">
        <f>VLOOKUP(W221,材料信息更新!$B:$C,2,0)</f>
        <v>4.08</v>
      </c>
      <c r="K221" s="282">
        <f>Sheet1!$A$3*4.2</f>
        <v>4.2</v>
      </c>
      <c r="L221" s="281">
        <v>9.1999999999999993</v>
      </c>
      <c r="M221" s="281"/>
      <c r="N221" s="281"/>
      <c r="O221" s="281"/>
      <c r="P221" s="281"/>
      <c r="Q221" s="284" t="s">
        <v>1040</v>
      </c>
      <c r="R221" s="302">
        <v>4</v>
      </c>
      <c r="S221" s="70"/>
      <c r="W221" s="188" t="s">
        <v>989</v>
      </c>
      <c r="AB221" s="242" t="str">
        <f>"HS"&amp;H221&amp;"*"&amp;I221&amp;"*"&amp;F221&amp;" mm,"</f>
        <v>HS60*40*2 mm,</v>
      </c>
    </row>
    <row r="222" spans="1:28" s="242" customFormat="1">
      <c r="A222" s="70" t="s">
        <v>1062</v>
      </c>
      <c r="B222" s="70" t="s">
        <v>1063</v>
      </c>
      <c r="C222" s="71"/>
      <c r="D222" s="71"/>
      <c r="E222" s="71"/>
      <c r="F222" s="299"/>
      <c r="G222" s="300"/>
      <c r="H222" s="300"/>
      <c r="I222" s="300"/>
      <c r="J222" s="281"/>
      <c r="K222" s="282">
        <f>Sheet1!$A$3*0.11</f>
        <v>0.11</v>
      </c>
      <c r="L222" s="281"/>
      <c r="M222" s="281"/>
      <c r="N222" s="281"/>
      <c r="O222" s="281"/>
      <c r="P222" s="281"/>
      <c r="Q222" s="284"/>
      <c r="R222" s="284"/>
      <c r="S222" s="70"/>
    </row>
    <row r="223" spans="1:28" s="242" customFormat="1">
      <c r="A223" s="70" t="s">
        <v>1064</v>
      </c>
      <c r="B223" s="70" t="s">
        <v>1065</v>
      </c>
      <c r="C223" s="71"/>
      <c r="D223" s="71"/>
      <c r="E223" s="71"/>
      <c r="F223" s="299"/>
      <c r="G223" s="300"/>
      <c r="H223" s="300"/>
      <c r="I223" s="300"/>
      <c r="J223" s="281"/>
      <c r="K223" s="282">
        <f>Sheet1!$A$3*1.8</f>
        <v>1.8</v>
      </c>
      <c r="L223" s="281"/>
      <c r="M223" s="281"/>
      <c r="N223" s="281"/>
      <c r="O223" s="281"/>
      <c r="P223" s="281"/>
      <c r="Q223" s="284"/>
      <c r="R223" s="284"/>
      <c r="S223" s="70"/>
    </row>
    <row r="224" spans="1:28" s="242" customFormat="1">
      <c r="A224" s="70" t="s">
        <v>1066</v>
      </c>
      <c r="B224" s="70"/>
      <c r="C224" s="71"/>
      <c r="D224" s="71"/>
      <c r="E224" s="71"/>
      <c r="F224" s="299"/>
      <c r="G224" s="300"/>
      <c r="H224" s="300"/>
      <c r="I224" s="300"/>
      <c r="J224" s="281">
        <v>6</v>
      </c>
      <c r="K224" s="282">
        <f>Sheet1!$A$3*1.4</f>
        <v>1.4</v>
      </c>
      <c r="L224" s="281"/>
      <c r="M224" s="281"/>
      <c r="N224" s="281"/>
      <c r="O224" s="281"/>
      <c r="P224" s="281"/>
      <c r="Q224" s="284"/>
      <c r="R224" s="284"/>
      <c r="S224" s="70"/>
    </row>
    <row r="225" spans="1:19" s="242" customFormat="1">
      <c r="A225" s="70" t="s">
        <v>1067</v>
      </c>
      <c r="B225" s="70" t="s">
        <v>1068</v>
      </c>
      <c r="C225" s="71"/>
      <c r="D225" s="71"/>
      <c r="E225" s="71"/>
      <c r="F225" s="299"/>
      <c r="G225" s="300"/>
      <c r="H225" s="300"/>
      <c r="I225" s="300"/>
      <c r="J225" s="281"/>
      <c r="K225" s="282">
        <f>Sheet1!$A$3*2</f>
        <v>2</v>
      </c>
      <c r="L225" s="281"/>
      <c r="M225" s="281"/>
      <c r="N225" s="281"/>
      <c r="O225" s="281"/>
      <c r="P225" s="281"/>
      <c r="Q225" s="284"/>
      <c r="R225" s="284"/>
      <c r="S225" s="70"/>
    </row>
    <row r="226" spans="1:19" s="242" customFormat="1">
      <c r="A226" s="70" t="s">
        <v>1069</v>
      </c>
      <c r="B226" s="70" t="s">
        <v>1068</v>
      </c>
      <c r="C226" s="71"/>
      <c r="D226" s="71"/>
      <c r="E226" s="71"/>
      <c r="F226" s="299"/>
      <c r="G226" s="300"/>
      <c r="H226" s="300"/>
      <c r="I226" s="300"/>
      <c r="J226" s="281"/>
      <c r="K226" s="282">
        <f>Sheet1!$A$3*3.2</f>
        <v>3.2</v>
      </c>
      <c r="L226" s="281"/>
      <c r="M226" s="281"/>
      <c r="N226" s="281"/>
      <c r="O226" s="281"/>
      <c r="P226" s="281"/>
      <c r="Q226" s="284"/>
      <c r="R226" s="284"/>
      <c r="S226" s="70"/>
    </row>
    <row r="227" spans="1:19" s="242" customFormat="1">
      <c r="A227" s="70" t="s">
        <v>1067</v>
      </c>
      <c r="B227" s="70" t="s">
        <v>1070</v>
      </c>
      <c r="C227" s="71"/>
      <c r="D227" s="71"/>
      <c r="E227" s="71"/>
      <c r="F227" s="299"/>
      <c r="G227" s="300"/>
      <c r="H227" s="300"/>
      <c r="I227" s="300"/>
      <c r="J227" s="281"/>
      <c r="K227" s="282">
        <f>Sheet1!$A$3*3</f>
        <v>3</v>
      </c>
      <c r="L227" s="281"/>
      <c r="M227" s="281"/>
      <c r="N227" s="281"/>
      <c r="O227" s="281"/>
      <c r="P227" s="281"/>
      <c r="Q227" s="284"/>
      <c r="R227" s="284"/>
      <c r="S227" s="70"/>
    </row>
    <row r="228" spans="1:19" s="242" customFormat="1">
      <c r="A228" s="70" t="s">
        <v>1069</v>
      </c>
      <c r="B228" s="70" t="s">
        <v>1070</v>
      </c>
      <c r="C228" s="71"/>
      <c r="D228" s="71"/>
      <c r="E228" s="71"/>
      <c r="F228" s="299"/>
      <c r="G228" s="300"/>
      <c r="H228" s="300"/>
      <c r="I228" s="300"/>
      <c r="J228" s="281"/>
      <c r="K228" s="282">
        <f>Sheet1!$A$3*4.2</f>
        <v>4.2</v>
      </c>
      <c r="L228" s="281"/>
      <c r="M228" s="281"/>
      <c r="N228" s="281"/>
      <c r="O228" s="281"/>
      <c r="P228" s="281"/>
      <c r="Q228" s="284"/>
      <c r="R228" s="284"/>
      <c r="S228" s="70"/>
    </row>
    <row r="229" spans="1:19" s="242" customFormat="1">
      <c r="A229" s="70" t="s">
        <v>1071</v>
      </c>
      <c r="B229" s="70"/>
      <c r="C229" s="71"/>
      <c r="D229" s="71"/>
      <c r="E229" s="71">
        <f>VLOOKUP(A229,穿梭板部件价格!B:G,6,0)/1000</f>
        <v>4.97</v>
      </c>
      <c r="F229" s="299"/>
      <c r="G229" s="300"/>
      <c r="H229" s="300"/>
      <c r="I229" s="300"/>
      <c r="J229" s="281"/>
      <c r="K229" s="282"/>
      <c r="L229" s="281"/>
      <c r="M229" s="281"/>
      <c r="N229" s="281"/>
      <c r="O229" s="281"/>
      <c r="P229" s="281"/>
      <c r="Q229" s="284"/>
      <c r="R229" s="284"/>
      <c r="S229" s="70"/>
    </row>
    <row r="230" spans="1:19" s="242" customFormat="1">
      <c r="A230" s="70" t="s">
        <v>1072</v>
      </c>
      <c r="B230" s="70"/>
      <c r="C230" s="71"/>
      <c r="D230" s="71"/>
      <c r="E230" s="71">
        <f>VLOOKUP(A230,穿梭板部件价格!B:G,6,0)/1000</f>
        <v>5.1100000000000003</v>
      </c>
      <c r="F230" s="299"/>
      <c r="G230" s="300"/>
      <c r="H230" s="300"/>
      <c r="I230" s="300"/>
      <c r="J230" s="281"/>
      <c r="K230" s="282"/>
      <c r="L230" s="281"/>
      <c r="M230" s="281"/>
      <c r="N230" s="281"/>
      <c r="O230" s="281"/>
      <c r="P230" s="281"/>
      <c r="Q230" s="284"/>
      <c r="R230" s="284"/>
      <c r="S230" s="70"/>
    </row>
    <row r="231" spans="1:19" s="242" customFormat="1">
      <c r="A231" s="70" t="s">
        <v>586</v>
      </c>
      <c r="B231" s="70"/>
      <c r="C231" s="71"/>
      <c r="D231" s="71"/>
      <c r="E231" s="71">
        <f>VLOOKUP(A230,穿梭板部件价格!B:G,6,0)/1000+0.33</f>
        <v>5.44</v>
      </c>
      <c r="F231" s="299"/>
      <c r="G231" s="300"/>
      <c r="H231" s="300"/>
      <c r="I231" s="300"/>
      <c r="J231" s="281"/>
      <c r="K231" s="282"/>
      <c r="L231" s="281"/>
      <c r="M231" s="281"/>
      <c r="N231" s="281"/>
      <c r="O231" s="281"/>
      <c r="P231" s="281"/>
      <c r="Q231" s="284"/>
      <c r="R231" s="284"/>
      <c r="S231" s="70"/>
    </row>
    <row r="232" spans="1:19" s="242" customFormat="1">
      <c r="A232" s="306" t="s">
        <v>1073</v>
      </c>
      <c r="B232" s="307"/>
      <c r="C232" s="307"/>
      <c r="D232" s="71"/>
      <c r="E232" s="71">
        <f>VLOOKUP(A232,穿梭板部件价格!B:G,6,0)</f>
        <v>37</v>
      </c>
      <c r="F232" s="299">
        <v>2.5</v>
      </c>
      <c r="G232" s="300"/>
      <c r="H232" s="300">
        <v>1350</v>
      </c>
      <c r="I232" s="300"/>
      <c r="J232" s="281"/>
      <c r="K232" s="282"/>
      <c r="L232" s="281"/>
      <c r="M232" s="281"/>
      <c r="N232" s="281"/>
      <c r="O232" s="281"/>
      <c r="P232" s="281"/>
      <c r="Q232" s="284"/>
      <c r="R232" s="284"/>
      <c r="S232" s="70"/>
    </row>
    <row r="233" spans="1:19" s="242" customFormat="1">
      <c r="A233" s="306" t="s">
        <v>1074</v>
      </c>
      <c r="B233" s="70"/>
      <c r="C233" s="71"/>
      <c r="D233" s="71"/>
      <c r="E233" s="71">
        <f>VLOOKUP(A233,穿梭板部件价格!B:G,6,0)</f>
        <v>29</v>
      </c>
      <c r="F233" s="299">
        <v>2</v>
      </c>
      <c r="G233" s="300"/>
      <c r="H233" s="300">
        <v>1350</v>
      </c>
      <c r="I233" s="300"/>
      <c r="J233" s="281"/>
      <c r="K233" s="282"/>
      <c r="L233" s="281"/>
      <c r="M233" s="281"/>
      <c r="N233" s="281"/>
      <c r="O233" s="281"/>
      <c r="P233" s="281"/>
      <c r="Q233" s="284"/>
      <c r="R233" s="284"/>
      <c r="S233" s="70"/>
    </row>
    <row r="234" spans="1:19" s="242" customFormat="1">
      <c r="A234" s="306" t="s">
        <v>1075</v>
      </c>
      <c r="B234" s="308"/>
      <c r="C234" s="71"/>
      <c r="D234" s="71"/>
      <c r="E234" s="71">
        <f>VLOOKUP(A234,穿梭板部件价格!B:G,6,0)</f>
        <v>35</v>
      </c>
      <c r="F234" s="299">
        <v>2.5</v>
      </c>
      <c r="G234" s="300"/>
      <c r="H234" s="300">
        <v>1250</v>
      </c>
      <c r="I234" s="300"/>
      <c r="J234" s="281"/>
      <c r="K234" s="282"/>
      <c r="L234" s="281"/>
      <c r="M234" s="281"/>
      <c r="N234" s="281"/>
      <c r="O234" s="281"/>
      <c r="P234" s="281"/>
      <c r="Q234" s="284"/>
      <c r="R234" s="284"/>
      <c r="S234" s="70"/>
    </row>
    <row r="235" spans="1:19" s="242" customFormat="1">
      <c r="A235" s="306" t="s">
        <v>1076</v>
      </c>
      <c r="B235" s="308"/>
      <c r="C235" s="71"/>
      <c r="D235" s="71"/>
      <c r="E235" s="71">
        <f>VLOOKUP(A235,穿梭板部件价格!B:G,6,0)</f>
        <v>27</v>
      </c>
      <c r="F235" s="299">
        <v>2</v>
      </c>
      <c r="G235" s="300"/>
      <c r="H235" s="300">
        <v>1250</v>
      </c>
      <c r="I235" s="300"/>
      <c r="J235" s="281"/>
      <c r="K235" s="282"/>
      <c r="L235" s="281"/>
      <c r="M235" s="281"/>
      <c r="N235" s="281"/>
      <c r="O235" s="281"/>
      <c r="P235" s="281"/>
      <c r="Q235" s="284"/>
      <c r="R235" s="284"/>
      <c r="S235" s="70"/>
    </row>
    <row r="236" spans="1:19" s="242" customFormat="1">
      <c r="A236" s="309" t="s">
        <v>1077</v>
      </c>
      <c r="B236" s="70"/>
      <c r="C236" s="71"/>
      <c r="D236" s="71"/>
      <c r="E236" s="71">
        <f>VLOOKUP(A236,穿梭板部件价格!B:G,6,0)</f>
        <v>4.9000000000000004</v>
      </c>
      <c r="F236" s="299">
        <v>3.5</v>
      </c>
      <c r="G236" s="300"/>
      <c r="H236" s="300"/>
      <c r="I236" s="300"/>
      <c r="J236" s="281"/>
      <c r="K236" s="282"/>
      <c r="L236" s="281"/>
      <c r="M236" s="281"/>
      <c r="N236" s="281"/>
      <c r="O236" s="281"/>
      <c r="P236" s="281"/>
      <c r="Q236" s="284"/>
      <c r="R236" s="284"/>
      <c r="S236" s="70"/>
    </row>
    <row r="237" spans="1:19" s="242" customFormat="1">
      <c r="A237" s="309" t="s">
        <v>593</v>
      </c>
      <c r="B237" s="70"/>
      <c r="C237" s="71"/>
      <c r="D237" s="71"/>
      <c r="E237" s="71">
        <f>VLOOKUP(A237,穿梭板部件价格!B:G,6,0)</f>
        <v>4.9000000000000004</v>
      </c>
      <c r="F237" s="299">
        <v>5</v>
      </c>
      <c r="G237" s="300"/>
      <c r="H237" s="300"/>
      <c r="I237" s="300"/>
      <c r="J237" s="281"/>
      <c r="K237" s="282"/>
      <c r="L237" s="281"/>
      <c r="M237" s="281"/>
      <c r="N237" s="281"/>
      <c r="O237" s="281"/>
      <c r="P237" s="281"/>
      <c r="Q237" s="284"/>
      <c r="R237" s="284"/>
      <c r="S237" s="70"/>
    </row>
    <row r="238" spans="1:19" s="242" customFormat="1">
      <c r="A238" s="309"/>
      <c r="B238" s="70"/>
      <c r="C238" s="71"/>
      <c r="D238" s="71"/>
      <c r="E238" s="71"/>
      <c r="F238" s="299"/>
      <c r="G238" s="300"/>
      <c r="H238" s="300"/>
      <c r="I238" s="300"/>
      <c r="J238" s="281"/>
      <c r="K238" s="282"/>
      <c r="L238" s="281"/>
      <c r="M238" s="281"/>
      <c r="N238" s="281"/>
      <c r="O238" s="281"/>
      <c r="P238" s="281"/>
      <c r="Q238" s="284"/>
      <c r="R238" s="284"/>
      <c r="S238" s="70"/>
    </row>
    <row r="239" spans="1:19" s="242" customFormat="1">
      <c r="A239" s="309"/>
      <c r="B239" s="70"/>
      <c r="C239" s="71"/>
      <c r="D239" s="71"/>
      <c r="E239" s="71"/>
      <c r="F239" s="299"/>
      <c r="G239" s="300"/>
      <c r="H239" s="300"/>
      <c r="I239" s="300"/>
      <c r="J239" s="281"/>
      <c r="K239" s="282"/>
      <c r="L239" s="281"/>
      <c r="M239" s="281"/>
      <c r="N239" s="281"/>
      <c r="O239" s="281"/>
      <c r="P239" s="281"/>
      <c r="Q239" s="284"/>
      <c r="R239" s="284"/>
      <c r="S239" s="70"/>
    </row>
    <row r="240" spans="1:19" s="242" customFormat="1">
      <c r="A240" s="309"/>
      <c r="B240" s="70"/>
      <c r="C240" s="71"/>
      <c r="D240" s="71"/>
      <c r="E240" s="71"/>
      <c r="F240" s="299"/>
      <c r="G240" s="300"/>
      <c r="H240" s="300"/>
      <c r="I240" s="300"/>
      <c r="J240" s="281"/>
      <c r="K240" s="282"/>
      <c r="L240" s="281"/>
      <c r="M240" s="281"/>
      <c r="N240" s="281"/>
      <c r="O240" s="281"/>
      <c r="P240" s="281"/>
      <c r="Q240" s="284"/>
      <c r="R240" s="284"/>
      <c r="S240" s="70"/>
    </row>
    <row r="241" spans="1:28" s="242" customFormat="1">
      <c r="A241" s="309"/>
      <c r="B241" s="70"/>
      <c r="C241" s="71"/>
      <c r="D241" s="71"/>
      <c r="E241" s="71"/>
      <c r="F241" s="299"/>
      <c r="G241" s="300"/>
      <c r="H241" s="300"/>
      <c r="I241" s="300"/>
      <c r="J241" s="281"/>
      <c r="K241" s="282"/>
      <c r="L241" s="281"/>
      <c r="M241" s="281"/>
      <c r="N241" s="281"/>
      <c r="O241" s="281"/>
      <c r="P241" s="281"/>
      <c r="Q241" s="284"/>
      <c r="R241" s="284"/>
      <c r="S241" s="70"/>
    </row>
    <row r="242" spans="1:28" s="242" customFormat="1">
      <c r="A242" s="70"/>
      <c r="B242" s="70"/>
      <c r="C242" s="71"/>
      <c r="D242" s="71"/>
      <c r="E242" s="71"/>
      <c r="F242" s="299"/>
      <c r="G242" s="300"/>
      <c r="H242" s="300"/>
      <c r="I242" s="300"/>
      <c r="J242" s="281"/>
      <c r="K242" s="282"/>
      <c r="L242" s="281"/>
      <c r="M242" s="281"/>
      <c r="N242" s="281"/>
      <c r="O242" s="281"/>
      <c r="P242" s="281"/>
      <c r="Q242" s="284"/>
      <c r="R242" s="284"/>
      <c r="S242" s="70"/>
    </row>
    <row r="243" spans="1:28" s="242" customFormat="1">
      <c r="A243" s="70" t="s">
        <v>1078</v>
      </c>
      <c r="B243" s="70" t="s">
        <v>474</v>
      </c>
      <c r="C243" s="287">
        <f t="shared" ref="C243:C245" si="105">G243*F243*7.85/1000</f>
        <v>0.88312500000000005</v>
      </c>
      <c r="D243" s="287">
        <f t="shared" ref="D243:D245" si="106">G243*2/1000</f>
        <v>0.15</v>
      </c>
      <c r="E243" s="287">
        <f>VLOOKUP(X243,材料信息更新!$B:$C,2,0)</f>
        <v>4.07</v>
      </c>
      <c r="F243" s="288">
        <v>1.5</v>
      </c>
      <c r="G243" s="289">
        <v>75</v>
      </c>
      <c r="H243" s="289">
        <v>75</v>
      </c>
      <c r="I243" s="289">
        <v>75</v>
      </c>
      <c r="J243" s="281">
        <f>VLOOKUP(W243,材料信息更新!$B:$C,2,0)</f>
        <v>3.69</v>
      </c>
      <c r="K243" s="282">
        <f>Sheet1!$A$3*0.11</f>
        <v>0.11</v>
      </c>
      <c r="L243" s="281">
        <v>9</v>
      </c>
      <c r="M243" s="281"/>
      <c r="N243" s="281"/>
      <c r="O243" s="281"/>
      <c r="P243" s="281"/>
      <c r="Q243" s="284"/>
      <c r="R243" s="284"/>
      <c r="S243" s="70"/>
      <c r="W243" s="188" t="s">
        <v>817</v>
      </c>
      <c r="X243" s="194" t="s">
        <v>818</v>
      </c>
    </row>
    <row r="244" spans="1:28" s="242" customFormat="1">
      <c r="A244" s="70" t="s">
        <v>1079</v>
      </c>
      <c r="B244" s="295"/>
      <c r="C244" s="287">
        <f t="shared" si="105"/>
        <v>1.02207</v>
      </c>
      <c r="D244" s="287">
        <f t="shared" si="106"/>
        <v>0.186</v>
      </c>
      <c r="E244" s="287">
        <f>VLOOKUP(X244,材料信息更新!$B:$C,2,0)</f>
        <v>4.08</v>
      </c>
      <c r="F244" s="288">
        <v>1.4</v>
      </c>
      <c r="G244" s="289">
        <v>93</v>
      </c>
      <c r="H244" s="289"/>
      <c r="I244" s="289"/>
      <c r="J244" s="281">
        <f>VLOOKUP(W244,材料信息更新!$B:$C,2,0)</f>
        <v>3.69</v>
      </c>
      <c r="K244" s="282">
        <f>Sheet1!$A$3*0.11</f>
        <v>0.11</v>
      </c>
      <c r="L244" s="281">
        <v>9</v>
      </c>
      <c r="M244" s="281"/>
      <c r="N244" s="281">
        <v>0.09</v>
      </c>
      <c r="O244" s="281"/>
      <c r="P244" s="281"/>
      <c r="Q244" s="284" t="s">
        <v>714</v>
      </c>
      <c r="R244" s="284">
        <v>1</v>
      </c>
      <c r="S244" s="70" t="s">
        <v>893</v>
      </c>
      <c r="T244" s="242">
        <v>1</v>
      </c>
      <c r="W244" s="188" t="s">
        <v>894</v>
      </c>
      <c r="X244" s="188" t="s">
        <v>895</v>
      </c>
      <c r="AB244" s="242" t="str">
        <f>"24*40*"&amp;F244&amp;" mm,"</f>
        <v>24*40*1.4 mm,</v>
      </c>
    </row>
    <row r="245" spans="1:28" s="242" customFormat="1">
      <c r="A245" s="70" t="s">
        <v>1080</v>
      </c>
      <c r="B245" s="295"/>
      <c r="C245" s="287">
        <f t="shared" si="105"/>
        <v>0.96711999999999998</v>
      </c>
      <c r="D245" s="287">
        <f t="shared" si="106"/>
        <v>0.17599999999999999</v>
      </c>
      <c r="E245" s="287">
        <f>VLOOKUP(X245,材料信息更新!$B:$C,2,0)</f>
        <v>4.08</v>
      </c>
      <c r="F245" s="288">
        <v>1.4</v>
      </c>
      <c r="G245" s="289">
        <v>88</v>
      </c>
      <c r="H245" s="289"/>
      <c r="I245" s="289"/>
      <c r="J245" s="281">
        <f>VLOOKUP(W245,材料信息更新!$B:$C,2,0)</f>
        <v>3.69</v>
      </c>
      <c r="K245" s="282">
        <f>Sheet1!$A$3*0.11</f>
        <v>0.11</v>
      </c>
      <c r="L245" s="281">
        <v>9</v>
      </c>
      <c r="M245" s="281"/>
      <c r="N245" s="281">
        <v>0.09</v>
      </c>
      <c r="O245" s="281"/>
      <c r="P245" s="281"/>
      <c r="Q245" s="284" t="s">
        <v>714</v>
      </c>
      <c r="R245" s="284">
        <v>1</v>
      </c>
      <c r="S245" s="70" t="s">
        <v>893</v>
      </c>
      <c r="T245" s="242">
        <v>1</v>
      </c>
      <c r="W245" s="188" t="s">
        <v>894</v>
      </c>
      <c r="X245" s="194" t="s">
        <v>895</v>
      </c>
      <c r="AB245" s="242" t="str">
        <f>"24*35*"&amp;F245&amp;" mm,"</f>
        <v>24*35*1.4 mm,</v>
      </c>
    </row>
    <row r="246" spans="1:28" s="242" customFormat="1">
      <c r="A246" s="70"/>
      <c r="B246" s="70"/>
      <c r="C246" s="71"/>
      <c r="D246" s="71"/>
      <c r="E246" s="71"/>
      <c r="F246" s="299"/>
      <c r="G246" s="300"/>
      <c r="H246" s="300"/>
      <c r="I246" s="300"/>
      <c r="J246" s="281"/>
      <c r="K246" s="282"/>
      <c r="L246" s="281"/>
      <c r="M246" s="281"/>
      <c r="N246" s="281"/>
      <c r="O246" s="281"/>
      <c r="P246" s="281"/>
      <c r="Q246" s="284"/>
      <c r="R246" s="284"/>
      <c r="S246" s="70"/>
    </row>
    <row r="247" spans="1:28" s="242" customFormat="1">
      <c r="A247" s="70"/>
      <c r="B247" s="70"/>
      <c r="C247" s="71"/>
      <c r="D247" s="71"/>
      <c r="E247" s="71"/>
      <c r="F247" s="299"/>
      <c r="G247" s="300"/>
      <c r="H247" s="300"/>
      <c r="I247" s="300"/>
      <c r="J247" s="281"/>
      <c r="K247" s="282"/>
      <c r="L247" s="281"/>
      <c r="M247" s="281"/>
      <c r="N247" s="281"/>
      <c r="O247" s="281"/>
      <c r="P247" s="281"/>
      <c r="Q247" s="284"/>
      <c r="R247" s="284"/>
      <c r="S247" s="70"/>
    </row>
    <row r="248" spans="1:28" s="242" customFormat="1">
      <c r="A248" s="70"/>
      <c r="B248" s="70"/>
      <c r="C248" s="71"/>
      <c r="D248" s="71"/>
      <c r="E248" s="71"/>
      <c r="F248" s="299"/>
      <c r="G248" s="300"/>
      <c r="H248" s="300"/>
      <c r="I248" s="300"/>
      <c r="J248" s="281"/>
      <c r="K248" s="282"/>
      <c r="L248" s="281"/>
      <c r="M248" s="281"/>
      <c r="N248" s="281"/>
      <c r="O248" s="281"/>
      <c r="P248" s="281"/>
      <c r="Q248" s="284"/>
      <c r="R248" s="284"/>
      <c r="S248" s="70"/>
    </row>
    <row r="249" spans="1:28" s="242" customFormat="1">
      <c r="A249" s="70"/>
      <c r="B249" s="70"/>
      <c r="C249" s="71"/>
      <c r="D249" s="71"/>
      <c r="E249" s="71"/>
      <c r="F249" s="299"/>
      <c r="G249" s="300"/>
      <c r="H249" s="300"/>
      <c r="I249" s="300"/>
      <c r="J249" s="281"/>
      <c r="K249" s="282"/>
      <c r="L249" s="281"/>
      <c r="M249" s="281"/>
      <c r="N249" s="281"/>
      <c r="O249" s="281"/>
      <c r="P249" s="281"/>
      <c r="Q249" s="284"/>
      <c r="R249" s="284"/>
      <c r="S249" s="70"/>
    </row>
    <row r="250" spans="1:28" s="242" customFormat="1">
      <c r="A250" s="305" t="s">
        <v>1081</v>
      </c>
      <c r="B250" s="70"/>
      <c r="C250" s="71"/>
      <c r="D250" s="71"/>
      <c r="E250" s="71"/>
      <c r="F250" s="299"/>
      <c r="G250" s="300"/>
      <c r="H250" s="300"/>
      <c r="I250" s="300"/>
      <c r="J250" s="281"/>
      <c r="K250" s="282"/>
      <c r="L250" s="281"/>
      <c r="M250" s="281"/>
      <c r="N250" s="281"/>
      <c r="O250" s="281"/>
      <c r="P250" s="281"/>
      <c r="Q250" s="284"/>
      <c r="R250" s="284"/>
      <c r="S250" s="70"/>
    </row>
    <row r="251" spans="1:28" s="242" customFormat="1">
      <c r="A251" s="70" t="s">
        <v>383</v>
      </c>
      <c r="B251" s="70" t="s">
        <v>1082</v>
      </c>
      <c r="C251" s="71"/>
      <c r="D251" s="71"/>
      <c r="E251" s="71"/>
      <c r="F251" s="299"/>
      <c r="G251" s="300"/>
      <c r="H251" s="300"/>
      <c r="I251" s="300"/>
      <c r="J251" s="281"/>
      <c r="K251" s="282">
        <f>Sheet1!$A$3*3.5</f>
        <v>3.5</v>
      </c>
      <c r="L251" s="281"/>
      <c r="M251" s="281"/>
      <c r="N251" s="281"/>
      <c r="O251" s="281"/>
      <c r="P251" s="281"/>
      <c r="Q251" s="284"/>
      <c r="R251" s="284"/>
      <c r="S251" s="70"/>
    </row>
    <row r="252" spans="1:28" s="242" customFormat="1">
      <c r="A252" s="70" t="s">
        <v>383</v>
      </c>
      <c r="B252" s="70" t="s">
        <v>1083</v>
      </c>
      <c r="C252" s="71"/>
      <c r="D252" s="71"/>
      <c r="E252" s="71"/>
      <c r="F252" s="299"/>
      <c r="G252" s="300"/>
      <c r="H252" s="300"/>
      <c r="I252" s="300"/>
      <c r="J252" s="281"/>
      <c r="K252" s="282">
        <f>Sheet1!$A$3*7</f>
        <v>7</v>
      </c>
      <c r="L252" s="281"/>
      <c r="M252" s="281"/>
      <c r="N252" s="281"/>
      <c r="O252" s="281"/>
      <c r="P252" s="281"/>
      <c r="Q252" s="284"/>
      <c r="R252" s="284"/>
      <c r="S252" s="70"/>
    </row>
    <row r="253" spans="1:28" s="242" customFormat="1">
      <c r="A253" s="70" t="s">
        <v>557</v>
      </c>
      <c r="B253" s="70"/>
      <c r="C253" s="71"/>
      <c r="D253" s="71"/>
      <c r="E253" s="71"/>
      <c r="F253" s="299"/>
      <c r="G253" s="300"/>
      <c r="H253" s="300"/>
      <c r="I253" s="300"/>
      <c r="J253" s="281"/>
      <c r="K253" s="282">
        <f>Sheet1!$A$3*280</f>
        <v>280</v>
      </c>
      <c r="L253" s="281"/>
      <c r="M253" s="281"/>
      <c r="N253" s="281"/>
      <c r="O253" s="281"/>
      <c r="P253" s="281"/>
      <c r="Q253" s="284"/>
      <c r="R253" s="284"/>
      <c r="S253" s="70"/>
    </row>
    <row r="254" spans="1:28" s="242" customFormat="1">
      <c r="A254" s="70" t="s">
        <v>1084</v>
      </c>
      <c r="B254" s="70" t="s">
        <v>1085</v>
      </c>
      <c r="C254" s="71"/>
      <c r="D254" s="71"/>
      <c r="E254" s="71"/>
      <c r="F254" s="299"/>
      <c r="G254" s="300"/>
      <c r="H254" s="300"/>
      <c r="I254" s="300"/>
      <c r="J254" s="281"/>
      <c r="K254" s="310"/>
      <c r="L254" s="281"/>
      <c r="M254" s="281"/>
      <c r="N254" s="281"/>
      <c r="O254" s="281"/>
      <c r="P254" s="281"/>
      <c r="Q254" s="284"/>
      <c r="R254" s="284"/>
      <c r="S254" s="70"/>
    </row>
    <row r="255" spans="1:28" s="242" customFormat="1">
      <c r="A255" s="70"/>
      <c r="B255" s="70"/>
      <c r="C255" s="71"/>
      <c r="D255" s="71"/>
      <c r="E255" s="71"/>
      <c r="F255" s="299"/>
      <c r="G255" s="300"/>
      <c r="H255" s="300"/>
      <c r="I255" s="300"/>
      <c r="J255" s="281"/>
      <c r="K255" s="282"/>
      <c r="L255" s="281"/>
      <c r="M255" s="281"/>
      <c r="N255" s="281"/>
      <c r="O255" s="281"/>
      <c r="P255" s="281"/>
      <c r="Q255" s="284"/>
      <c r="R255" s="284"/>
      <c r="S255" s="70"/>
    </row>
    <row r="256" spans="1:28" s="242" customFormat="1">
      <c r="A256" s="70"/>
      <c r="B256" s="70"/>
      <c r="C256" s="71"/>
      <c r="D256" s="71"/>
      <c r="E256" s="71"/>
      <c r="F256" s="299"/>
      <c r="G256" s="300"/>
      <c r="H256" s="300"/>
      <c r="I256" s="300"/>
      <c r="J256" s="281"/>
      <c r="K256" s="282"/>
      <c r="L256" s="281"/>
      <c r="M256" s="281"/>
      <c r="N256" s="281"/>
      <c r="O256" s="281"/>
      <c r="P256" s="281"/>
      <c r="Q256" s="284"/>
      <c r="R256" s="284"/>
      <c r="S256" s="70"/>
    </row>
    <row r="257" spans="1:28" s="242" customFormat="1">
      <c r="A257" s="70"/>
      <c r="B257" s="70"/>
      <c r="C257" s="71"/>
      <c r="D257" s="71"/>
      <c r="E257" s="71"/>
      <c r="F257" s="299"/>
      <c r="G257" s="300"/>
      <c r="H257" s="300"/>
      <c r="I257" s="300"/>
      <c r="J257" s="281"/>
      <c r="K257" s="282"/>
      <c r="L257" s="281"/>
      <c r="M257" s="281"/>
      <c r="N257" s="281"/>
      <c r="O257" s="281"/>
      <c r="P257" s="281"/>
      <c r="Q257" s="284"/>
      <c r="R257" s="284"/>
      <c r="S257" s="70"/>
    </row>
    <row r="258" spans="1:28" s="242" customFormat="1">
      <c r="A258" s="70"/>
      <c r="B258" s="70"/>
      <c r="C258" s="71"/>
      <c r="D258" s="71"/>
      <c r="E258" s="71"/>
      <c r="F258" s="299"/>
      <c r="G258" s="300"/>
      <c r="H258" s="300"/>
      <c r="I258" s="300"/>
      <c r="J258" s="281"/>
      <c r="K258" s="282"/>
      <c r="L258" s="281"/>
      <c r="M258" s="281"/>
      <c r="N258" s="281"/>
      <c r="O258" s="281"/>
      <c r="P258" s="281"/>
      <c r="Q258" s="284"/>
      <c r="R258" s="284"/>
      <c r="S258" s="70"/>
    </row>
    <row r="259" spans="1:28" s="242" customFormat="1">
      <c r="A259" s="70"/>
      <c r="B259" s="70"/>
      <c r="C259" s="71"/>
      <c r="D259" s="71"/>
      <c r="E259" s="71"/>
      <c r="F259" s="299"/>
      <c r="G259" s="300"/>
      <c r="H259" s="300"/>
      <c r="I259" s="300"/>
      <c r="J259" s="281"/>
      <c r="K259" s="282"/>
      <c r="L259" s="281"/>
      <c r="M259" s="281"/>
      <c r="N259" s="281"/>
      <c r="O259" s="281"/>
      <c r="P259" s="281"/>
      <c r="Q259" s="284"/>
      <c r="R259" s="284"/>
      <c r="S259" s="70"/>
    </row>
    <row r="260" spans="1:28" s="242" customFormat="1">
      <c r="A260" s="70"/>
      <c r="B260" s="70"/>
      <c r="C260" s="71"/>
      <c r="D260" s="71"/>
      <c r="E260" s="71"/>
      <c r="F260" s="299"/>
      <c r="G260" s="300"/>
      <c r="H260" s="300"/>
      <c r="I260" s="300"/>
      <c r="J260" s="281"/>
      <c r="K260" s="282"/>
      <c r="L260" s="281"/>
      <c r="M260" s="281"/>
      <c r="N260" s="281"/>
      <c r="O260" s="281"/>
      <c r="P260" s="281"/>
      <c r="Q260" s="284"/>
      <c r="R260" s="284"/>
      <c r="S260" s="70"/>
    </row>
    <row r="261" spans="1:28" s="242" customFormat="1">
      <c r="A261" s="70"/>
      <c r="B261" s="70"/>
      <c r="C261" s="71"/>
      <c r="D261" s="71"/>
      <c r="E261" s="71"/>
      <c r="F261" s="299"/>
      <c r="G261" s="300"/>
      <c r="H261" s="300"/>
      <c r="I261" s="300"/>
      <c r="J261" s="281"/>
      <c r="K261" s="282"/>
      <c r="L261" s="281"/>
      <c r="M261" s="281"/>
      <c r="N261" s="281"/>
      <c r="O261" s="281"/>
      <c r="P261" s="281"/>
      <c r="Q261" s="284"/>
      <c r="R261" s="284"/>
      <c r="S261" s="70"/>
    </row>
    <row r="262" spans="1:28" s="242" customFormat="1">
      <c r="A262" s="70"/>
      <c r="B262" s="70"/>
      <c r="C262" s="71"/>
      <c r="D262" s="71"/>
      <c r="E262" s="71"/>
      <c r="F262" s="299"/>
      <c r="G262" s="300"/>
      <c r="H262" s="300"/>
      <c r="I262" s="300"/>
      <c r="J262" s="281"/>
      <c r="K262" s="282"/>
      <c r="L262" s="281"/>
      <c r="M262" s="281"/>
      <c r="N262" s="281"/>
      <c r="O262" s="281"/>
      <c r="P262" s="281"/>
      <c r="Q262" s="284"/>
      <c r="R262" s="284"/>
      <c r="S262" s="70"/>
    </row>
    <row r="263" spans="1:28" s="242" customFormat="1">
      <c r="A263" s="70"/>
      <c r="B263" s="70"/>
      <c r="C263" s="71"/>
      <c r="D263" s="71"/>
      <c r="E263" s="71"/>
      <c r="F263" s="299"/>
      <c r="G263" s="300"/>
      <c r="H263" s="300"/>
      <c r="I263" s="300"/>
      <c r="J263" s="281"/>
      <c r="K263" s="282"/>
      <c r="L263" s="281"/>
      <c r="M263" s="281"/>
      <c r="N263" s="281"/>
      <c r="O263" s="281"/>
      <c r="P263" s="281"/>
      <c r="Q263" s="284"/>
      <c r="R263" s="284"/>
      <c r="S263" s="70"/>
    </row>
    <row r="264" spans="1:28" s="242" customFormat="1">
      <c r="A264" s="277" t="s">
        <v>362</v>
      </c>
      <c r="B264" s="277"/>
      <c r="C264" s="71"/>
      <c r="D264" s="71"/>
      <c r="E264" s="71"/>
      <c r="F264" s="299"/>
      <c r="G264" s="300"/>
      <c r="H264" s="300"/>
      <c r="I264" s="300"/>
      <c r="J264" s="281"/>
      <c r="K264" s="282"/>
      <c r="L264" s="281"/>
      <c r="M264" s="281"/>
      <c r="N264" s="281"/>
      <c r="O264" s="281"/>
      <c r="P264" s="281"/>
      <c r="Q264" s="284"/>
      <c r="R264" s="284"/>
      <c r="S264" s="70"/>
    </row>
    <row r="265" spans="1:28" s="242" customFormat="1">
      <c r="A265" s="70" t="s">
        <v>163</v>
      </c>
      <c r="B265" s="70" t="s">
        <v>1086</v>
      </c>
      <c r="C265" s="71">
        <f>F265*G265*H265*7.85/1000000*2</f>
        <v>1.3125199999999999</v>
      </c>
      <c r="D265" s="71">
        <f>H265*G265*2*2/1000000</f>
        <v>8.3599999999999994E-2</v>
      </c>
      <c r="E265" s="71"/>
      <c r="F265" s="299">
        <v>4</v>
      </c>
      <c r="G265" s="300">
        <v>95</v>
      </c>
      <c r="H265" s="300">
        <v>220</v>
      </c>
      <c r="I265" s="300"/>
      <c r="J265" s="281">
        <f>10.5/C265</f>
        <v>7.9998780970956602</v>
      </c>
      <c r="K265" s="282"/>
      <c r="L265" s="281">
        <v>9.1999999999999993</v>
      </c>
      <c r="M265" s="281"/>
      <c r="N265" s="281"/>
      <c r="O265" s="281">
        <v>2.2000000000000002</v>
      </c>
      <c r="P265" s="281">
        <v>0.2</v>
      </c>
      <c r="Q265" s="284" t="s">
        <v>1087</v>
      </c>
      <c r="R265" s="302">
        <v>2</v>
      </c>
      <c r="S265" s="70"/>
      <c r="AA265" s="242" t="s">
        <v>1088</v>
      </c>
      <c r="AB265" s="242" t="str">
        <f>"pitch 50, 5 claws, H"&amp;H265</f>
        <v>pitch 50, 5 claws, H220</v>
      </c>
    </row>
    <row r="266" spans="1:28" s="242" customFormat="1">
      <c r="A266" s="70" t="s">
        <v>1089</v>
      </c>
      <c r="B266" s="70" t="s">
        <v>1086</v>
      </c>
      <c r="C266" s="71">
        <f>F266*G266*H266*7.85/1000000*2</f>
        <v>1.0142199999999999</v>
      </c>
      <c r="D266" s="71">
        <f>H266*G266*2*2/1000000</f>
        <v>6.4600000000000005E-2</v>
      </c>
      <c r="E266" s="71"/>
      <c r="F266" s="299">
        <v>4</v>
      </c>
      <c r="G266" s="300">
        <v>95</v>
      </c>
      <c r="H266" s="300">
        <v>170</v>
      </c>
      <c r="I266" s="300"/>
      <c r="J266" s="281">
        <f>6.8/C266</f>
        <v>6.70465973851827</v>
      </c>
      <c r="K266" s="282"/>
      <c r="L266" s="281">
        <v>9.1999999999999993</v>
      </c>
      <c r="M266" s="281"/>
      <c r="N266" s="281"/>
      <c r="O266" s="281">
        <v>2.2000000000000002</v>
      </c>
      <c r="P266" s="281">
        <v>0.2</v>
      </c>
      <c r="Q266" s="284" t="s">
        <v>1087</v>
      </c>
      <c r="R266" s="302">
        <v>2</v>
      </c>
      <c r="S266" s="70"/>
      <c r="AA266" s="242" t="s">
        <v>1090</v>
      </c>
      <c r="AB266" s="242" t="str">
        <f>"pitch 50, 4 claws, H"&amp;H266</f>
        <v>pitch 50, 4 claws, H170</v>
      </c>
    </row>
    <row r="267" spans="1:28" s="242" customFormat="1">
      <c r="A267" s="70" t="s">
        <v>1091</v>
      </c>
      <c r="B267" s="70" t="s">
        <v>1092</v>
      </c>
      <c r="C267" s="71">
        <f t="shared" ref="C267" si="107">F267*G267*H267*7.85/1000000*2</f>
        <v>0.68687500000000001</v>
      </c>
      <c r="D267" s="71">
        <f t="shared" ref="D267" si="108">H267*G267*2*2/1000000</f>
        <v>0.05</v>
      </c>
      <c r="E267" s="71"/>
      <c r="F267" s="299">
        <v>3.5</v>
      </c>
      <c r="G267" s="300">
        <v>100</v>
      </c>
      <c r="H267" s="300">
        <v>125</v>
      </c>
      <c r="I267" s="300"/>
      <c r="J267" s="281">
        <f>5.3/C267</f>
        <v>7.7161055505004503</v>
      </c>
      <c r="K267" s="282"/>
      <c r="L267" s="281">
        <v>9.1999999999999993</v>
      </c>
      <c r="M267" s="281"/>
      <c r="N267" s="281"/>
      <c r="O267" s="281">
        <v>2.2000000000000002</v>
      </c>
      <c r="P267" s="281">
        <v>0.2</v>
      </c>
      <c r="Q267" s="284" t="s">
        <v>1087</v>
      </c>
      <c r="R267" s="302">
        <v>2</v>
      </c>
      <c r="S267" s="70"/>
      <c r="AA267" s="242" t="s">
        <v>1093</v>
      </c>
      <c r="AB267" s="242" t="str">
        <f>"pitch 75, 2 claws, H"&amp;H267</f>
        <v>pitch 75, 2 claws, H125</v>
      </c>
    </row>
    <row r="268" spans="1:28" s="242" customFormat="1">
      <c r="A268" s="70" t="s">
        <v>161</v>
      </c>
      <c r="B268" s="70" t="s">
        <v>1094</v>
      </c>
      <c r="C268" s="71">
        <f t="shared" ref="C268:C279" si="109">F268*G268*H268*7.85/1000000*2</f>
        <v>1.099</v>
      </c>
      <c r="D268" s="71">
        <f t="shared" ref="D268:D274" si="110">H268*G268*2*2/1000000</f>
        <v>0.08</v>
      </c>
      <c r="E268" s="71"/>
      <c r="F268" s="299">
        <v>3.5</v>
      </c>
      <c r="G268" s="300">
        <v>100</v>
      </c>
      <c r="H268" s="300">
        <v>200</v>
      </c>
      <c r="I268" s="300"/>
      <c r="J268" s="281">
        <f>7.2/C268</f>
        <v>6.5514103730664202</v>
      </c>
      <c r="K268" s="282"/>
      <c r="L268" s="281">
        <v>9.1999999999999993</v>
      </c>
      <c r="M268" s="281"/>
      <c r="N268" s="281"/>
      <c r="O268" s="281">
        <v>2.2000000000000002</v>
      </c>
      <c r="P268" s="281">
        <v>0.2</v>
      </c>
      <c r="Q268" s="284" t="s">
        <v>1087</v>
      </c>
      <c r="R268" s="302">
        <v>2</v>
      </c>
      <c r="S268" s="70"/>
      <c r="AA268" s="242" t="s">
        <v>1095</v>
      </c>
      <c r="AB268" s="242" t="str">
        <f>"pitch 75, 3 claws, H"&amp;H268</f>
        <v>pitch 75, 3 claws, H200</v>
      </c>
    </row>
    <row r="269" spans="1:28" s="242" customFormat="1">
      <c r="A269" s="70" t="s">
        <v>727</v>
      </c>
      <c r="B269" s="70" t="s">
        <v>1096</v>
      </c>
      <c r="C269" s="71">
        <f t="shared" si="109"/>
        <v>1.236375</v>
      </c>
      <c r="D269" s="71">
        <f t="shared" si="110"/>
        <v>0.09</v>
      </c>
      <c r="E269" s="71"/>
      <c r="F269" s="299">
        <v>3.5</v>
      </c>
      <c r="G269" s="300">
        <v>100</v>
      </c>
      <c r="H269" s="300">
        <v>225</v>
      </c>
      <c r="I269" s="300"/>
      <c r="J269" s="281">
        <f>7.3/C269</f>
        <v>5.9043574967141801</v>
      </c>
      <c r="K269" s="282"/>
      <c r="L269" s="281">
        <v>9.1999999999999993</v>
      </c>
      <c r="M269" s="281"/>
      <c r="N269" s="281"/>
      <c r="O269" s="281">
        <v>2.2000000000000002</v>
      </c>
      <c r="P269" s="281">
        <v>0.2</v>
      </c>
      <c r="Q269" s="284" t="s">
        <v>1087</v>
      </c>
      <c r="R269" s="302">
        <v>2</v>
      </c>
      <c r="S269" s="70"/>
      <c r="AA269" s="242" t="s">
        <v>1097</v>
      </c>
      <c r="AB269" s="242" t="str">
        <f>"pitch 76.2, 3 claws, H"&amp;H269</f>
        <v>pitch 76.2, 3 claws, H225</v>
      </c>
    </row>
    <row r="270" spans="1:28" s="242" customFormat="1">
      <c r="A270" s="70" t="s">
        <v>1098</v>
      </c>
      <c r="B270" s="70" t="s">
        <v>1099</v>
      </c>
      <c r="C270" s="71">
        <f t="shared" si="109"/>
        <v>1.5111250000000001</v>
      </c>
      <c r="D270" s="71">
        <f t="shared" si="110"/>
        <v>0.11</v>
      </c>
      <c r="E270" s="71"/>
      <c r="F270" s="299">
        <v>3.5</v>
      </c>
      <c r="G270" s="300">
        <v>100</v>
      </c>
      <c r="H270" s="300">
        <v>275</v>
      </c>
      <c r="I270" s="300"/>
      <c r="J270" s="281">
        <f>9.5/C270</f>
        <v>6.2867069236496</v>
      </c>
      <c r="K270" s="282"/>
      <c r="L270" s="281">
        <v>9.1999999999999993</v>
      </c>
      <c r="M270" s="281"/>
      <c r="N270" s="281"/>
      <c r="O270" s="281">
        <v>2.2000000000000002</v>
      </c>
      <c r="P270" s="281">
        <v>0.2</v>
      </c>
      <c r="Q270" s="284" t="s">
        <v>1087</v>
      </c>
      <c r="R270" s="302">
        <v>2</v>
      </c>
      <c r="S270" s="70"/>
      <c r="AA270" s="242" t="s">
        <v>1100</v>
      </c>
      <c r="AB270" s="242" t="str">
        <f>"pitch 75, 4 claws, H"&amp;H270</f>
        <v>pitch 75, 4 claws, H275</v>
      </c>
    </row>
    <row r="271" spans="1:28" s="242" customFormat="1">
      <c r="A271" s="70" t="s">
        <v>472</v>
      </c>
      <c r="B271" s="70" t="s">
        <v>1101</v>
      </c>
      <c r="C271" s="71">
        <v>2.61</v>
      </c>
      <c r="D271" s="71">
        <f t="shared" si="110"/>
        <v>0.20399999999999999</v>
      </c>
      <c r="E271" s="71"/>
      <c r="F271" s="299">
        <v>3.5</v>
      </c>
      <c r="G271" s="300">
        <v>150</v>
      </c>
      <c r="H271" s="300">
        <v>340</v>
      </c>
      <c r="I271" s="300"/>
      <c r="J271" s="311">
        <f>18.2/C271</f>
        <v>6.97318007662835</v>
      </c>
      <c r="K271" s="282">
        <f>Sheet1!$A$3*4</f>
        <v>4</v>
      </c>
      <c r="L271" s="281">
        <v>9.1999999999999993</v>
      </c>
      <c r="M271" s="281"/>
      <c r="N271" s="281"/>
      <c r="O271" s="281">
        <v>2.2000000000000002</v>
      </c>
      <c r="P271" s="281">
        <v>0.2</v>
      </c>
      <c r="Q271" s="284" t="s">
        <v>327</v>
      </c>
      <c r="R271" s="302">
        <v>18</v>
      </c>
      <c r="S271" s="70"/>
      <c r="AA271" s="242" t="s">
        <v>1102</v>
      </c>
      <c r="AB271" s="242" t="str">
        <f>"pitch 75, 4 claws, H"&amp;H271</f>
        <v>pitch 75, 4 claws, H340</v>
      </c>
    </row>
    <row r="272" spans="1:28" s="242" customFormat="1">
      <c r="A272" s="70" t="s">
        <v>731</v>
      </c>
      <c r="B272" s="70" t="s">
        <v>1103</v>
      </c>
      <c r="C272" s="71">
        <f t="shared" si="109"/>
        <v>1.6539950000000001</v>
      </c>
      <c r="D272" s="71">
        <f t="shared" si="110"/>
        <v>0.12039999999999999</v>
      </c>
      <c r="E272" s="71"/>
      <c r="F272" s="299">
        <v>3.5</v>
      </c>
      <c r="G272" s="300">
        <v>100</v>
      </c>
      <c r="H272" s="300">
        <v>301</v>
      </c>
      <c r="I272" s="300"/>
      <c r="J272" s="281">
        <f>9.5/C272</f>
        <v>5.7436691162911604</v>
      </c>
      <c r="K272" s="282"/>
      <c r="L272" s="281">
        <v>9.1999999999999993</v>
      </c>
      <c r="M272" s="281"/>
      <c r="N272" s="281"/>
      <c r="O272" s="281">
        <v>2.2000000000000002</v>
      </c>
      <c r="P272" s="281">
        <v>0.2</v>
      </c>
      <c r="Q272" s="284" t="s">
        <v>1087</v>
      </c>
      <c r="R272" s="302">
        <v>2</v>
      </c>
      <c r="S272" s="70"/>
      <c r="AA272" s="242" t="s">
        <v>1104</v>
      </c>
      <c r="AB272" s="242" t="str">
        <f>"pitch 76.2, 4 claws, H"&amp;H272</f>
        <v>pitch 76.2, 4 claws, H301</v>
      </c>
    </row>
    <row r="273" spans="1:28" s="242" customFormat="1">
      <c r="A273" s="70" t="s">
        <v>1105</v>
      </c>
      <c r="B273" s="70" t="s">
        <v>1106</v>
      </c>
      <c r="C273" s="71">
        <f t="shared" si="109"/>
        <v>1.3539680000000001</v>
      </c>
      <c r="D273" s="71">
        <f t="shared" si="110"/>
        <v>8.6239999999999997E-2</v>
      </c>
      <c r="E273" s="71"/>
      <c r="F273" s="299">
        <v>4</v>
      </c>
      <c r="G273" s="300">
        <v>98</v>
      </c>
      <c r="H273" s="300">
        <v>220</v>
      </c>
      <c r="I273" s="300"/>
      <c r="J273" s="281">
        <f>10.5/C273</f>
        <v>7.7549838696335502</v>
      </c>
      <c r="K273" s="282"/>
      <c r="L273" s="281">
        <v>9.1999999999999993</v>
      </c>
      <c r="M273" s="281"/>
      <c r="N273" s="281"/>
      <c r="O273" s="281">
        <v>2.2000000000000002</v>
      </c>
      <c r="P273" s="281">
        <v>0.2</v>
      </c>
      <c r="Q273" s="284" t="s">
        <v>1107</v>
      </c>
      <c r="R273" s="302">
        <v>2</v>
      </c>
      <c r="S273" s="70"/>
      <c r="AA273" s="242" t="s">
        <v>1088</v>
      </c>
      <c r="AB273" s="242" t="str">
        <f>"pitch 50, 5 claws, H"&amp;H273</f>
        <v>pitch 50, 5 claws, H220</v>
      </c>
    </row>
    <row r="274" spans="1:28" s="242" customFormat="1">
      <c r="A274" s="70" t="s">
        <v>1108</v>
      </c>
      <c r="B274" s="70" t="s">
        <v>1109</v>
      </c>
      <c r="C274" s="71">
        <f t="shared" si="109"/>
        <v>1.099</v>
      </c>
      <c r="D274" s="71">
        <f t="shared" si="110"/>
        <v>0.08</v>
      </c>
      <c r="E274" s="71"/>
      <c r="F274" s="299">
        <v>3.5</v>
      </c>
      <c r="G274" s="300">
        <v>100</v>
      </c>
      <c r="H274" s="300">
        <v>200</v>
      </c>
      <c r="I274" s="300"/>
      <c r="J274" s="281">
        <f>7.2/C274</f>
        <v>6.5514103730664202</v>
      </c>
      <c r="K274" s="282"/>
      <c r="L274" s="281">
        <v>9.1999999999999993</v>
      </c>
      <c r="M274" s="281"/>
      <c r="N274" s="281"/>
      <c r="O274" s="281">
        <v>2.2000000000000002</v>
      </c>
      <c r="P274" s="281">
        <v>0.2</v>
      </c>
      <c r="Q274" s="284" t="s">
        <v>1110</v>
      </c>
      <c r="R274" s="302">
        <v>2</v>
      </c>
      <c r="S274" s="70"/>
      <c r="AA274" s="242" t="s">
        <v>1111</v>
      </c>
      <c r="AB274" s="242" t="str">
        <f>"pitch 76.2, 3 claws, H"&amp;H274</f>
        <v>pitch 76.2, 3 claws, H200</v>
      </c>
    </row>
    <row r="275" spans="1:28" s="242" customFormat="1">
      <c r="A275" s="70" t="s">
        <v>1112</v>
      </c>
      <c r="B275" s="70" t="s">
        <v>1113</v>
      </c>
      <c r="C275" s="71">
        <f t="shared" si="109"/>
        <v>1.5111250000000001</v>
      </c>
      <c r="D275" s="71">
        <v>0.11</v>
      </c>
      <c r="E275" s="71"/>
      <c r="F275" s="299">
        <v>3.5</v>
      </c>
      <c r="G275" s="300">
        <v>100</v>
      </c>
      <c r="H275" s="300">
        <v>275</v>
      </c>
      <c r="I275" s="300"/>
      <c r="J275" s="281">
        <f>9.5/C275</f>
        <v>6.2867069236496</v>
      </c>
      <c r="K275" s="282"/>
      <c r="L275" s="281">
        <v>9.1999999999999993</v>
      </c>
      <c r="M275" s="281"/>
      <c r="N275" s="281"/>
      <c r="O275" s="281">
        <v>2.2000000000000002</v>
      </c>
      <c r="P275" s="281">
        <v>0.2</v>
      </c>
      <c r="Q275" s="284" t="s">
        <v>1110</v>
      </c>
      <c r="R275" s="302">
        <v>2</v>
      </c>
      <c r="S275" s="70"/>
      <c r="AA275" s="242" t="s">
        <v>1114</v>
      </c>
      <c r="AB275" s="242" t="str">
        <f>"pitch 76.2, 4 claws, H"&amp;H275</f>
        <v>pitch 76.2, 4 claws, H275</v>
      </c>
    </row>
    <row r="276" spans="1:28" s="242" customFormat="1">
      <c r="A276" s="70" t="s">
        <v>374</v>
      </c>
      <c r="B276" s="70" t="s">
        <v>1115</v>
      </c>
      <c r="C276" s="71">
        <f t="shared" si="109"/>
        <v>0.432535</v>
      </c>
      <c r="D276" s="71">
        <v>4.4659999999999998E-2</v>
      </c>
      <c r="E276" s="71"/>
      <c r="F276" s="299">
        <v>2.5</v>
      </c>
      <c r="G276" s="300">
        <v>76</v>
      </c>
      <c r="H276" s="300">
        <v>145</v>
      </c>
      <c r="I276" s="300"/>
      <c r="J276" s="281">
        <f>4/C276</f>
        <v>9.2478065358872694</v>
      </c>
      <c r="K276" s="282"/>
      <c r="L276" s="281">
        <v>9.1999999999999993</v>
      </c>
      <c r="M276" s="281"/>
      <c r="N276" s="281"/>
      <c r="O276" s="281">
        <v>2.2000000000000002</v>
      </c>
      <c r="P276" s="281">
        <v>0.2</v>
      </c>
      <c r="Q276" s="284" t="s">
        <v>1116</v>
      </c>
      <c r="R276" s="302">
        <v>2</v>
      </c>
      <c r="S276" s="70"/>
      <c r="AA276" s="242" t="s">
        <v>1117</v>
      </c>
      <c r="AB276" s="242" t="str">
        <f>"with L55A，H145 "</f>
        <v>with L55A，H145</v>
      </c>
    </row>
    <row r="277" spans="1:28" s="242" customFormat="1">
      <c r="A277" s="70" t="s">
        <v>1118</v>
      </c>
      <c r="B277" s="70" t="s">
        <v>1119</v>
      </c>
      <c r="C277" s="71">
        <f t="shared" si="109"/>
        <v>0.40270499999999998</v>
      </c>
      <c r="D277" s="71">
        <v>4.1579999999999999E-2</v>
      </c>
      <c r="E277" s="71"/>
      <c r="F277" s="299">
        <v>2.5</v>
      </c>
      <c r="G277" s="300">
        <v>76</v>
      </c>
      <c r="H277" s="300">
        <v>135</v>
      </c>
      <c r="I277" s="300"/>
      <c r="J277" s="281">
        <f>4/C277</f>
        <v>9.9328292422492908</v>
      </c>
      <c r="K277" s="282"/>
      <c r="L277" s="281">
        <v>9.1999999999999993</v>
      </c>
      <c r="M277" s="281"/>
      <c r="N277" s="281"/>
      <c r="O277" s="281">
        <v>2.2000000000000002</v>
      </c>
      <c r="P277" s="281">
        <v>0.2</v>
      </c>
      <c r="Q277" s="284" t="s">
        <v>1116</v>
      </c>
      <c r="R277" s="302">
        <v>2</v>
      </c>
      <c r="S277" s="70"/>
      <c r="AA277" s="242" t="s">
        <v>1120</v>
      </c>
      <c r="AB277" s="242" t="str">
        <f>"with L55B，H135,"</f>
        <v>with L55B，H135,</v>
      </c>
    </row>
    <row r="278" spans="1:28" s="242" customFormat="1">
      <c r="A278" s="70" t="s">
        <v>1121</v>
      </c>
      <c r="B278" s="70" t="s">
        <v>1122</v>
      </c>
      <c r="C278" s="71">
        <f t="shared" si="109"/>
        <v>0.41546125</v>
      </c>
      <c r="D278" s="71">
        <v>4.2340000000000003E-2</v>
      </c>
      <c r="E278" s="71"/>
      <c r="F278" s="299">
        <v>2.5</v>
      </c>
      <c r="G278" s="300">
        <v>73</v>
      </c>
      <c r="H278" s="300">
        <v>145</v>
      </c>
      <c r="I278" s="300"/>
      <c r="J278" s="281">
        <f>4/C278</f>
        <v>9.6278533798278403</v>
      </c>
      <c r="K278" s="282"/>
      <c r="L278" s="281">
        <v>9.1999999999999993</v>
      </c>
      <c r="M278" s="281"/>
      <c r="N278" s="281"/>
      <c r="O278" s="281">
        <v>2.2000000000000002</v>
      </c>
      <c r="P278" s="281">
        <v>0.2</v>
      </c>
      <c r="Q278" s="284" t="s">
        <v>1123</v>
      </c>
      <c r="R278" s="302">
        <v>2</v>
      </c>
      <c r="S278" s="70"/>
      <c r="AA278" s="242" t="s">
        <v>1124</v>
      </c>
      <c r="AB278" s="242" t="str">
        <f>"with L55C，H145,"</f>
        <v>with L55C，H145,</v>
      </c>
    </row>
    <row r="279" spans="1:28" s="242" customFormat="1">
      <c r="A279" s="70" t="s">
        <v>1125</v>
      </c>
      <c r="B279" s="70" t="s">
        <v>1126</v>
      </c>
      <c r="C279" s="71">
        <f t="shared" si="109"/>
        <v>0.4556925</v>
      </c>
      <c r="D279" s="71">
        <v>4.6980000000000001E-2</v>
      </c>
      <c r="E279" s="71"/>
      <c r="F279" s="299">
        <v>2.5</v>
      </c>
      <c r="G279" s="300">
        <v>86</v>
      </c>
      <c r="H279" s="300">
        <v>135</v>
      </c>
      <c r="I279" s="300"/>
      <c r="J279" s="281">
        <f>4.2/C279</f>
        <v>9.2167415526917793</v>
      </c>
      <c r="K279" s="282"/>
      <c r="L279" s="281">
        <v>9.1999999999999993</v>
      </c>
      <c r="M279" s="281"/>
      <c r="N279" s="281"/>
      <c r="O279" s="281">
        <v>2.2000000000000002</v>
      </c>
      <c r="P279" s="281">
        <v>0.2</v>
      </c>
      <c r="Q279" s="284" t="s">
        <v>1116</v>
      </c>
      <c r="R279" s="302">
        <v>2</v>
      </c>
      <c r="S279" s="70"/>
      <c r="AA279" s="242" t="s">
        <v>1127</v>
      </c>
      <c r="AB279" s="242" t="str">
        <f>"with L55B.Ex, H135"</f>
        <v>with L55B.Ex, H135</v>
      </c>
    </row>
    <row r="280" spans="1:28" s="242" customFormat="1">
      <c r="A280" s="70" t="s">
        <v>1128</v>
      </c>
      <c r="B280" s="70"/>
      <c r="C280" s="71">
        <v>0.5</v>
      </c>
      <c r="D280" s="71">
        <v>4.2000000000000003E-2</v>
      </c>
      <c r="E280" s="71"/>
      <c r="F280" s="299">
        <v>2.5</v>
      </c>
      <c r="G280" s="300">
        <v>75</v>
      </c>
      <c r="H280" s="300">
        <v>150</v>
      </c>
      <c r="I280" s="300"/>
      <c r="J280" s="281">
        <f>4/C280</f>
        <v>8</v>
      </c>
      <c r="K280" s="282"/>
      <c r="L280" s="281">
        <v>9.1999999999999993</v>
      </c>
      <c r="M280" s="281"/>
      <c r="N280" s="281"/>
      <c r="O280" s="281">
        <v>2.2000000000000002</v>
      </c>
      <c r="P280" s="281">
        <v>0.2</v>
      </c>
      <c r="Q280" s="284" t="s">
        <v>1116</v>
      </c>
      <c r="R280" s="302">
        <v>2</v>
      </c>
      <c r="S280" s="70"/>
      <c r="AA280" s="242" t="s">
        <v>1129</v>
      </c>
      <c r="AB280" s="242" t="str">
        <f>"with L60，H150,"</f>
        <v>with L60，H150,</v>
      </c>
    </row>
    <row r="281" spans="1:28" s="242" customFormat="1">
      <c r="A281" s="70" t="s">
        <v>470</v>
      </c>
      <c r="B281" s="70"/>
      <c r="C281" s="71">
        <f>2.421</f>
        <v>2.4209999999999998</v>
      </c>
      <c r="D281" s="71">
        <f>0.168*2</f>
        <v>0.33600000000000002</v>
      </c>
      <c r="E281" s="71"/>
      <c r="F281" s="299">
        <v>3.5</v>
      </c>
      <c r="G281" s="300">
        <v>100</v>
      </c>
      <c r="H281" s="300">
        <v>200</v>
      </c>
      <c r="I281" s="300"/>
      <c r="J281" s="281">
        <f>6.5</f>
        <v>6.5</v>
      </c>
      <c r="K281" s="282"/>
      <c r="L281" s="281">
        <v>9.1999999999999993</v>
      </c>
      <c r="M281" s="281"/>
      <c r="N281" s="281"/>
      <c r="O281" s="281">
        <v>2.2000000000000002</v>
      </c>
      <c r="P281" s="281">
        <v>0.2</v>
      </c>
      <c r="Q281" s="284" t="s">
        <v>1087</v>
      </c>
      <c r="R281" s="302">
        <v>0</v>
      </c>
      <c r="S281" s="284" t="s">
        <v>327</v>
      </c>
      <c r="T281" s="242">
        <v>4</v>
      </c>
    </row>
    <row r="282" spans="1:28" s="242" customFormat="1">
      <c r="A282" s="70"/>
      <c r="B282" s="70"/>
      <c r="C282" s="71"/>
      <c r="D282" s="71"/>
      <c r="E282" s="71"/>
      <c r="F282" s="299"/>
      <c r="G282" s="300"/>
      <c r="H282" s="300"/>
      <c r="I282" s="300"/>
      <c r="J282" s="281"/>
      <c r="K282" s="282"/>
      <c r="L282" s="281"/>
      <c r="M282" s="281"/>
      <c r="N282" s="281"/>
      <c r="O282" s="281"/>
      <c r="P282" s="281"/>
      <c r="Q282" s="284"/>
      <c r="R282" s="302"/>
      <c r="S282" s="70"/>
    </row>
    <row r="283" spans="1:28" s="242" customFormat="1">
      <c r="A283" s="70"/>
      <c r="B283" s="70"/>
      <c r="C283" s="71"/>
      <c r="D283" s="71"/>
      <c r="E283" s="71"/>
      <c r="F283" s="299"/>
      <c r="G283" s="300"/>
      <c r="H283" s="300"/>
      <c r="I283" s="300"/>
      <c r="J283" s="281"/>
      <c r="K283" s="282"/>
      <c r="L283" s="281"/>
      <c r="M283" s="281"/>
      <c r="N283" s="281"/>
      <c r="O283" s="281"/>
      <c r="P283" s="281"/>
      <c r="Q283" s="284"/>
      <c r="R283" s="302"/>
      <c r="S283" s="70"/>
    </row>
    <row r="284" spans="1:28" s="242" customFormat="1">
      <c r="A284" s="70"/>
      <c r="B284" s="70"/>
      <c r="C284" s="71"/>
      <c r="D284" s="71"/>
      <c r="E284" s="71"/>
      <c r="F284" s="299"/>
      <c r="G284" s="300"/>
      <c r="H284" s="300"/>
      <c r="I284" s="300"/>
      <c r="J284" s="281"/>
      <c r="K284" s="282"/>
      <c r="L284" s="281"/>
      <c r="M284" s="281"/>
      <c r="N284" s="281"/>
      <c r="O284" s="281"/>
      <c r="P284" s="281"/>
      <c r="Q284" s="284"/>
      <c r="R284" s="302"/>
      <c r="S284" s="70"/>
    </row>
    <row r="285" spans="1:28" s="242" customFormat="1">
      <c r="A285" s="70"/>
      <c r="B285" s="70"/>
      <c r="C285" s="71"/>
      <c r="D285" s="71"/>
      <c r="E285" s="71"/>
      <c r="F285" s="299"/>
      <c r="G285" s="300"/>
      <c r="H285" s="300"/>
      <c r="I285" s="300"/>
      <c r="J285" s="281"/>
      <c r="K285" s="282"/>
      <c r="L285" s="281"/>
      <c r="M285" s="281"/>
      <c r="N285" s="281"/>
      <c r="O285" s="281"/>
      <c r="P285" s="281"/>
      <c r="Q285" s="284"/>
      <c r="R285" s="302"/>
      <c r="S285" s="70"/>
    </row>
    <row r="286" spans="1:28" s="242" customFormat="1">
      <c r="A286" s="70"/>
      <c r="B286" s="70"/>
      <c r="C286" s="71"/>
      <c r="D286" s="71"/>
      <c r="E286" s="71"/>
      <c r="F286" s="299"/>
      <c r="G286" s="300"/>
      <c r="H286" s="300"/>
      <c r="I286" s="300"/>
      <c r="J286" s="281"/>
      <c r="K286" s="282"/>
      <c r="L286" s="281"/>
      <c r="M286" s="281"/>
      <c r="N286" s="281"/>
      <c r="O286" s="281"/>
      <c r="P286" s="281"/>
      <c r="Q286" s="284"/>
      <c r="R286" s="302"/>
      <c r="S286" s="70"/>
    </row>
    <row r="287" spans="1:28" s="242" customFormat="1" ht="15.75">
      <c r="A287" s="312" t="s">
        <v>459</v>
      </c>
      <c r="B287" s="312"/>
      <c r="C287" s="71"/>
      <c r="D287" s="71"/>
      <c r="E287" s="71"/>
      <c r="F287" s="299"/>
      <c r="G287" s="300"/>
      <c r="H287" s="300"/>
      <c r="I287" s="300"/>
      <c r="J287" s="281"/>
      <c r="K287" s="282"/>
      <c r="L287" s="281"/>
      <c r="M287" s="281"/>
      <c r="N287" s="281"/>
      <c r="O287" s="281"/>
      <c r="P287" s="281"/>
      <c r="Q287" s="284"/>
      <c r="R287" s="284"/>
      <c r="S287" s="70"/>
    </row>
    <row r="288" spans="1:28" s="242" customFormat="1">
      <c r="A288" s="70" t="s">
        <v>1130</v>
      </c>
      <c r="B288" s="70" t="s">
        <v>1131</v>
      </c>
      <c r="C288" s="71">
        <v>0.38500000000000001</v>
      </c>
      <c r="D288" s="71">
        <v>2.8000000000000001E-2</v>
      </c>
      <c r="E288" s="71"/>
      <c r="F288" s="299">
        <v>3.5</v>
      </c>
      <c r="G288" s="300"/>
      <c r="H288" s="300">
        <v>100</v>
      </c>
      <c r="I288" s="300">
        <v>140</v>
      </c>
      <c r="J288" s="281">
        <f>4.4/C288</f>
        <v>11.4285714285714</v>
      </c>
      <c r="K288" s="282"/>
      <c r="L288" s="281">
        <v>0.95</v>
      </c>
      <c r="M288" s="281">
        <v>2.2999999999999998</v>
      </c>
      <c r="N288" s="281"/>
      <c r="O288" s="281">
        <v>2.2000000000000002</v>
      </c>
      <c r="P288" s="281"/>
      <c r="Q288" s="284" t="s">
        <v>327</v>
      </c>
      <c r="R288" s="302">
        <v>2</v>
      </c>
      <c r="S288" s="70" t="s">
        <v>1034</v>
      </c>
      <c r="T288" s="242">
        <v>2</v>
      </c>
      <c r="U288" s="70" t="s">
        <v>1132</v>
      </c>
      <c r="V288" s="242">
        <v>2</v>
      </c>
      <c r="AA288" s="242" t="s">
        <v>1133</v>
      </c>
      <c r="AB288" s="242" t="s">
        <v>1134</v>
      </c>
    </row>
    <row r="289" spans="1:28" s="242" customFormat="1">
      <c r="A289" s="70" t="s">
        <v>1135</v>
      </c>
      <c r="B289" s="70" t="s">
        <v>1136</v>
      </c>
      <c r="C289" s="71">
        <v>0.84599999999999997</v>
      </c>
      <c r="D289" s="71"/>
      <c r="E289" s="71"/>
      <c r="F289" s="299">
        <v>4.5</v>
      </c>
      <c r="G289" s="300"/>
      <c r="H289" s="300">
        <v>130</v>
      </c>
      <c r="I289" s="300">
        <v>130</v>
      </c>
      <c r="J289" s="281">
        <f>6.1*C289</f>
        <v>5.1605999999999996</v>
      </c>
      <c r="K289" s="282">
        <f>Sheet1!$A$3*1.2</f>
        <v>1.2</v>
      </c>
      <c r="L289" s="281">
        <v>0.95</v>
      </c>
      <c r="M289" s="281">
        <v>2.2999999999999998</v>
      </c>
      <c r="N289" s="281"/>
      <c r="O289" s="281">
        <v>2.2000000000000002</v>
      </c>
      <c r="P289" s="281"/>
      <c r="Q289" s="284" t="s">
        <v>327</v>
      </c>
      <c r="R289" s="302">
        <v>2</v>
      </c>
      <c r="S289" s="70" t="s">
        <v>1137</v>
      </c>
      <c r="T289" s="242">
        <v>2</v>
      </c>
      <c r="U289" s="70" t="s">
        <v>1138</v>
      </c>
      <c r="V289" s="242">
        <v>2</v>
      </c>
      <c r="AA289" s="242" t="s">
        <v>1139</v>
      </c>
      <c r="AB289" s="242" t="s">
        <v>1140</v>
      </c>
    </row>
    <row r="290" spans="1:28" s="242" customFormat="1">
      <c r="A290" s="70" t="s">
        <v>1141</v>
      </c>
      <c r="B290" s="70" t="s">
        <v>1142</v>
      </c>
      <c r="C290" s="71">
        <f>C289+0.1041852</f>
        <v>0.95018519999999995</v>
      </c>
      <c r="D290" s="71"/>
      <c r="E290" s="71"/>
      <c r="F290" s="299">
        <v>4.5</v>
      </c>
      <c r="G290" s="300"/>
      <c r="H290" s="300">
        <v>130</v>
      </c>
      <c r="I290" s="300">
        <v>130</v>
      </c>
      <c r="J290" s="281">
        <f>6.1</f>
        <v>6.1</v>
      </c>
      <c r="K290" s="282">
        <f>Sheet1!$A$3*1.2</f>
        <v>1.2</v>
      </c>
      <c r="L290" s="281">
        <v>0.95</v>
      </c>
      <c r="M290" s="281">
        <v>2.2999999999999998</v>
      </c>
      <c r="N290" s="281"/>
      <c r="O290" s="281">
        <v>2.2000000000000002</v>
      </c>
      <c r="P290" s="281"/>
      <c r="Q290" s="284" t="s">
        <v>327</v>
      </c>
      <c r="R290" s="302">
        <v>2</v>
      </c>
      <c r="S290" s="70" t="s">
        <v>1137</v>
      </c>
      <c r="T290" s="242">
        <v>2</v>
      </c>
      <c r="U290" s="70" t="s">
        <v>1138</v>
      </c>
      <c r="V290" s="242">
        <v>2</v>
      </c>
      <c r="AA290" s="242" t="s">
        <v>1139</v>
      </c>
      <c r="AB290" s="242" t="s">
        <v>1143</v>
      </c>
    </row>
    <row r="291" spans="1:28" s="242" customFormat="1" ht="15" customHeight="1">
      <c r="A291" s="70" t="s">
        <v>1144</v>
      </c>
      <c r="B291" s="70" t="s">
        <v>1145</v>
      </c>
      <c r="C291" s="71">
        <f>130*130*4.5*7.85/1000000+158*100*3*7.85/1000000</f>
        <v>0.96908249999999996</v>
      </c>
      <c r="D291" s="71">
        <v>6.5799999999999997E-2</v>
      </c>
      <c r="E291" s="71"/>
      <c r="F291" s="299">
        <v>4.5</v>
      </c>
      <c r="G291" s="300"/>
      <c r="H291" s="300">
        <v>130</v>
      </c>
      <c r="I291" s="300">
        <v>130</v>
      </c>
      <c r="J291" s="281">
        <f>6.1</f>
        <v>6.1</v>
      </c>
      <c r="K291" s="282">
        <f>Sheet1!$A$3*1.2</f>
        <v>1.2</v>
      </c>
      <c r="L291" s="281">
        <v>0.95</v>
      </c>
      <c r="M291" s="281">
        <v>2.2999999999999998</v>
      </c>
      <c r="N291" s="281"/>
      <c r="O291" s="281">
        <v>2.2000000000000002</v>
      </c>
      <c r="P291" s="281"/>
      <c r="Q291" s="284" t="s">
        <v>327</v>
      </c>
      <c r="R291" s="302">
        <v>4</v>
      </c>
      <c r="S291" s="70" t="s">
        <v>1137</v>
      </c>
      <c r="T291" s="242">
        <v>2</v>
      </c>
      <c r="U291" s="70" t="s">
        <v>1138</v>
      </c>
      <c r="V291" s="242">
        <v>2</v>
      </c>
      <c r="AA291" s="242" t="s">
        <v>1146</v>
      </c>
      <c r="AB291" s="242" t="s">
        <v>1147</v>
      </c>
    </row>
    <row r="292" spans="1:28" s="242" customFormat="1">
      <c r="A292" s="70" t="s">
        <v>275</v>
      </c>
      <c r="B292" s="70" t="s">
        <v>1148</v>
      </c>
      <c r="C292" s="71">
        <f>130*130*4.5*7.85/1000000+158*128*3*7.85/1000000</f>
        <v>1.0732676999999999</v>
      </c>
      <c r="D292" s="71">
        <v>7.4759999999999993E-2</v>
      </c>
      <c r="E292" s="71"/>
      <c r="F292" s="299">
        <v>4.5</v>
      </c>
      <c r="G292" s="300"/>
      <c r="H292" s="300">
        <v>130</v>
      </c>
      <c r="I292" s="300">
        <v>130</v>
      </c>
      <c r="J292" s="281">
        <f>6.1</f>
        <v>6.1</v>
      </c>
      <c r="K292" s="282">
        <f>Sheet1!$A$3*1.2</f>
        <v>1.2</v>
      </c>
      <c r="L292" s="281">
        <v>0.95</v>
      </c>
      <c r="M292" s="281">
        <v>2.2999999999999998</v>
      </c>
      <c r="N292" s="281"/>
      <c r="O292" s="281">
        <v>2.2000000000000002</v>
      </c>
      <c r="P292" s="281"/>
      <c r="Q292" s="284" t="s">
        <v>327</v>
      </c>
      <c r="R292" s="302">
        <v>4</v>
      </c>
      <c r="S292" s="70" t="s">
        <v>1137</v>
      </c>
      <c r="T292" s="242">
        <v>2</v>
      </c>
      <c r="U292" s="70" t="s">
        <v>1138</v>
      </c>
      <c r="V292" s="242">
        <v>2</v>
      </c>
      <c r="AA292" s="242" t="s">
        <v>1146</v>
      </c>
      <c r="AB292" s="242" t="s">
        <v>1147</v>
      </c>
    </row>
    <row r="293" spans="1:28" s="242" customFormat="1">
      <c r="A293" s="70" t="s">
        <v>710</v>
      </c>
      <c r="B293" s="70" t="s">
        <v>1149</v>
      </c>
      <c r="C293" s="71">
        <v>2.12</v>
      </c>
      <c r="D293" s="71">
        <v>0.12</v>
      </c>
      <c r="E293" s="71"/>
      <c r="F293" s="299">
        <v>4.5</v>
      </c>
      <c r="G293" s="300"/>
      <c r="H293" s="300">
        <v>130</v>
      </c>
      <c r="I293" s="300">
        <v>130</v>
      </c>
      <c r="J293" s="281">
        <f>13.5/C293</f>
        <v>6.3679245283018897</v>
      </c>
      <c r="K293" s="282">
        <f>Sheet1!$A$3*1.8</f>
        <v>1.8</v>
      </c>
      <c r="L293" s="281">
        <v>0.95</v>
      </c>
      <c r="M293" s="281">
        <v>2.2999999999999998</v>
      </c>
      <c r="N293" s="281"/>
      <c r="O293" s="281">
        <v>2.2000000000000002</v>
      </c>
      <c r="P293" s="281"/>
      <c r="Q293" s="284" t="s">
        <v>327</v>
      </c>
      <c r="R293" s="302">
        <v>4</v>
      </c>
      <c r="S293" s="70"/>
      <c r="U293" s="70" t="s">
        <v>1150</v>
      </c>
      <c r="V293" s="242">
        <v>1</v>
      </c>
      <c r="AA293" s="242" t="s">
        <v>1151</v>
      </c>
      <c r="AB293" s="242" t="s">
        <v>1152</v>
      </c>
    </row>
    <row r="294" spans="1:28" s="242" customFormat="1" ht="14.45" customHeight="1">
      <c r="A294" s="70" t="s">
        <v>1153</v>
      </c>
      <c r="B294" s="70" t="s">
        <v>1154</v>
      </c>
      <c r="C294" s="71">
        <f>130*130*4.5*7.85/1000000+168*100*3*7.85/1000000</f>
        <v>0.99263250000000003</v>
      </c>
      <c r="D294" s="71">
        <v>7.732E-2</v>
      </c>
      <c r="E294" s="71"/>
      <c r="F294" s="299">
        <v>5</v>
      </c>
      <c r="G294" s="300"/>
      <c r="H294" s="300">
        <v>130</v>
      </c>
      <c r="I294" s="300">
        <v>200</v>
      </c>
      <c r="J294" s="281">
        <f t="shared" ref="J294:J299" si="111">6.1</f>
        <v>6.1</v>
      </c>
      <c r="K294" s="282">
        <f>Sheet1!$A$3*1.2</f>
        <v>1.2</v>
      </c>
      <c r="L294" s="281">
        <v>0.95</v>
      </c>
      <c r="M294" s="281">
        <v>2.2999999999999998</v>
      </c>
      <c r="N294" s="281"/>
      <c r="O294" s="281">
        <v>2.2000000000000002</v>
      </c>
      <c r="P294" s="281"/>
      <c r="Q294" s="284" t="s">
        <v>327</v>
      </c>
      <c r="R294" s="302">
        <v>4</v>
      </c>
      <c r="S294" s="70" t="s">
        <v>1137</v>
      </c>
      <c r="T294" s="242">
        <v>2</v>
      </c>
      <c r="U294" s="70" t="s">
        <v>1138</v>
      </c>
      <c r="V294" s="242">
        <v>2</v>
      </c>
      <c r="AA294" s="242" t="s">
        <v>1155</v>
      </c>
      <c r="AB294" s="242" t="s">
        <v>1156</v>
      </c>
    </row>
    <row r="295" spans="1:28" s="242" customFormat="1" ht="14.45" customHeight="1">
      <c r="A295" s="70" t="s">
        <v>1157</v>
      </c>
      <c r="B295" s="70" t="s">
        <v>1158</v>
      </c>
      <c r="C295" s="71">
        <f>130*130*4.5*7.85/1000000+168*128*3*7.85/1000000</f>
        <v>1.1034117000000001</v>
      </c>
      <c r="D295" s="71">
        <v>7.732E-2</v>
      </c>
      <c r="E295" s="71"/>
      <c r="F295" s="299">
        <v>5</v>
      </c>
      <c r="G295" s="300"/>
      <c r="H295" s="300">
        <v>130</v>
      </c>
      <c r="I295" s="300">
        <v>200</v>
      </c>
      <c r="J295" s="281">
        <f t="shared" si="111"/>
        <v>6.1</v>
      </c>
      <c r="K295" s="282">
        <f>Sheet1!$A$3*1.2</f>
        <v>1.2</v>
      </c>
      <c r="L295" s="281">
        <v>0.95</v>
      </c>
      <c r="M295" s="281">
        <v>2.2999999999999998</v>
      </c>
      <c r="N295" s="281"/>
      <c r="O295" s="281">
        <v>2.2000000000000002</v>
      </c>
      <c r="P295" s="281"/>
      <c r="Q295" s="284" t="s">
        <v>327</v>
      </c>
      <c r="R295" s="302">
        <v>4</v>
      </c>
      <c r="S295" s="70" t="s">
        <v>1137</v>
      </c>
      <c r="T295" s="242">
        <v>2</v>
      </c>
      <c r="U295" s="70" t="s">
        <v>1138</v>
      </c>
      <c r="V295" s="242">
        <v>2</v>
      </c>
      <c r="AA295" s="242" t="s">
        <v>1155</v>
      </c>
      <c r="AB295" s="242" t="s">
        <v>1156</v>
      </c>
    </row>
    <row r="296" spans="1:28" s="242" customFormat="1">
      <c r="A296" s="70" t="s">
        <v>1159</v>
      </c>
      <c r="B296" s="70" t="s">
        <v>1160</v>
      </c>
      <c r="C296" s="71">
        <v>1.2</v>
      </c>
      <c r="D296" s="71">
        <v>8.9139999999999997E-2</v>
      </c>
      <c r="E296" s="71"/>
      <c r="F296" s="299">
        <v>4.5</v>
      </c>
      <c r="G296" s="300"/>
      <c r="H296" s="300">
        <v>150</v>
      </c>
      <c r="I296" s="300">
        <v>135</v>
      </c>
      <c r="J296" s="281">
        <f t="shared" si="111"/>
        <v>6.1</v>
      </c>
      <c r="K296" s="282">
        <f>Sheet1!$A$3*1.2</f>
        <v>1.2</v>
      </c>
      <c r="L296" s="281">
        <v>0.95</v>
      </c>
      <c r="M296" s="281">
        <v>2.2999999999999998</v>
      </c>
      <c r="N296" s="281"/>
      <c r="O296" s="281">
        <v>2.2000000000000002</v>
      </c>
      <c r="P296" s="281"/>
      <c r="Q296" s="284" t="s">
        <v>327</v>
      </c>
      <c r="R296" s="302">
        <v>4</v>
      </c>
      <c r="S296" s="70" t="s">
        <v>1034</v>
      </c>
      <c r="T296" s="242">
        <v>2</v>
      </c>
      <c r="U296" s="70" t="s">
        <v>1161</v>
      </c>
      <c r="V296" s="242">
        <v>2</v>
      </c>
      <c r="AA296" s="242" t="s">
        <v>1162</v>
      </c>
      <c r="AB296" s="242" t="s">
        <v>1163</v>
      </c>
    </row>
    <row r="297" spans="1:28" s="242" customFormat="1">
      <c r="A297" s="70" t="s">
        <v>1164</v>
      </c>
      <c r="B297" s="70" t="s">
        <v>1165</v>
      </c>
      <c r="C297" s="71">
        <v>1.2880672500000001</v>
      </c>
      <c r="D297" s="71">
        <v>8.9139999999999997E-2</v>
      </c>
      <c r="E297" s="71"/>
      <c r="F297" s="299">
        <v>4.5</v>
      </c>
      <c r="G297" s="300"/>
      <c r="H297" s="300">
        <v>150</v>
      </c>
      <c r="I297" s="300">
        <v>135</v>
      </c>
      <c r="J297" s="281">
        <f t="shared" si="111"/>
        <v>6.1</v>
      </c>
      <c r="K297" s="282">
        <f>Sheet1!$A$3*1.2</f>
        <v>1.2</v>
      </c>
      <c r="L297" s="281">
        <v>0.95</v>
      </c>
      <c r="M297" s="281">
        <v>2.2999999999999998</v>
      </c>
      <c r="N297" s="281"/>
      <c r="O297" s="281">
        <v>2.2000000000000002</v>
      </c>
      <c r="P297" s="281"/>
      <c r="Q297" s="284" t="s">
        <v>327</v>
      </c>
      <c r="R297" s="302">
        <v>4</v>
      </c>
      <c r="S297" s="70" t="s">
        <v>1034</v>
      </c>
      <c r="T297" s="242">
        <v>2</v>
      </c>
      <c r="U297" s="70" t="s">
        <v>1161</v>
      </c>
      <c r="V297" s="242">
        <v>2</v>
      </c>
      <c r="AA297" s="242" t="s">
        <v>1162</v>
      </c>
      <c r="AB297" s="242" t="s">
        <v>1163</v>
      </c>
    </row>
    <row r="298" spans="1:28" s="242" customFormat="1">
      <c r="A298" s="70" t="s">
        <v>1166</v>
      </c>
      <c r="B298" s="70" t="s">
        <v>1167</v>
      </c>
      <c r="C298" s="71">
        <f>150*135*4.5*7.85/1000000+188*128*3*7.85/1000000</f>
        <v>1.2820384499999999</v>
      </c>
      <c r="D298" s="71">
        <v>9.9007999999999999E-2</v>
      </c>
      <c r="E298" s="71"/>
      <c r="F298" s="299">
        <v>4.5</v>
      </c>
      <c r="G298" s="300"/>
      <c r="H298" s="300">
        <v>155</v>
      </c>
      <c r="I298" s="300">
        <v>160</v>
      </c>
      <c r="J298" s="281">
        <f t="shared" si="111"/>
        <v>6.1</v>
      </c>
      <c r="K298" s="282">
        <f>Sheet1!$A$3*1.2</f>
        <v>1.2</v>
      </c>
      <c r="L298" s="281">
        <v>0.95</v>
      </c>
      <c r="M298" s="281">
        <v>2.2999999999999998</v>
      </c>
      <c r="N298" s="281"/>
      <c r="O298" s="281">
        <v>2.2000000000000002</v>
      </c>
      <c r="P298" s="281"/>
      <c r="Q298" s="284" t="s">
        <v>327</v>
      </c>
      <c r="R298" s="302">
        <v>4</v>
      </c>
      <c r="S298" s="70" t="s">
        <v>1034</v>
      </c>
      <c r="T298" s="242">
        <v>2</v>
      </c>
      <c r="U298" s="70" t="s">
        <v>1161</v>
      </c>
      <c r="V298" s="242">
        <v>2</v>
      </c>
      <c r="AA298" s="242" t="s">
        <v>1162</v>
      </c>
      <c r="AB298" s="242" t="s">
        <v>1163</v>
      </c>
    </row>
    <row r="299" spans="1:28" s="242" customFormat="1">
      <c r="A299" s="70" t="s">
        <v>1168</v>
      </c>
      <c r="B299" s="70" t="s">
        <v>1169</v>
      </c>
      <c r="C299" s="71">
        <v>2.1392191999999999</v>
      </c>
      <c r="D299" s="71">
        <v>9.9007999999999999E-2</v>
      </c>
      <c r="E299" s="71"/>
      <c r="F299" s="299">
        <v>8</v>
      </c>
      <c r="G299" s="300"/>
      <c r="H299" s="300">
        <v>155</v>
      </c>
      <c r="I299" s="300">
        <v>160</v>
      </c>
      <c r="J299" s="281">
        <f t="shared" si="111"/>
        <v>6.1</v>
      </c>
      <c r="K299" s="282">
        <f>Sheet1!$A$3*1.2</f>
        <v>1.2</v>
      </c>
      <c r="L299" s="281">
        <v>0.95</v>
      </c>
      <c r="M299" s="281">
        <v>2.2999999999999998</v>
      </c>
      <c r="N299" s="281"/>
      <c r="O299" s="281">
        <v>2.2000000000000002</v>
      </c>
      <c r="P299" s="281"/>
      <c r="Q299" s="284" t="s">
        <v>327</v>
      </c>
      <c r="R299" s="302">
        <v>4</v>
      </c>
      <c r="S299" s="70" t="s">
        <v>1034</v>
      </c>
      <c r="T299" s="242">
        <v>2</v>
      </c>
      <c r="U299" s="70" t="s">
        <v>1161</v>
      </c>
      <c r="V299" s="242">
        <v>2</v>
      </c>
      <c r="AA299" s="242" t="s">
        <v>1162</v>
      </c>
      <c r="AB299" s="242" t="s">
        <v>1163</v>
      </c>
    </row>
    <row r="300" spans="1:28" s="242" customFormat="1">
      <c r="A300" s="70" t="s">
        <v>1170</v>
      </c>
      <c r="B300" s="70" t="s">
        <v>1171</v>
      </c>
      <c r="C300" s="71">
        <v>2.5</v>
      </c>
      <c r="D300" s="71">
        <f>0.17*0.2*2+0.21*0.13*2</f>
        <v>0.1226</v>
      </c>
      <c r="E300" s="71"/>
      <c r="F300" s="299">
        <v>6.5</v>
      </c>
      <c r="G300" s="300"/>
      <c r="H300" s="300">
        <v>155</v>
      </c>
      <c r="I300" s="300">
        <v>160</v>
      </c>
      <c r="J300" s="311">
        <f>6.5</f>
        <v>6.5</v>
      </c>
      <c r="K300" s="282">
        <f>Sheet1!$A$3*1.2</f>
        <v>1.2</v>
      </c>
      <c r="L300" s="281">
        <v>0.95</v>
      </c>
      <c r="M300" s="281">
        <v>2.2999999999999998</v>
      </c>
      <c r="N300" s="281"/>
      <c r="O300" s="281">
        <v>2.2000000000000002</v>
      </c>
      <c r="P300" s="281"/>
      <c r="Q300" s="284" t="s">
        <v>327</v>
      </c>
      <c r="R300" s="302">
        <v>4</v>
      </c>
      <c r="S300" s="70" t="s">
        <v>1034</v>
      </c>
      <c r="T300" s="242">
        <v>2</v>
      </c>
      <c r="U300" s="70" t="s">
        <v>1161</v>
      </c>
      <c r="V300" s="242">
        <v>2</v>
      </c>
      <c r="AA300" s="242" t="s">
        <v>1162</v>
      </c>
      <c r="AB300" s="242" t="s">
        <v>1163</v>
      </c>
    </row>
    <row r="301" spans="1:28" s="242" customFormat="1">
      <c r="A301" s="70" t="s">
        <v>1172</v>
      </c>
      <c r="B301" s="70" t="s">
        <v>1173</v>
      </c>
      <c r="C301" s="71">
        <f>0.17*0.2*8*7.85+0.21*0.13*5*7.85</f>
        <v>3.206725</v>
      </c>
      <c r="D301" s="71">
        <f>0.17*0.2*2+0.21*0.13*2</f>
        <v>0.1226</v>
      </c>
      <c r="E301" s="71"/>
      <c r="F301" s="299">
        <v>6.5</v>
      </c>
      <c r="G301" s="300"/>
      <c r="H301" s="300">
        <v>155</v>
      </c>
      <c r="I301" s="300">
        <v>160</v>
      </c>
      <c r="J301" s="311">
        <f>6.5</f>
        <v>6.5</v>
      </c>
      <c r="K301" s="282">
        <f>Sheet1!$A$3*1.2</f>
        <v>1.2</v>
      </c>
      <c r="L301" s="281">
        <v>0.95</v>
      </c>
      <c r="M301" s="281">
        <v>2.2999999999999998</v>
      </c>
      <c r="N301" s="281"/>
      <c r="O301" s="281">
        <v>2.2000000000000002</v>
      </c>
      <c r="P301" s="281"/>
      <c r="Q301" s="284" t="s">
        <v>327</v>
      </c>
      <c r="R301" s="302">
        <v>4</v>
      </c>
      <c r="S301" s="70" t="s">
        <v>1034</v>
      </c>
      <c r="T301" s="242">
        <v>2</v>
      </c>
      <c r="U301" s="70" t="s">
        <v>1174</v>
      </c>
      <c r="V301" s="242">
        <v>2</v>
      </c>
      <c r="AA301" s="914" t="s">
        <v>2334</v>
      </c>
      <c r="AB301" s="914" t="s">
        <v>2335</v>
      </c>
    </row>
    <row r="302" spans="1:28" s="242" customFormat="1">
      <c r="A302" s="70" t="s">
        <v>298</v>
      </c>
      <c r="B302" s="70" t="s">
        <v>1175</v>
      </c>
      <c r="C302" s="71">
        <v>0.19</v>
      </c>
      <c r="D302" s="71">
        <v>2.0670000000000001E-2</v>
      </c>
      <c r="E302" s="71"/>
      <c r="F302" s="299">
        <v>2.5</v>
      </c>
      <c r="G302" s="300"/>
      <c r="H302" s="300">
        <v>65</v>
      </c>
      <c r="I302" s="300">
        <v>85</v>
      </c>
      <c r="J302" s="281">
        <f>3.6/C302</f>
        <v>18.947368421052602</v>
      </c>
      <c r="K302" s="282"/>
      <c r="L302" s="281">
        <v>0.95</v>
      </c>
      <c r="M302" s="281">
        <v>2.2999999999999998</v>
      </c>
      <c r="N302" s="281"/>
      <c r="O302" s="281">
        <v>2.2000000000000002</v>
      </c>
      <c r="P302" s="281"/>
      <c r="Q302" s="284" t="s">
        <v>912</v>
      </c>
      <c r="R302" s="302">
        <v>1</v>
      </c>
      <c r="S302" s="70" t="s">
        <v>1176</v>
      </c>
      <c r="T302" s="242">
        <v>2</v>
      </c>
      <c r="U302" s="70" t="s">
        <v>1177</v>
      </c>
      <c r="V302" s="242">
        <v>2</v>
      </c>
      <c r="AA302" s="242" t="s">
        <v>1178</v>
      </c>
      <c r="AB302" s="242" t="s">
        <v>1179</v>
      </c>
    </row>
    <row r="303" spans="1:28" s="242" customFormat="1">
      <c r="A303" s="70" t="s">
        <v>1180</v>
      </c>
      <c r="B303" s="70" t="s">
        <v>1181</v>
      </c>
      <c r="C303" s="71">
        <v>0.17</v>
      </c>
      <c r="D303" s="71">
        <v>1.72E-2</v>
      </c>
      <c r="E303" s="71"/>
      <c r="F303" s="299">
        <v>2.5</v>
      </c>
      <c r="G303" s="300"/>
      <c r="H303" s="300">
        <v>100</v>
      </c>
      <c r="I303" s="300">
        <v>65</v>
      </c>
      <c r="J303" s="281">
        <f>3.6/C303</f>
        <v>21.176470588235301</v>
      </c>
      <c r="K303" s="282"/>
      <c r="L303" s="281">
        <v>0.95</v>
      </c>
      <c r="M303" s="281">
        <v>2.2999999999999998</v>
      </c>
      <c r="N303" s="281"/>
      <c r="O303" s="281">
        <v>2.2000000000000002</v>
      </c>
      <c r="P303" s="281"/>
      <c r="Q303" s="284" t="s">
        <v>1040</v>
      </c>
      <c r="R303" s="302">
        <v>2</v>
      </c>
      <c r="S303" s="70" t="s">
        <v>1176</v>
      </c>
      <c r="T303" s="242">
        <v>1</v>
      </c>
      <c r="U303" s="70" t="s">
        <v>1182</v>
      </c>
      <c r="V303" s="242">
        <v>2</v>
      </c>
      <c r="AA303" s="242" t="s">
        <v>1183</v>
      </c>
      <c r="AB303" s="242" t="s">
        <v>1184</v>
      </c>
    </row>
    <row r="304" spans="1:28" s="242" customFormat="1">
      <c r="A304" s="70" t="s">
        <v>1185</v>
      </c>
      <c r="B304" s="70" t="s">
        <v>1186</v>
      </c>
      <c r="C304" s="71">
        <v>0.18</v>
      </c>
      <c r="D304" s="71">
        <v>2.0150000000000001E-2</v>
      </c>
      <c r="E304" s="71"/>
      <c r="F304" s="299">
        <v>2.5</v>
      </c>
      <c r="G304" s="300"/>
      <c r="H304" s="300">
        <v>65</v>
      </c>
      <c r="I304" s="300">
        <v>85</v>
      </c>
      <c r="J304" s="281">
        <f>3.6/C304</f>
        <v>20</v>
      </c>
      <c r="K304" s="282"/>
      <c r="L304" s="281">
        <v>0.95</v>
      </c>
      <c r="M304" s="281">
        <v>2.2999999999999998</v>
      </c>
      <c r="N304" s="281"/>
      <c r="O304" s="281">
        <v>2.2000000000000002</v>
      </c>
      <c r="P304" s="281"/>
      <c r="Q304" s="284" t="s">
        <v>1187</v>
      </c>
      <c r="R304" s="302">
        <v>1</v>
      </c>
      <c r="S304" s="70" t="s">
        <v>1176</v>
      </c>
      <c r="T304" s="242">
        <v>2</v>
      </c>
      <c r="U304" s="70" t="s">
        <v>1188</v>
      </c>
      <c r="V304" s="242">
        <v>2</v>
      </c>
      <c r="AA304" s="242" t="s">
        <v>1189</v>
      </c>
      <c r="AB304" s="242" t="s">
        <v>1190</v>
      </c>
    </row>
    <row r="305" spans="1:28" s="242" customFormat="1" ht="16.5">
      <c r="A305" s="70" t="s">
        <v>1191</v>
      </c>
      <c r="B305" s="70"/>
      <c r="C305" s="313">
        <f>(0.072*0.068*2.5+0.075*0.085*2.5)*7.85</f>
        <v>0.221193375</v>
      </c>
      <c r="D305" s="313">
        <f>0.0225*2</f>
        <v>4.4999999999999998E-2</v>
      </c>
      <c r="E305" s="71"/>
      <c r="F305" s="299">
        <v>3</v>
      </c>
      <c r="G305" s="300"/>
      <c r="H305" s="300">
        <v>65</v>
      </c>
      <c r="I305" s="300">
        <v>85</v>
      </c>
      <c r="J305" s="281">
        <f>3.6/C305</f>
        <v>16.275351827332099</v>
      </c>
      <c r="K305" s="282"/>
      <c r="L305" s="281">
        <v>0.95</v>
      </c>
      <c r="M305" s="281">
        <v>2.2999999999999998</v>
      </c>
      <c r="N305" s="281"/>
      <c r="O305" s="281">
        <v>2.2000000000000002</v>
      </c>
      <c r="P305" s="281"/>
      <c r="Q305" s="284" t="s">
        <v>1192</v>
      </c>
      <c r="R305" s="302">
        <v>1</v>
      </c>
      <c r="S305" s="70" t="s">
        <v>1193</v>
      </c>
      <c r="T305" s="242">
        <v>2</v>
      </c>
      <c r="U305" s="70" t="s">
        <v>1194</v>
      </c>
      <c r="V305" s="242">
        <v>2</v>
      </c>
      <c r="AA305" s="242" t="s">
        <v>1195</v>
      </c>
      <c r="AB305" s="242" t="s">
        <v>1196</v>
      </c>
    </row>
    <row r="306" spans="1:28" s="242" customFormat="1" ht="16.5">
      <c r="A306" s="70"/>
      <c r="B306" s="70"/>
      <c r="C306" s="314"/>
      <c r="D306" s="314"/>
      <c r="E306" s="71"/>
      <c r="F306" s="299"/>
      <c r="G306" s="300"/>
      <c r="H306" s="300"/>
      <c r="I306" s="300"/>
      <c r="J306" s="281"/>
      <c r="K306" s="282"/>
      <c r="L306" s="281"/>
      <c r="M306" s="281"/>
      <c r="N306" s="281"/>
      <c r="O306" s="281"/>
      <c r="P306" s="281"/>
      <c r="Q306" s="284"/>
      <c r="R306" s="302"/>
      <c r="S306" s="70"/>
    </row>
    <row r="307" spans="1:28" s="242" customFormat="1" ht="16.5">
      <c r="A307" s="70"/>
      <c r="B307" s="70"/>
      <c r="C307" s="314"/>
      <c r="D307" s="314"/>
      <c r="E307" s="71"/>
      <c r="F307" s="299"/>
      <c r="G307" s="300"/>
      <c r="H307" s="300"/>
      <c r="I307" s="300"/>
      <c r="J307" s="281"/>
      <c r="K307" s="282"/>
      <c r="L307" s="281"/>
      <c r="M307" s="281"/>
      <c r="N307" s="281"/>
      <c r="O307" s="281"/>
      <c r="P307" s="281"/>
      <c r="Q307" s="284"/>
      <c r="R307" s="302"/>
      <c r="S307" s="70"/>
    </row>
    <row r="308" spans="1:28" s="242" customFormat="1" ht="16.5">
      <c r="A308" s="70"/>
      <c r="B308" s="70"/>
      <c r="C308" s="314"/>
      <c r="D308" s="314"/>
      <c r="E308" s="71"/>
      <c r="F308" s="299"/>
      <c r="G308" s="300"/>
      <c r="H308" s="300"/>
      <c r="I308" s="300"/>
      <c r="J308" s="281"/>
      <c r="K308" s="282"/>
      <c r="L308" s="281"/>
      <c r="M308" s="281"/>
      <c r="N308" s="281"/>
      <c r="O308" s="281"/>
      <c r="P308" s="281"/>
      <c r="Q308" s="284"/>
      <c r="R308" s="302"/>
      <c r="S308" s="70"/>
    </row>
    <row r="309" spans="1:28" s="242" customFormat="1" ht="16.5">
      <c r="A309" s="70"/>
      <c r="B309" s="70"/>
      <c r="C309" s="314"/>
      <c r="D309" s="314"/>
      <c r="E309" s="71"/>
      <c r="F309" s="299"/>
      <c r="G309" s="300"/>
      <c r="H309" s="300"/>
      <c r="I309" s="300"/>
      <c r="J309" s="281"/>
      <c r="K309" s="282"/>
      <c r="L309" s="281"/>
      <c r="M309" s="281"/>
      <c r="N309" s="281"/>
      <c r="O309" s="281"/>
      <c r="P309" s="281"/>
      <c r="Q309" s="284"/>
      <c r="R309" s="302"/>
      <c r="S309" s="70"/>
    </row>
    <row r="310" spans="1:28" s="242" customFormat="1" ht="16.5">
      <c r="A310" s="70"/>
      <c r="B310" s="70"/>
      <c r="C310" s="314"/>
      <c r="D310" s="314"/>
      <c r="E310" s="71"/>
      <c r="F310" s="299"/>
      <c r="G310" s="300"/>
      <c r="H310" s="300"/>
      <c r="I310" s="300"/>
      <c r="J310" s="281"/>
      <c r="K310" s="282"/>
      <c r="L310" s="281"/>
      <c r="M310" s="281"/>
      <c r="N310" s="281"/>
      <c r="O310" s="281"/>
      <c r="P310" s="281"/>
      <c r="Q310" s="284"/>
      <c r="R310" s="302"/>
      <c r="S310" s="70"/>
    </row>
    <row r="311" spans="1:28" s="242" customFormat="1" ht="16.5">
      <c r="A311" s="70"/>
      <c r="B311" s="70"/>
      <c r="C311" s="314"/>
      <c r="D311" s="314"/>
      <c r="E311" s="71"/>
      <c r="F311" s="299"/>
      <c r="G311" s="300"/>
      <c r="H311" s="300"/>
      <c r="I311" s="300"/>
      <c r="J311" s="281"/>
      <c r="K311" s="282"/>
      <c r="L311" s="281"/>
      <c r="M311" s="281"/>
      <c r="N311" s="281"/>
      <c r="O311" s="281"/>
      <c r="P311" s="281"/>
      <c r="Q311" s="284"/>
      <c r="R311" s="302"/>
      <c r="S311" s="70"/>
    </row>
    <row r="312" spans="1:28" s="242" customFormat="1" ht="15.75">
      <c r="A312" s="312" t="s">
        <v>291</v>
      </c>
      <c r="B312" s="315" t="s">
        <v>1197</v>
      </c>
      <c r="C312" s="71"/>
      <c r="D312" s="71"/>
      <c r="E312" s="71"/>
      <c r="F312" s="299"/>
      <c r="G312" s="300"/>
      <c r="H312" s="300"/>
      <c r="I312" s="300"/>
      <c r="J312" s="281"/>
      <c r="K312" s="282"/>
      <c r="L312" s="281"/>
      <c r="M312" s="281"/>
      <c r="N312" s="281"/>
      <c r="O312" s="281"/>
      <c r="P312" s="281"/>
      <c r="Q312" s="284"/>
      <c r="R312" s="284"/>
      <c r="S312" s="70"/>
    </row>
    <row r="313" spans="1:28" s="242" customFormat="1">
      <c r="A313" s="70" t="s">
        <v>1198</v>
      </c>
      <c r="B313" s="70" t="s">
        <v>1199</v>
      </c>
      <c r="C313" s="71">
        <v>0.1099</v>
      </c>
      <c r="D313" s="71">
        <v>2.8000000000000001E-2</v>
      </c>
      <c r="E313" s="296">
        <f>8*C313</f>
        <v>0.87919999999999998</v>
      </c>
      <c r="F313" s="299">
        <v>1</v>
      </c>
      <c r="G313" s="300"/>
      <c r="H313" s="300">
        <v>100</v>
      </c>
      <c r="I313" s="300">
        <v>140</v>
      </c>
      <c r="J313" s="281"/>
      <c r="K313" s="282"/>
      <c r="L313" s="281"/>
      <c r="M313" s="281"/>
      <c r="N313" s="281"/>
      <c r="O313" s="281">
        <v>2.2000000000000002</v>
      </c>
      <c r="P313" s="281"/>
      <c r="Q313" s="284"/>
      <c r="R313" s="284"/>
      <c r="S313" s="70"/>
    </row>
    <row r="314" spans="1:28" s="242" customFormat="1">
      <c r="A314" s="70" t="s">
        <v>1200</v>
      </c>
      <c r="B314" s="70" t="s">
        <v>1201</v>
      </c>
      <c r="C314" s="71">
        <v>0.13266500000000001</v>
      </c>
      <c r="D314" s="71">
        <v>3.3799999999999997E-2</v>
      </c>
      <c r="E314" s="296">
        <f>8*C314</f>
        <v>1.06132</v>
      </c>
      <c r="F314" s="299">
        <v>1</v>
      </c>
      <c r="G314" s="300"/>
      <c r="H314" s="300">
        <v>130</v>
      </c>
      <c r="I314" s="300">
        <v>130</v>
      </c>
      <c r="J314" s="281"/>
      <c r="K314" s="282"/>
      <c r="L314" s="281"/>
      <c r="M314" s="281"/>
      <c r="N314" s="281"/>
      <c r="O314" s="281">
        <v>2.2000000000000002</v>
      </c>
      <c r="P314" s="281"/>
      <c r="Q314" s="284"/>
      <c r="R314" s="284"/>
      <c r="S314" s="70"/>
    </row>
    <row r="315" spans="1:28" s="242" customFormat="1">
      <c r="A315" s="70" t="s">
        <v>1200</v>
      </c>
      <c r="B315" s="70" t="s">
        <v>1201</v>
      </c>
      <c r="C315" s="71">
        <v>0.13266500000000001</v>
      </c>
      <c r="D315" s="71">
        <v>3.3799999999999997E-2</v>
      </c>
      <c r="E315" s="296">
        <f>8*C315</f>
        <v>1.06132</v>
      </c>
      <c r="F315" s="299">
        <v>1</v>
      </c>
      <c r="G315" s="300"/>
      <c r="H315" s="300">
        <v>130</v>
      </c>
      <c r="I315" s="300">
        <v>130</v>
      </c>
      <c r="J315" s="281"/>
      <c r="K315" s="282"/>
      <c r="L315" s="281"/>
      <c r="M315" s="281"/>
      <c r="N315" s="281"/>
      <c r="O315" s="281">
        <v>2.2000000000000002</v>
      </c>
      <c r="P315" s="281"/>
      <c r="Q315" s="284"/>
      <c r="R315" s="284"/>
      <c r="S315" s="70"/>
    </row>
    <row r="316" spans="1:28" s="242" customFormat="1">
      <c r="A316" s="70" t="s">
        <v>1202</v>
      </c>
      <c r="B316" s="70" t="s">
        <v>1203</v>
      </c>
      <c r="C316" s="71">
        <v>0.15896250000000001</v>
      </c>
      <c r="D316" s="71">
        <v>4.0500000000000001E-2</v>
      </c>
      <c r="E316" s="296">
        <f>8*C316</f>
        <v>1.2717000000000001</v>
      </c>
      <c r="F316" s="299">
        <v>1</v>
      </c>
      <c r="G316" s="300"/>
      <c r="H316" s="300">
        <v>150</v>
      </c>
      <c r="I316" s="300">
        <v>135</v>
      </c>
      <c r="J316" s="281"/>
      <c r="K316" s="282"/>
      <c r="L316" s="281"/>
      <c r="M316" s="281"/>
      <c r="N316" s="281"/>
      <c r="O316" s="281">
        <v>2.2000000000000002</v>
      </c>
      <c r="P316" s="281"/>
      <c r="Q316" s="284"/>
      <c r="R316" s="284"/>
      <c r="S316" s="70"/>
    </row>
    <row r="317" spans="1:28" s="242" customFormat="1">
      <c r="A317" s="70" t="s">
        <v>1204</v>
      </c>
      <c r="B317" s="70" t="s">
        <v>1205</v>
      </c>
      <c r="C317" s="71">
        <v>0.18251249999999999</v>
      </c>
      <c r="D317" s="71">
        <v>4.65E-2</v>
      </c>
      <c r="E317" s="296">
        <f>8*C317</f>
        <v>1.4601</v>
      </c>
      <c r="F317" s="299">
        <v>1</v>
      </c>
      <c r="G317" s="300"/>
      <c r="H317" s="300">
        <v>150</v>
      </c>
      <c r="I317" s="300">
        <v>155</v>
      </c>
      <c r="J317" s="281"/>
      <c r="K317" s="282"/>
      <c r="L317" s="281"/>
      <c r="M317" s="281"/>
      <c r="N317" s="281"/>
      <c r="O317" s="281">
        <v>2.2000000000000002</v>
      </c>
      <c r="P317" s="281"/>
      <c r="Q317" s="284"/>
      <c r="R317" s="284"/>
      <c r="S317" s="70"/>
    </row>
    <row r="318" spans="1:28" s="242" customFormat="1">
      <c r="A318" s="70" t="s">
        <v>1174</v>
      </c>
      <c r="B318" s="70" t="s">
        <v>1173</v>
      </c>
      <c r="C318" s="71">
        <f>0.17*0.2*1.5*7.85</f>
        <v>0.40034999999999998</v>
      </c>
      <c r="D318" s="71">
        <f>0.17*0.2*2</f>
        <v>6.8000000000000005E-2</v>
      </c>
      <c r="E318" s="296">
        <f>9*C318</f>
        <v>3.6031499999999999</v>
      </c>
      <c r="F318" s="299">
        <v>1.5</v>
      </c>
      <c r="G318" s="300"/>
      <c r="H318" s="300">
        <v>170</v>
      </c>
      <c r="I318" s="300">
        <v>200</v>
      </c>
      <c r="J318" s="281"/>
      <c r="K318" s="282"/>
      <c r="L318" s="281"/>
      <c r="M318" s="281"/>
      <c r="N318" s="281"/>
      <c r="O318" s="281">
        <v>2.2000000000000002</v>
      </c>
      <c r="P318" s="281"/>
      <c r="Q318" s="284"/>
      <c r="R318" s="284"/>
      <c r="S318" s="70"/>
    </row>
    <row r="319" spans="1:28" s="242" customFormat="1">
      <c r="A319" s="70" t="s">
        <v>1132</v>
      </c>
      <c r="B319" s="70" t="s">
        <v>1206</v>
      </c>
      <c r="C319" s="71">
        <v>0.16485</v>
      </c>
      <c r="D319" s="71">
        <v>2.8000000000000001E-2</v>
      </c>
      <c r="E319" s="296">
        <f>9*C319</f>
        <v>1.4836499999999999</v>
      </c>
      <c r="F319" s="299">
        <v>1.5</v>
      </c>
      <c r="G319" s="300"/>
      <c r="H319" s="300">
        <v>100</v>
      </c>
      <c r="I319" s="300">
        <v>140</v>
      </c>
      <c r="J319" s="281"/>
      <c r="K319" s="282"/>
      <c r="L319" s="281"/>
      <c r="M319" s="281"/>
      <c r="N319" s="281"/>
      <c r="O319" s="281">
        <v>2.2000000000000002</v>
      </c>
      <c r="P319" s="281"/>
      <c r="Q319" s="284"/>
      <c r="R319" s="284"/>
      <c r="S319" s="70"/>
    </row>
    <row r="320" spans="1:28" s="242" customFormat="1">
      <c r="A320" s="70" t="s">
        <v>1150</v>
      </c>
      <c r="B320" s="70" t="s">
        <v>1207</v>
      </c>
      <c r="C320" s="71">
        <f>0.13*0.2*1.5*7.85</f>
        <v>0.30614999999999998</v>
      </c>
      <c r="D320" s="71">
        <f>0.13*0.2*2</f>
        <v>5.1999999999999998E-2</v>
      </c>
      <c r="E320" s="296">
        <f>9*C320</f>
        <v>2.75535</v>
      </c>
      <c r="F320" s="299">
        <v>1.5</v>
      </c>
      <c r="G320" s="300"/>
      <c r="H320" s="300">
        <v>130</v>
      </c>
      <c r="I320" s="300">
        <v>200</v>
      </c>
      <c r="J320" s="281"/>
      <c r="K320" s="282"/>
      <c r="L320" s="281"/>
      <c r="M320" s="281"/>
      <c r="N320" s="281"/>
      <c r="O320" s="281">
        <v>2.2000000000000002</v>
      </c>
      <c r="P320" s="281"/>
      <c r="Q320" s="284"/>
      <c r="R320" s="284"/>
      <c r="S320" s="70"/>
    </row>
    <row r="321" spans="1:24" s="242" customFormat="1">
      <c r="A321" s="70" t="s">
        <v>1138</v>
      </c>
      <c r="B321" s="70" t="s">
        <v>1208</v>
      </c>
      <c r="C321" s="71">
        <v>0.19899749999999999</v>
      </c>
      <c r="D321" s="71">
        <v>3.3799999999999997E-2</v>
      </c>
      <c r="E321" s="296">
        <f>9*C321</f>
        <v>1.7909774999999999</v>
      </c>
      <c r="F321" s="299">
        <v>1.5</v>
      </c>
      <c r="G321" s="300"/>
      <c r="H321" s="300">
        <v>130</v>
      </c>
      <c r="I321" s="300">
        <v>130</v>
      </c>
      <c r="J321" s="281"/>
      <c r="K321" s="282"/>
      <c r="L321" s="281"/>
      <c r="M321" s="281"/>
      <c r="N321" s="281"/>
      <c r="O321" s="281">
        <v>2.2000000000000002</v>
      </c>
      <c r="P321" s="281"/>
      <c r="Q321" s="284"/>
      <c r="R321" s="284"/>
      <c r="S321" s="70"/>
    </row>
    <row r="322" spans="1:24" s="242" customFormat="1">
      <c r="A322" s="70" t="s">
        <v>1161</v>
      </c>
      <c r="B322" s="70" t="s">
        <v>1209</v>
      </c>
      <c r="C322" s="71">
        <v>0.23844375000000001</v>
      </c>
      <c r="D322" s="71">
        <v>4.0500000000000001E-2</v>
      </c>
      <c r="E322" s="296">
        <f>7.8*C322</f>
        <v>1.85986125</v>
      </c>
      <c r="F322" s="299">
        <v>1.5</v>
      </c>
      <c r="G322" s="300"/>
      <c r="H322" s="300">
        <v>150</v>
      </c>
      <c r="I322" s="300">
        <v>135</v>
      </c>
      <c r="J322" s="281"/>
      <c r="K322" s="282"/>
      <c r="L322" s="281"/>
      <c r="M322" s="281"/>
      <c r="N322" s="281"/>
      <c r="O322" s="281">
        <v>2.2000000000000002</v>
      </c>
      <c r="P322" s="281"/>
      <c r="Q322" s="284"/>
      <c r="R322" s="284"/>
      <c r="S322" s="70"/>
    </row>
    <row r="323" spans="1:24" s="242" customFormat="1">
      <c r="A323" s="70" t="s">
        <v>1210</v>
      </c>
      <c r="B323" s="70" t="s">
        <v>1211</v>
      </c>
      <c r="C323" s="71">
        <v>0.29202</v>
      </c>
      <c r="D323" s="71">
        <v>4.9599999999999998E-2</v>
      </c>
      <c r="E323" s="296">
        <f>9*C323</f>
        <v>2.62818</v>
      </c>
      <c r="F323" s="299">
        <v>1.5</v>
      </c>
      <c r="G323" s="300"/>
      <c r="H323" s="300">
        <v>155</v>
      </c>
      <c r="I323" s="300">
        <v>160</v>
      </c>
      <c r="J323" s="281"/>
      <c r="K323" s="282"/>
      <c r="L323" s="281"/>
      <c r="M323" s="281"/>
      <c r="N323" s="281"/>
      <c r="O323" s="281">
        <v>2.2000000000000002</v>
      </c>
      <c r="P323" s="281"/>
      <c r="Q323" s="284"/>
      <c r="R323" s="284"/>
      <c r="S323" s="70"/>
    </row>
    <row r="324" spans="1:24" s="242" customFormat="1">
      <c r="A324" s="70" t="s">
        <v>1177</v>
      </c>
      <c r="B324" s="70" t="s">
        <v>1212</v>
      </c>
      <c r="C324" s="76">
        <v>6.5056875E-2</v>
      </c>
      <c r="D324" s="71">
        <v>1.1050000000000001E-2</v>
      </c>
      <c r="E324" s="296">
        <f>11*C324</f>
        <v>0.71562562500000004</v>
      </c>
      <c r="F324" s="299">
        <v>1.5</v>
      </c>
      <c r="G324" s="300"/>
      <c r="H324" s="300">
        <v>85</v>
      </c>
      <c r="I324" s="300">
        <v>65</v>
      </c>
      <c r="J324" s="281"/>
      <c r="K324" s="282"/>
      <c r="L324" s="281"/>
      <c r="M324" s="281"/>
      <c r="N324" s="281"/>
      <c r="O324" s="281">
        <v>2.2000000000000002</v>
      </c>
      <c r="P324" s="281"/>
      <c r="Q324" s="284"/>
      <c r="R324" s="284"/>
      <c r="S324" s="70"/>
    </row>
    <row r="325" spans="1:24" s="242" customFormat="1">
      <c r="A325" s="70" t="s">
        <v>1182</v>
      </c>
      <c r="B325" s="70" t="s">
        <v>1213</v>
      </c>
      <c r="C325" s="76">
        <v>6.5056875E-2</v>
      </c>
      <c r="D325" s="71">
        <v>1.2999999999999999E-2</v>
      </c>
      <c r="E325" s="296">
        <f>11*C325</f>
        <v>0.71562562500000004</v>
      </c>
      <c r="F325" s="299">
        <v>1.5</v>
      </c>
      <c r="G325" s="300"/>
      <c r="H325" s="300">
        <v>100</v>
      </c>
      <c r="I325" s="300">
        <v>65</v>
      </c>
      <c r="J325" s="281"/>
      <c r="K325" s="282"/>
      <c r="L325" s="281"/>
      <c r="M325" s="281"/>
      <c r="N325" s="281"/>
      <c r="O325" s="281">
        <v>2.2000000000000002</v>
      </c>
      <c r="P325" s="281"/>
      <c r="Q325" s="284"/>
      <c r="R325" s="284"/>
      <c r="S325" s="70"/>
    </row>
    <row r="326" spans="1:24" s="242" customFormat="1">
      <c r="A326" s="77" t="s">
        <v>1188</v>
      </c>
      <c r="B326" s="77" t="s">
        <v>1214</v>
      </c>
      <c r="C326" s="76">
        <v>6.5056875E-2</v>
      </c>
      <c r="D326" s="76">
        <v>1.1050000000000001E-2</v>
      </c>
      <c r="E326" s="316">
        <f>11*C326</f>
        <v>0.71562562500000004</v>
      </c>
      <c r="F326" s="317">
        <v>1.5</v>
      </c>
      <c r="G326" s="318"/>
      <c r="H326" s="318">
        <v>85</v>
      </c>
      <c r="I326" s="318">
        <v>65</v>
      </c>
      <c r="J326" s="319"/>
      <c r="K326" s="320"/>
      <c r="L326" s="319"/>
      <c r="M326" s="319"/>
      <c r="N326" s="319"/>
      <c r="O326" s="281">
        <v>2.2000000000000002</v>
      </c>
      <c r="P326" s="319"/>
      <c r="Q326" s="321"/>
      <c r="R326" s="321"/>
      <c r="S326" s="77"/>
    </row>
    <row r="327" spans="1:24" s="242" customFormat="1">
      <c r="C327" s="322"/>
      <c r="D327" s="322"/>
      <c r="E327" s="265"/>
      <c r="F327" s="323"/>
      <c r="G327" s="324"/>
      <c r="H327" s="324"/>
      <c r="I327" s="324"/>
      <c r="J327" s="325"/>
      <c r="K327" s="326"/>
      <c r="L327" s="325"/>
      <c r="M327" s="325"/>
      <c r="N327" s="325"/>
      <c r="O327" s="325"/>
      <c r="P327" s="325"/>
      <c r="Q327" s="284"/>
      <c r="R327" s="284"/>
      <c r="S327" s="70"/>
    </row>
    <row r="328" spans="1:24" s="242" customFormat="1">
      <c r="C328" s="322"/>
      <c r="D328" s="322"/>
      <c r="E328" s="265"/>
      <c r="F328" s="323"/>
      <c r="G328" s="324"/>
      <c r="H328" s="324"/>
      <c r="I328" s="324"/>
      <c r="J328" s="325"/>
      <c r="K328" s="326"/>
      <c r="L328" s="325"/>
      <c r="M328" s="325"/>
      <c r="N328" s="325"/>
      <c r="O328" s="325"/>
      <c r="P328" s="325"/>
      <c r="Q328" s="327"/>
      <c r="R328" s="327"/>
    </row>
    <row r="329" spans="1:24" s="242" customFormat="1">
      <c r="C329" s="322"/>
      <c r="D329" s="322"/>
      <c r="E329" s="265"/>
      <c r="F329" s="323"/>
      <c r="G329" s="324"/>
      <c r="H329" s="324"/>
      <c r="I329" s="324"/>
      <c r="J329" s="325"/>
      <c r="K329" s="326"/>
      <c r="L329" s="325"/>
      <c r="M329" s="325"/>
      <c r="N329" s="325"/>
      <c r="O329" s="325"/>
      <c r="P329" s="325"/>
      <c r="Q329" s="327"/>
      <c r="R329" s="327"/>
    </row>
    <row r="330" spans="1:24" s="242" customFormat="1">
      <c r="C330" s="322"/>
      <c r="D330" s="322"/>
      <c r="E330" s="265"/>
      <c r="F330" s="323"/>
      <c r="G330" s="324"/>
      <c r="H330" s="324"/>
      <c r="I330" s="324"/>
      <c r="J330" s="325"/>
      <c r="K330" s="326"/>
      <c r="L330" s="325"/>
      <c r="M330" s="325"/>
      <c r="N330" s="325"/>
      <c r="O330" s="325"/>
      <c r="P330" s="325"/>
      <c r="Q330" s="327"/>
      <c r="R330" s="327"/>
    </row>
    <row r="331" spans="1:24" s="242" customFormat="1">
      <c r="C331" s="322"/>
      <c r="D331" s="322"/>
      <c r="E331" s="265"/>
      <c r="F331" s="323"/>
      <c r="G331" s="324"/>
      <c r="H331" s="324"/>
      <c r="I331" s="324"/>
      <c r="J331" s="325"/>
      <c r="K331" s="326"/>
      <c r="L331" s="325"/>
      <c r="M331" s="325"/>
      <c r="N331" s="325"/>
      <c r="O331" s="325"/>
      <c r="P331" s="325"/>
      <c r="Q331" s="327"/>
      <c r="R331" s="327"/>
    </row>
    <row r="332" spans="1:24" s="242" customFormat="1">
      <c r="A332" s="242" t="s">
        <v>397</v>
      </c>
      <c r="C332" s="322"/>
      <c r="D332" s="322"/>
      <c r="E332" s="265"/>
      <c r="F332" s="323"/>
      <c r="G332" s="324"/>
      <c r="H332" s="324"/>
      <c r="I332" s="324"/>
      <c r="J332" s="325"/>
      <c r="K332" s="326"/>
      <c r="L332" s="325"/>
      <c r="M332" s="325"/>
      <c r="N332" s="325"/>
      <c r="O332" s="325"/>
      <c r="P332" s="325"/>
      <c r="Q332" s="327"/>
      <c r="R332" s="327"/>
    </row>
    <row r="333" spans="1:24" s="242" customFormat="1">
      <c r="A333" s="72" t="s">
        <v>1215</v>
      </c>
      <c r="B333" s="72"/>
      <c r="C333" s="328"/>
      <c r="D333" s="328"/>
      <c r="E333" s="328"/>
      <c r="F333" s="329"/>
      <c r="G333" s="330"/>
      <c r="H333" s="330"/>
      <c r="I333" s="330"/>
      <c r="J333" s="331">
        <v>5.8</v>
      </c>
      <c r="K333" s="332"/>
      <c r="L333" s="331">
        <v>9</v>
      </c>
      <c r="M333" s="331">
        <v>10</v>
      </c>
      <c r="N333" s="331"/>
      <c r="O333" s="331">
        <f>VLOOKUP(X333,材料信息更新!$B:$C,2,0)</f>
        <v>6.31</v>
      </c>
      <c r="P333" s="331"/>
      <c r="Q333" s="333"/>
      <c r="R333" s="333"/>
      <c r="S333" s="72"/>
      <c r="X333" s="215" t="s">
        <v>1216</v>
      </c>
    </row>
    <row r="334" spans="1:24" s="242" customFormat="1">
      <c r="A334" s="72" t="s">
        <v>1217</v>
      </c>
      <c r="B334" s="72"/>
      <c r="C334" s="328"/>
      <c r="D334" s="328"/>
      <c r="E334" s="328"/>
      <c r="F334" s="329"/>
      <c r="G334" s="330"/>
      <c r="H334" s="330"/>
      <c r="I334" s="330"/>
      <c r="J334" s="331">
        <v>5.8</v>
      </c>
      <c r="K334" s="332"/>
      <c r="L334" s="331">
        <v>9</v>
      </c>
      <c r="M334" s="331">
        <v>10</v>
      </c>
      <c r="N334" s="331"/>
      <c r="O334" s="331">
        <f>VLOOKUP(X334,材料信息更新!$B:$C,2,0)</f>
        <v>6.27</v>
      </c>
      <c r="P334" s="331"/>
      <c r="Q334" s="333"/>
      <c r="R334" s="333"/>
      <c r="S334" s="72"/>
      <c r="X334" s="215" t="s">
        <v>1218</v>
      </c>
    </row>
    <row r="335" spans="1:24" s="242" customFormat="1">
      <c r="A335" s="72" t="s">
        <v>1219</v>
      </c>
      <c r="B335" s="72"/>
      <c r="C335" s="328"/>
      <c r="D335" s="328"/>
      <c r="E335" s="328"/>
      <c r="F335" s="329"/>
      <c r="G335" s="330"/>
      <c r="H335" s="330"/>
      <c r="I335" s="330"/>
      <c r="J335" s="331">
        <v>5.8</v>
      </c>
      <c r="K335" s="332"/>
      <c r="L335" s="331">
        <v>9</v>
      </c>
      <c r="M335" s="331">
        <v>10</v>
      </c>
      <c r="N335" s="331"/>
      <c r="O335" s="331">
        <f>VLOOKUP(X335,材料信息更新!$B:$C,2,0)</f>
        <v>5.66</v>
      </c>
      <c r="P335" s="331"/>
      <c r="Q335" s="333"/>
      <c r="R335" s="333"/>
      <c r="S335" s="72"/>
      <c r="X335" s="215" t="s">
        <v>1220</v>
      </c>
    </row>
    <row r="336" spans="1:24" s="242" customFormat="1">
      <c r="A336" s="72" t="s">
        <v>1221</v>
      </c>
      <c r="B336" s="72"/>
      <c r="C336" s="328"/>
      <c r="D336" s="328"/>
      <c r="E336" s="328"/>
      <c r="F336" s="329"/>
      <c r="G336" s="330"/>
      <c r="H336" s="330"/>
      <c r="I336" s="330"/>
      <c r="J336" s="331">
        <v>5.8</v>
      </c>
      <c r="K336" s="332"/>
      <c r="L336" s="331">
        <v>9</v>
      </c>
      <c r="M336" s="331">
        <v>10</v>
      </c>
      <c r="N336" s="331"/>
      <c r="O336" s="331">
        <f>VLOOKUP(X336,材料信息更新!$B:$C,2,0)</f>
        <v>5.66</v>
      </c>
      <c r="P336" s="331"/>
      <c r="Q336" s="333"/>
      <c r="R336" s="333"/>
      <c r="S336" s="72"/>
      <c r="X336" s="215" t="s">
        <v>1220</v>
      </c>
    </row>
    <row r="337" spans="1:24" s="242" customFormat="1">
      <c r="A337" s="72" t="s">
        <v>1222</v>
      </c>
      <c r="B337" s="72"/>
      <c r="C337" s="328"/>
      <c r="D337" s="328"/>
      <c r="E337" s="328"/>
      <c r="F337" s="329"/>
      <c r="G337" s="330"/>
      <c r="H337" s="330"/>
      <c r="I337" s="330"/>
      <c r="J337" s="331">
        <v>5.8</v>
      </c>
      <c r="K337" s="332"/>
      <c r="L337" s="331">
        <v>9</v>
      </c>
      <c r="M337" s="331">
        <v>10</v>
      </c>
      <c r="N337" s="331"/>
      <c r="O337" s="331">
        <f>VLOOKUP(X337,材料信息更新!$B:$C,2,0)</f>
        <v>6.31</v>
      </c>
      <c r="P337" s="331"/>
      <c r="Q337" s="333"/>
      <c r="R337" s="333"/>
      <c r="S337" s="72"/>
      <c r="X337" s="215" t="s">
        <v>1216</v>
      </c>
    </row>
    <row r="338" spans="1:24" s="242" customFormat="1">
      <c r="A338" s="72" t="s">
        <v>1223</v>
      </c>
      <c r="B338" s="72"/>
      <c r="C338" s="328"/>
      <c r="D338" s="328"/>
      <c r="E338" s="328"/>
      <c r="F338" s="329"/>
      <c r="G338" s="330"/>
      <c r="H338" s="330"/>
      <c r="I338" s="330"/>
      <c r="J338" s="331">
        <v>5.8</v>
      </c>
      <c r="K338" s="332"/>
      <c r="L338" s="331">
        <v>9</v>
      </c>
      <c r="M338" s="331">
        <v>10</v>
      </c>
      <c r="N338" s="331"/>
      <c r="O338" s="331">
        <f>VLOOKUP(X338,材料信息更新!$B:$C,2,0)</f>
        <v>6.27</v>
      </c>
      <c r="P338" s="331"/>
      <c r="Q338" s="333"/>
      <c r="R338" s="333"/>
      <c r="S338" s="72"/>
      <c r="X338" s="215" t="s">
        <v>1218</v>
      </c>
    </row>
    <row r="339" spans="1:24" s="242" customFormat="1">
      <c r="A339" s="72" t="s">
        <v>1224</v>
      </c>
      <c r="B339" s="72"/>
      <c r="C339" s="328"/>
      <c r="D339" s="328"/>
      <c r="E339" s="328"/>
      <c r="F339" s="329"/>
      <c r="G339" s="330"/>
      <c r="H339" s="330"/>
      <c r="I339" s="330"/>
      <c r="J339" s="331">
        <v>5.8</v>
      </c>
      <c r="K339" s="332"/>
      <c r="L339" s="331">
        <v>9</v>
      </c>
      <c r="M339" s="331">
        <v>10</v>
      </c>
      <c r="N339" s="331"/>
      <c r="O339" s="331">
        <f>VLOOKUP(X339,材料信息更新!$B:$C,2,0)</f>
        <v>5.66</v>
      </c>
      <c r="P339" s="331"/>
      <c r="Q339" s="333"/>
      <c r="R339" s="333"/>
      <c r="S339" s="72"/>
      <c r="X339" s="215" t="s">
        <v>1220</v>
      </c>
    </row>
    <row r="340" spans="1:24" s="242" customFormat="1">
      <c r="A340" s="72" t="s">
        <v>1225</v>
      </c>
      <c r="B340" s="72"/>
      <c r="C340" s="328"/>
      <c r="D340" s="328"/>
      <c r="E340" s="328"/>
      <c r="F340" s="329"/>
      <c r="G340" s="330"/>
      <c r="H340" s="330"/>
      <c r="I340" s="330"/>
      <c r="J340" s="331">
        <v>5.8</v>
      </c>
      <c r="K340" s="332"/>
      <c r="L340" s="331">
        <v>9</v>
      </c>
      <c r="M340" s="331">
        <v>10</v>
      </c>
      <c r="N340" s="331"/>
      <c r="O340" s="331">
        <f>VLOOKUP(X340,材料信息更新!$B:$C,2,0)</f>
        <v>5.66</v>
      </c>
      <c r="P340" s="331"/>
      <c r="Q340" s="333"/>
      <c r="R340" s="333"/>
      <c r="S340" s="72"/>
      <c r="X340" s="215" t="s">
        <v>1220</v>
      </c>
    </row>
    <row r="341" spans="1:24" s="242" customFormat="1">
      <c r="A341" s="72" t="s">
        <v>1226</v>
      </c>
      <c r="B341" s="72"/>
      <c r="C341" s="328"/>
      <c r="D341" s="328"/>
      <c r="E341" s="328"/>
      <c r="F341" s="329"/>
      <c r="G341" s="330"/>
      <c r="H341" s="330"/>
      <c r="I341" s="330"/>
      <c r="J341" s="331">
        <v>5.8</v>
      </c>
      <c r="K341" s="332"/>
      <c r="L341" s="331">
        <v>9</v>
      </c>
      <c r="M341" s="331">
        <v>10</v>
      </c>
      <c r="N341" s="331"/>
      <c r="O341" s="331">
        <f>VLOOKUP(X341,材料信息更新!$B:$C,2,0)</f>
        <v>6.31</v>
      </c>
      <c r="P341" s="331"/>
      <c r="Q341" s="333"/>
      <c r="R341" s="333"/>
      <c r="S341" s="72"/>
      <c r="X341" s="215" t="s">
        <v>1216</v>
      </c>
    </row>
    <row r="342" spans="1:24" s="242" customFormat="1">
      <c r="A342" s="72" t="s">
        <v>1227</v>
      </c>
      <c r="B342" s="72"/>
      <c r="C342" s="328"/>
      <c r="D342" s="328"/>
      <c r="E342" s="328"/>
      <c r="F342" s="329"/>
      <c r="G342" s="330"/>
      <c r="H342" s="330"/>
      <c r="I342" s="330"/>
      <c r="J342" s="331">
        <v>5.8</v>
      </c>
      <c r="K342" s="332"/>
      <c r="L342" s="331">
        <v>9</v>
      </c>
      <c r="M342" s="331">
        <v>10</v>
      </c>
      <c r="N342" s="331"/>
      <c r="O342" s="331">
        <f>VLOOKUP(X342,材料信息更新!$B:$C,2,0)</f>
        <v>6.27</v>
      </c>
      <c r="P342" s="331"/>
      <c r="Q342" s="333"/>
      <c r="R342" s="333"/>
      <c r="S342" s="72"/>
      <c r="X342" s="215" t="s">
        <v>1218</v>
      </c>
    </row>
    <row r="343" spans="1:24" s="242" customFormat="1">
      <c r="A343" s="72" t="s">
        <v>1228</v>
      </c>
      <c r="B343" s="72"/>
      <c r="C343" s="328"/>
      <c r="D343" s="328"/>
      <c r="E343" s="328"/>
      <c r="F343" s="329"/>
      <c r="G343" s="330"/>
      <c r="H343" s="330"/>
      <c r="I343" s="330"/>
      <c r="J343" s="331">
        <v>5.8</v>
      </c>
      <c r="K343" s="332"/>
      <c r="L343" s="331">
        <v>9</v>
      </c>
      <c r="M343" s="331">
        <v>10</v>
      </c>
      <c r="N343" s="331"/>
      <c r="O343" s="331">
        <f>VLOOKUP(X343,材料信息更新!$B:$C,2,0)</f>
        <v>5.66</v>
      </c>
      <c r="P343" s="331"/>
      <c r="Q343" s="333"/>
      <c r="R343" s="333"/>
      <c r="S343" s="72"/>
      <c r="X343" s="215" t="s">
        <v>1220</v>
      </c>
    </row>
    <row r="344" spans="1:24" s="242" customFormat="1">
      <c r="A344" s="72" t="s">
        <v>1229</v>
      </c>
      <c r="B344" s="72"/>
      <c r="C344" s="328"/>
      <c r="D344" s="328"/>
      <c r="E344" s="328"/>
      <c r="F344" s="329"/>
      <c r="G344" s="330"/>
      <c r="H344" s="330"/>
      <c r="I344" s="330"/>
      <c r="J344" s="331">
        <v>5.8</v>
      </c>
      <c r="K344" s="332"/>
      <c r="L344" s="331">
        <v>9</v>
      </c>
      <c r="M344" s="331">
        <v>10</v>
      </c>
      <c r="N344" s="331"/>
      <c r="O344" s="331">
        <f>VLOOKUP(X344,材料信息更新!$B:$C,2,0)</f>
        <v>5.66</v>
      </c>
      <c r="P344" s="331"/>
      <c r="Q344" s="333"/>
      <c r="R344" s="333"/>
      <c r="S344" s="72"/>
      <c r="X344" s="215" t="s">
        <v>1220</v>
      </c>
    </row>
    <row r="345" spans="1:24" s="242" customFormat="1">
      <c r="A345" s="72" t="s">
        <v>1230</v>
      </c>
      <c r="B345" s="72"/>
      <c r="C345" s="328"/>
      <c r="D345" s="328"/>
      <c r="E345" s="328"/>
      <c r="F345" s="329"/>
      <c r="G345" s="330"/>
      <c r="H345" s="330"/>
      <c r="I345" s="330"/>
      <c r="J345" s="331">
        <v>5.8</v>
      </c>
      <c r="K345" s="332"/>
      <c r="L345" s="331">
        <v>9</v>
      </c>
      <c r="M345" s="331">
        <v>10</v>
      </c>
      <c r="N345" s="331"/>
      <c r="O345" s="331">
        <f>VLOOKUP(X345,材料信息更新!$B:$C,2,0)</f>
        <v>6.31</v>
      </c>
      <c r="P345" s="331"/>
      <c r="Q345" s="333"/>
      <c r="R345" s="333"/>
      <c r="S345" s="72"/>
      <c r="X345" s="215" t="s">
        <v>1216</v>
      </c>
    </row>
    <row r="346" spans="1:24" s="242" customFormat="1">
      <c r="A346" s="72" t="s">
        <v>1231</v>
      </c>
      <c r="B346" s="72"/>
      <c r="C346" s="328"/>
      <c r="D346" s="328"/>
      <c r="E346" s="328"/>
      <c r="F346" s="329"/>
      <c r="G346" s="330"/>
      <c r="H346" s="330"/>
      <c r="I346" s="330"/>
      <c r="J346" s="331">
        <v>5.8</v>
      </c>
      <c r="K346" s="332"/>
      <c r="L346" s="331">
        <v>9</v>
      </c>
      <c r="M346" s="331">
        <v>10</v>
      </c>
      <c r="N346" s="331"/>
      <c r="O346" s="331">
        <f>VLOOKUP(X346,材料信息更新!$B:$C,2,0)</f>
        <v>6.27</v>
      </c>
      <c r="P346" s="331"/>
      <c r="Q346" s="333"/>
      <c r="R346" s="333"/>
      <c r="S346" s="72"/>
      <c r="X346" s="215" t="s">
        <v>1218</v>
      </c>
    </row>
    <row r="347" spans="1:24" s="242" customFormat="1">
      <c r="A347" s="72" t="s">
        <v>1232</v>
      </c>
      <c r="B347" s="72"/>
      <c r="C347" s="328"/>
      <c r="D347" s="328"/>
      <c r="E347" s="328"/>
      <c r="F347" s="329"/>
      <c r="G347" s="330"/>
      <c r="H347" s="330"/>
      <c r="I347" s="330"/>
      <c r="J347" s="331">
        <v>5.8</v>
      </c>
      <c r="K347" s="332"/>
      <c r="L347" s="331">
        <v>9</v>
      </c>
      <c r="M347" s="331">
        <v>10</v>
      </c>
      <c r="N347" s="331"/>
      <c r="O347" s="331">
        <f>VLOOKUP(X347,材料信息更新!$B:$C,2,0)</f>
        <v>5.66</v>
      </c>
      <c r="P347" s="331"/>
      <c r="Q347" s="333"/>
      <c r="R347" s="333"/>
      <c r="S347" s="72"/>
      <c r="X347" s="215" t="s">
        <v>1220</v>
      </c>
    </row>
    <row r="348" spans="1:24" s="242" customFormat="1">
      <c r="A348" s="72" t="s">
        <v>1233</v>
      </c>
      <c r="B348" s="72"/>
      <c r="C348" s="328"/>
      <c r="D348" s="328"/>
      <c r="E348" s="328"/>
      <c r="F348" s="329"/>
      <c r="G348" s="330"/>
      <c r="H348" s="330"/>
      <c r="I348" s="330"/>
      <c r="J348" s="331">
        <v>5.8</v>
      </c>
      <c r="K348" s="332"/>
      <c r="L348" s="331">
        <v>9</v>
      </c>
      <c r="M348" s="331">
        <v>10</v>
      </c>
      <c r="N348" s="331"/>
      <c r="O348" s="331">
        <f>VLOOKUP(X348,材料信息更新!$B:$C,2,0)</f>
        <v>5.66</v>
      </c>
      <c r="P348" s="331"/>
      <c r="Q348" s="333"/>
      <c r="R348" s="333"/>
      <c r="S348" s="72"/>
      <c r="X348" s="215" t="s">
        <v>1220</v>
      </c>
    </row>
    <row r="349" spans="1:24" s="242" customFormat="1">
      <c r="A349" s="334"/>
      <c r="C349" s="322"/>
      <c r="D349" s="322"/>
      <c r="E349" s="322"/>
      <c r="F349" s="323"/>
      <c r="G349" s="324"/>
      <c r="H349" s="324"/>
      <c r="I349" s="324"/>
      <c r="J349" s="325"/>
      <c r="K349" s="326"/>
      <c r="L349" s="325"/>
      <c r="M349" s="325"/>
      <c r="N349" s="325"/>
      <c r="O349" s="325"/>
      <c r="P349" s="325"/>
      <c r="Q349" s="327"/>
      <c r="R349" s="327"/>
      <c r="X349" s="247"/>
    </row>
    <row r="350" spans="1:24" s="242" customFormat="1">
      <c r="A350" s="334"/>
      <c r="C350" s="322"/>
      <c r="D350" s="322"/>
      <c r="E350" s="322"/>
      <c r="F350" s="323"/>
      <c r="G350" s="324"/>
      <c r="H350" s="324"/>
      <c r="I350" s="324"/>
      <c r="J350" s="325"/>
      <c r="K350" s="326"/>
      <c r="L350" s="325"/>
      <c r="M350" s="325"/>
      <c r="N350" s="325"/>
      <c r="O350" s="325"/>
      <c r="P350" s="325"/>
      <c r="Q350" s="327"/>
      <c r="R350" s="327"/>
      <c r="X350" s="247"/>
    </row>
    <row r="351" spans="1:24" s="242" customFormat="1">
      <c r="A351" s="72" t="s">
        <v>1234</v>
      </c>
      <c r="B351" s="72"/>
      <c r="C351" s="328"/>
      <c r="D351" s="328"/>
      <c r="E351" s="328"/>
      <c r="F351" s="329"/>
      <c r="G351" s="330"/>
      <c r="H351" s="330"/>
      <c r="I351" s="330"/>
      <c r="J351" s="331"/>
      <c r="K351" s="332"/>
      <c r="L351" s="331"/>
      <c r="M351" s="331"/>
      <c r="N351" s="331"/>
      <c r="O351" s="331"/>
      <c r="P351" s="331"/>
      <c r="Q351" s="333"/>
      <c r="R351" s="333"/>
      <c r="S351" s="72"/>
      <c r="X351" s="247"/>
    </row>
    <row r="352" spans="1:24" s="242" customFormat="1">
      <c r="A352" s="72" t="s">
        <v>1235</v>
      </c>
      <c r="B352" s="72"/>
      <c r="C352" s="328">
        <v>4.8600000000000003</v>
      </c>
      <c r="D352" s="328">
        <v>0.21</v>
      </c>
      <c r="E352" s="328"/>
      <c r="F352" s="329">
        <v>6</v>
      </c>
      <c r="G352" s="330">
        <v>103</v>
      </c>
      <c r="H352" s="330">
        <v>63</v>
      </c>
      <c r="I352" s="330">
        <v>40</v>
      </c>
      <c r="J352" s="331">
        <f>VLOOKUP(W352,材料信息更新!$B:$C,2,0)</f>
        <v>3.83</v>
      </c>
      <c r="K352" s="332">
        <f>Sheet1!$A$3*2</f>
        <v>2</v>
      </c>
      <c r="L352" s="331">
        <v>9.1999999999999993</v>
      </c>
      <c r="M352" s="331"/>
      <c r="N352" s="331"/>
      <c r="O352" s="331">
        <v>2</v>
      </c>
      <c r="P352" s="331"/>
      <c r="Q352" s="333"/>
      <c r="R352" s="333"/>
      <c r="S352" s="72"/>
      <c r="W352" s="242" t="s">
        <v>1236</v>
      </c>
    </row>
    <row r="353" spans="1:23" s="242" customFormat="1">
      <c r="A353" s="72" t="s">
        <v>1237</v>
      </c>
      <c r="B353" s="72" t="s">
        <v>1238</v>
      </c>
      <c r="C353" s="328">
        <f>(H353+I353)/1000*F353*7.85</f>
        <v>7.6772999999999998</v>
      </c>
      <c r="D353" s="328">
        <f>(H353+I353+F353)/1000*1*2</f>
        <v>0.33800000000000002</v>
      </c>
      <c r="E353" s="328"/>
      <c r="F353" s="329">
        <v>6</v>
      </c>
      <c r="G353" s="330">
        <v>163</v>
      </c>
      <c r="H353" s="330">
        <v>100</v>
      </c>
      <c r="I353" s="330">
        <v>63</v>
      </c>
      <c r="J353" s="331">
        <f>VLOOKUP(W353,材料信息更新!$B:$C,2,0)</f>
        <v>3.83</v>
      </c>
      <c r="K353" s="332"/>
      <c r="L353" s="331"/>
      <c r="M353" s="331"/>
      <c r="N353" s="331"/>
      <c r="O353" s="331"/>
      <c r="P353" s="331"/>
      <c r="Q353" s="333"/>
      <c r="R353" s="333"/>
      <c r="S353" s="72"/>
      <c r="W353" s="242" t="s">
        <v>1236</v>
      </c>
    </row>
    <row r="354" spans="1:23" s="242" customFormat="1">
      <c r="A354" s="72" t="s">
        <v>460</v>
      </c>
      <c r="B354" s="72" t="s">
        <v>1239</v>
      </c>
      <c r="C354" s="328">
        <f>(H354+I354)/1000*F354*7.85</f>
        <v>10.2364</v>
      </c>
      <c r="D354" s="328">
        <f>(H354+I354+F354)/1000*1*2</f>
        <v>0.34200000000000003</v>
      </c>
      <c r="E354" s="328"/>
      <c r="F354" s="329">
        <v>8</v>
      </c>
      <c r="G354" s="330">
        <v>163</v>
      </c>
      <c r="H354" s="330">
        <v>100</v>
      </c>
      <c r="I354" s="330">
        <v>63</v>
      </c>
      <c r="J354" s="331">
        <f>VLOOKUP(W354,材料信息更新!$B:$C,2,0)</f>
        <v>3.83</v>
      </c>
      <c r="K354" s="332"/>
      <c r="L354" s="331"/>
      <c r="M354" s="331"/>
      <c r="N354" s="331"/>
      <c r="O354" s="331"/>
      <c r="P354" s="331"/>
      <c r="Q354" s="333"/>
      <c r="R354" s="333"/>
      <c r="S354" s="72"/>
      <c r="W354" s="242" t="s">
        <v>1240</v>
      </c>
    </row>
    <row r="355" spans="1:23" s="242" customFormat="1">
      <c r="A355" s="72" t="s">
        <v>386</v>
      </c>
      <c r="C355" s="328">
        <f>(H355+I355)/1000*F355*7.85</f>
        <v>12.874000000000001</v>
      </c>
      <c r="D355" s="328">
        <f>(H355+I355+F355)/1000*1*2</f>
        <v>0.42599999999999999</v>
      </c>
      <c r="E355" s="322"/>
      <c r="F355" s="329">
        <v>8</v>
      </c>
      <c r="G355" s="324">
        <v>205</v>
      </c>
      <c r="H355" s="324">
        <v>125</v>
      </c>
      <c r="I355" s="324">
        <v>80</v>
      </c>
      <c r="J355" s="331">
        <f>VLOOKUP(W355,材料信息更新!$B:$C,2,0)</f>
        <v>3.83</v>
      </c>
      <c r="K355" s="335">
        <f>Sheet1!$A$3*2.6</f>
        <v>2.6</v>
      </c>
      <c r="L355" s="336">
        <v>9.1999999999999993</v>
      </c>
      <c r="M355" s="324"/>
      <c r="N355" s="324"/>
      <c r="O355" s="324"/>
      <c r="P355" s="325">
        <v>0.3</v>
      </c>
      <c r="Q355" s="327"/>
      <c r="R355" s="327"/>
      <c r="W355" s="242" t="s">
        <v>1240</v>
      </c>
    </row>
    <row r="356" spans="1:23" s="242" customFormat="1">
      <c r="A356" s="242" t="s">
        <v>1241</v>
      </c>
      <c r="C356" s="328">
        <f>(H356+I356)/1000*F356*7.85</f>
        <v>4.90625</v>
      </c>
      <c r="D356" s="322"/>
      <c r="E356" s="322"/>
      <c r="F356" s="323">
        <v>5</v>
      </c>
      <c r="G356" s="324">
        <v>125</v>
      </c>
      <c r="H356" s="324">
        <v>75</v>
      </c>
      <c r="I356" s="324">
        <v>50</v>
      </c>
      <c r="J356" s="331">
        <f>VLOOKUP(W356,材料信息更新!$B:$C,2,0)</f>
        <v>3.83</v>
      </c>
      <c r="K356" s="335">
        <f>Sheet1!$A$3*2.6</f>
        <v>2.6</v>
      </c>
      <c r="L356" s="336">
        <v>9.1999999999999993</v>
      </c>
      <c r="M356" s="324"/>
      <c r="N356" s="324"/>
      <c r="O356" s="324"/>
      <c r="P356" s="325">
        <v>0.3</v>
      </c>
      <c r="Q356" s="327"/>
      <c r="R356" s="327"/>
      <c r="W356" s="242" t="s">
        <v>1236</v>
      </c>
    </row>
    <row r="357" spans="1:23" s="242" customFormat="1">
      <c r="A357" s="242" t="s">
        <v>1242</v>
      </c>
      <c r="C357" s="322"/>
      <c r="D357" s="322"/>
      <c r="E357" s="322"/>
      <c r="F357" s="323"/>
      <c r="G357" s="324"/>
      <c r="H357" s="324"/>
      <c r="I357" s="324"/>
      <c r="J357" s="337">
        <v>5.5</v>
      </c>
      <c r="K357" s="338"/>
      <c r="L357" s="336">
        <v>9.1999999999999993</v>
      </c>
      <c r="M357" s="324"/>
      <c r="N357" s="324"/>
      <c r="O357" s="324"/>
      <c r="P357" s="325">
        <v>0.3</v>
      </c>
      <c r="Q357" s="327"/>
      <c r="R357" s="327"/>
    </row>
    <row r="358" spans="1:23" s="242" customFormat="1">
      <c r="C358" s="322"/>
      <c r="D358" s="322"/>
      <c r="E358" s="322"/>
      <c r="F358" s="323"/>
      <c r="G358" s="324"/>
      <c r="H358" s="324"/>
      <c r="I358" s="324"/>
      <c r="J358" s="324"/>
      <c r="K358" s="338"/>
      <c r="L358" s="324"/>
      <c r="M358" s="324"/>
      <c r="N358" s="324"/>
      <c r="O358" s="324"/>
      <c r="P358" s="325"/>
      <c r="Q358" s="327"/>
      <c r="R358" s="327"/>
    </row>
    <row r="359" spans="1:23" s="242" customFormat="1">
      <c r="C359" s="322"/>
      <c r="D359" s="322"/>
      <c r="E359" s="322"/>
      <c r="F359" s="323"/>
      <c r="G359" s="324"/>
      <c r="H359" s="324"/>
      <c r="I359" s="324"/>
      <c r="J359" s="324"/>
      <c r="K359" s="338"/>
      <c r="L359" s="324"/>
      <c r="M359" s="324"/>
      <c r="N359" s="324"/>
      <c r="O359" s="324"/>
      <c r="P359" s="325"/>
      <c r="Q359" s="327"/>
      <c r="R359" s="327"/>
    </row>
    <row r="360" spans="1:23" s="242" customFormat="1">
      <c r="C360" s="322"/>
      <c r="D360" s="322"/>
      <c r="E360" s="322"/>
      <c r="F360" s="323"/>
      <c r="G360" s="324"/>
      <c r="H360" s="324"/>
      <c r="I360" s="324"/>
      <c r="J360" s="324"/>
      <c r="K360" s="338"/>
      <c r="L360" s="324"/>
      <c r="M360" s="324"/>
      <c r="N360" s="324"/>
      <c r="O360" s="324"/>
      <c r="P360" s="325"/>
      <c r="Q360" s="327"/>
      <c r="R360" s="327"/>
    </row>
    <row r="361" spans="1:23" s="242" customFormat="1">
      <c r="C361" s="322"/>
      <c r="D361" s="322"/>
      <c r="E361" s="322"/>
      <c r="F361" s="323"/>
      <c r="G361" s="324"/>
      <c r="H361" s="324"/>
      <c r="I361" s="324"/>
      <c r="J361" s="324"/>
      <c r="K361" s="338"/>
      <c r="L361" s="324"/>
      <c r="M361" s="324"/>
      <c r="N361" s="324"/>
      <c r="O361" s="324"/>
      <c r="P361" s="325"/>
      <c r="Q361" s="327"/>
      <c r="R361" s="327"/>
    </row>
    <row r="362" spans="1:23" s="242" customFormat="1">
      <c r="C362" s="322"/>
      <c r="D362" s="322"/>
      <c r="E362" s="322"/>
      <c r="F362" s="323"/>
      <c r="G362" s="324"/>
      <c r="H362" s="324"/>
      <c r="I362" s="324"/>
      <c r="J362" s="324"/>
      <c r="K362" s="338"/>
      <c r="L362" s="324"/>
      <c r="M362" s="324"/>
      <c r="N362" s="324"/>
      <c r="O362" s="324"/>
      <c r="P362" s="325"/>
      <c r="Q362" s="327"/>
      <c r="R362" s="327"/>
    </row>
    <row r="363" spans="1:23" s="242" customFormat="1">
      <c r="C363" s="322"/>
      <c r="D363" s="322"/>
      <c r="E363" s="322"/>
      <c r="F363" s="323"/>
      <c r="G363" s="324"/>
      <c r="H363" s="324"/>
      <c r="I363" s="324"/>
      <c r="J363" s="324"/>
      <c r="K363" s="338"/>
      <c r="L363" s="324"/>
      <c r="M363" s="324"/>
      <c r="N363" s="324"/>
      <c r="O363" s="324"/>
      <c r="P363" s="325"/>
      <c r="Q363" s="327"/>
      <c r="R363" s="327"/>
    </row>
    <row r="364" spans="1:23" s="242" customFormat="1">
      <c r="A364" s="72" t="s">
        <v>543</v>
      </c>
      <c r="B364" s="72"/>
      <c r="C364" s="328"/>
      <c r="D364" s="328"/>
      <c r="E364" s="328"/>
      <c r="F364" s="329"/>
      <c r="G364" s="330"/>
      <c r="H364" s="330"/>
      <c r="I364" s="330"/>
      <c r="J364" s="330"/>
      <c r="K364" s="339"/>
      <c r="L364" s="330"/>
      <c r="M364" s="330"/>
      <c r="N364" s="330"/>
      <c r="O364" s="330"/>
      <c r="P364" s="331"/>
      <c r="Q364" s="333"/>
      <c r="R364" s="333"/>
      <c r="S364" s="72"/>
    </row>
    <row r="365" spans="1:23" s="242" customFormat="1">
      <c r="A365" s="72" t="s">
        <v>1243</v>
      </c>
      <c r="B365" s="72"/>
      <c r="C365" s="328"/>
      <c r="D365" s="328"/>
      <c r="E365" s="328"/>
      <c r="F365" s="329"/>
      <c r="G365" s="330"/>
      <c r="H365" s="330"/>
      <c r="I365" s="330"/>
      <c r="J365" s="331">
        <f>VLOOKUP(W365,材料信息更新!$B:$C,2,0)</f>
        <v>4.45</v>
      </c>
      <c r="K365" s="332"/>
      <c r="L365" s="331"/>
      <c r="M365" s="331"/>
      <c r="N365" s="331"/>
      <c r="O365" s="331"/>
      <c r="P365" s="331"/>
      <c r="Q365" s="333"/>
      <c r="R365" s="333"/>
      <c r="S365" s="72"/>
      <c r="W365" s="242" t="s">
        <v>1243</v>
      </c>
    </row>
    <row r="366" spans="1:23" s="242" customFormat="1">
      <c r="A366" s="72" t="s">
        <v>546</v>
      </c>
      <c r="B366" s="72"/>
      <c r="C366" s="328"/>
      <c r="D366" s="328"/>
      <c r="E366" s="328"/>
      <c r="F366" s="329"/>
      <c r="G366" s="330"/>
      <c r="H366" s="330"/>
      <c r="I366" s="330"/>
      <c r="J366" s="331">
        <f>VLOOKUP(W366,材料信息更新!$B:$C,2,0)</f>
        <v>4.05</v>
      </c>
      <c r="K366" s="332"/>
      <c r="L366" s="331"/>
      <c r="M366" s="331"/>
      <c r="N366" s="331"/>
      <c r="O366" s="331"/>
      <c r="P366" s="331"/>
      <c r="Q366" s="333"/>
      <c r="R366" s="333"/>
      <c r="S366" s="72"/>
      <c r="W366" s="242" t="s">
        <v>546</v>
      </c>
    </row>
    <row r="367" spans="1:23" s="242" customFormat="1">
      <c r="C367" s="322"/>
      <c r="D367" s="322"/>
      <c r="E367" s="322"/>
      <c r="F367" s="323"/>
      <c r="G367" s="324"/>
      <c r="H367" s="324"/>
      <c r="I367" s="324"/>
      <c r="J367" s="325"/>
      <c r="K367" s="326"/>
      <c r="L367" s="325"/>
      <c r="M367" s="325"/>
      <c r="N367" s="325"/>
      <c r="O367" s="325"/>
      <c r="P367" s="325"/>
      <c r="Q367" s="327"/>
      <c r="R367" s="327"/>
    </row>
    <row r="368" spans="1:23" s="242" customFormat="1">
      <c r="C368" s="322"/>
      <c r="D368" s="322"/>
      <c r="E368" s="322"/>
      <c r="F368" s="323"/>
      <c r="G368" s="324"/>
      <c r="H368" s="324"/>
      <c r="I368" s="324"/>
      <c r="J368" s="325"/>
      <c r="K368" s="326"/>
      <c r="L368" s="325"/>
      <c r="M368" s="325"/>
      <c r="N368" s="325"/>
      <c r="O368" s="325"/>
      <c r="P368" s="325"/>
      <c r="Q368" s="327"/>
      <c r="R368" s="327"/>
    </row>
    <row r="369" spans="1:24" s="242" customFormat="1">
      <c r="C369" s="322"/>
      <c r="D369" s="322"/>
      <c r="E369" s="322"/>
      <c r="F369" s="323"/>
      <c r="G369" s="324"/>
      <c r="H369" s="324"/>
      <c r="I369" s="324"/>
      <c r="J369" s="325"/>
      <c r="K369" s="326"/>
      <c r="L369" s="325"/>
      <c r="M369" s="325"/>
      <c r="N369" s="325"/>
      <c r="O369" s="325"/>
      <c r="P369" s="325"/>
      <c r="Q369" s="327"/>
      <c r="R369" s="327"/>
    </row>
    <row r="370" spans="1:24" s="242" customFormat="1">
      <c r="C370" s="322"/>
      <c r="D370" s="322"/>
      <c r="E370" s="322"/>
      <c r="F370" s="323"/>
      <c r="G370" s="324"/>
      <c r="H370" s="324"/>
      <c r="I370" s="324"/>
      <c r="J370" s="325"/>
      <c r="K370" s="326"/>
      <c r="L370" s="325"/>
      <c r="M370" s="325"/>
      <c r="N370" s="325"/>
      <c r="O370" s="325"/>
      <c r="P370" s="325"/>
      <c r="Q370" s="327"/>
      <c r="R370" s="327"/>
    </row>
    <row r="371" spans="1:24" s="242" customFormat="1">
      <c r="A371" s="242" t="s">
        <v>609</v>
      </c>
      <c r="C371" s="322"/>
      <c r="D371" s="322"/>
      <c r="E371" s="322"/>
      <c r="F371" s="323"/>
      <c r="G371" s="324"/>
      <c r="H371" s="324"/>
      <c r="I371" s="324"/>
      <c r="J371" s="340"/>
      <c r="K371" s="326"/>
      <c r="L371" s="325"/>
      <c r="M371" s="325"/>
      <c r="N371" s="325"/>
      <c r="O371" s="325"/>
      <c r="P371" s="325"/>
      <c r="Q371" s="327"/>
      <c r="R371" s="327"/>
    </row>
    <row r="372" spans="1:24" s="242" customFormat="1">
      <c r="A372" s="242" t="s">
        <v>1244</v>
      </c>
      <c r="B372" s="242" t="s">
        <v>1245</v>
      </c>
      <c r="C372" s="341">
        <f>G372*F372*7.85/1000*2</f>
        <v>8.4779999999999998</v>
      </c>
      <c r="D372" s="322">
        <f>G372*2/1000</f>
        <v>0.54</v>
      </c>
      <c r="E372" s="322">
        <f>VLOOKUP(X372,材料信息更新!$B:$C,2,0)</f>
        <v>3.96</v>
      </c>
      <c r="F372" s="323">
        <v>2</v>
      </c>
      <c r="G372" s="324">
        <v>270</v>
      </c>
      <c r="H372" s="324"/>
      <c r="I372" s="324"/>
      <c r="J372" s="281">
        <f>VLOOKUP(W372,材料信息更新!$B:$C,2,0)</f>
        <v>3.6</v>
      </c>
      <c r="K372" s="326">
        <f>Sheet1!$A$3*20</f>
        <v>20</v>
      </c>
      <c r="L372" s="325">
        <v>0.95</v>
      </c>
      <c r="M372" s="325">
        <v>2.2999999999999998</v>
      </c>
      <c r="N372" s="325"/>
      <c r="O372" s="325">
        <v>2.2000000000000002</v>
      </c>
      <c r="P372" s="325">
        <v>5</v>
      </c>
      <c r="Q372" s="327"/>
      <c r="R372" s="327"/>
      <c r="W372" s="188" t="s">
        <v>835</v>
      </c>
      <c r="X372" s="188" t="s">
        <v>836</v>
      </c>
    </row>
    <row r="373" spans="1:24" s="242" customFormat="1">
      <c r="A373" s="242" t="s">
        <v>1246</v>
      </c>
      <c r="B373" s="242" t="s">
        <v>1245</v>
      </c>
      <c r="C373" s="341">
        <f t="shared" ref="C373:C380" si="112">G373*F373*7.85/1000*2</f>
        <v>10.5975</v>
      </c>
      <c r="D373" s="322">
        <f t="shared" ref="D373:D380" si="113">G373*2/1000</f>
        <v>0.54</v>
      </c>
      <c r="E373" s="322">
        <f>VLOOKUP(X373,材料信息更新!$B:$C,2,0)</f>
        <v>3.96</v>
      </c>
      <c r="F373" s="323">
        <v>2.5</v>
      </c>
      <c r="G373" s="324">
        <v>270</v>
      </c>
      <c r="H373" s="324"/>
      <c r="I373" s="324"/>
      <c r="J373" s="281">
        <f>VLOOKUP(W373,材料信息更新!$B:$C,2,0)</f>
        <v>3.52</v>
      </c>
      <c r="K373" s="326">
        <f>Sheet1!$A$3*20</f>
        <v>20</v>
      </c>
      <c r="L373" s="325">
        <v>0.95</v>
      </c>
      <c r="M373" s="325">
        <v>2.2999999999999998</v>
      </c>
      <c r="N373" s="325"/>
      <c r="O373" s="325">
        <v>2.2000000000000002</v>
      </c>
      <c r="P373" s="325">
        <v>5</v>
      </c>
      <c r="Q373" s="327"/>
      <c r="R373" s="327"/>
      <c r="W373" s="188" t="s">
        <v>847</v>
      </c>
      <c r="X373" s="188" t="s">
        <v>848</v>
      </c>
    </row>
    <row r="374" spans="1:24" s="242" customFormat="1">
      <c r="A374" s="242" t="s">
        <v>1247</v>
      </c>
      <c r="B374" s="242" t="s">
        <v>1245</v>
      </c>
      <c r="C374" s="341">
        <f t="shared" si="112"/>
        <v>12.717000000000001</v>
      </c>
      <c r="D374" s="322">
        <f t="shared" si="113"/>
        <v>0.54</v>
      </c>
      <c r="E374" s="322">
        <f>VLOOKUP(X374,材料信息更新!$B:$C,2,0)</f>
        <v>3.96</v>
      </c>
      <c r="F374" s="323">
        <v>3</v>
      </c>
      <c r="G374" s="324">
        <v>270</v>
      </c>
      <c r="H374" s="324"/>
      <c r="I374" s="324"/>
      <c r="J374" s="281">
        <f>VLOOKUP(W374,材料信息更新!$B:$C,2,0)</f>
        <v>3.47</v>
      </c>
      <c r="K374" s="326">
        <f>Sheet1!$A$3*20</f>
        <v>20</v>
      </c>
      <c r="L374" s="325">
        <v>0.95</v>
      </c>
      <c r="M374" s="325">
        <v>2.2999999999999998</v>
      </c>
      <c r="N374" s="325"/>
      <c r="O374" s="325">
        <v>2.2000000000000002</v>
      </c>
      <c r="P374" s="325">
        <v>5</v>
      </c>
      <c r="Q374" s="327"/>
      <c r="R374" s="327"/>
      <c r="W374" s="188" t="s">
        <v>864</v>
      </c>
      <c r="X374" s="188" t="s">
        <v>865</v>
      </c>
    </row>
    <row r="375" spans="1:24" s="242" customFormat="1">
      <c r="A375" s="242" t="s">
        <v>1248</v>
      </c>
      <c r="B375" s="242" t="s">
        <v>1245</v>
      </c>
      <c r="C375" s="341">
        <f t="shared" si="112"/>
        <v>14.836499999999999</v>
      </c>
      <c r="D375" s="322">
        <f t="shared" si="113"/>
        <v>0.63</v>
      </c>
      <c r="E375" s="322">
        <f>VLOOKUP(X375,材料信息更新!$B:$C,2,0)</f>
        <v>3.96</v>
      </c>
      <c r="F375" s="323">
        <v>3</v>
      </c>
      <c r="G375" s="324">
        <v>315</v>
      </c>
      <c r="H375" s="324"/>
      <c r="I375" s="324"/>
      <c r="J375" s="281">
        <f>VLOOKUP(W375,材料信息更新!$B:$C,2,0)</f>
        <v>3.47</v>
      </c>
      <c r="K375" s="326">
        <f>Sheet1!$A$3*20</f>
        <v>20</v>
      </c>
      <c r="L375" s="325">
        <v>0.95</v>
      </c>
      <c r="M375" s="325">
        <v>2.2999999999999998</v>
      </c>
      <c r="N375" s="325"/>
      <c r="O375" s="325">
        <v>2.2000000000000002</v>
      </c>
      <c r="P375" s="325">
        <v>5</v>
      </c>
      <c r="Q375" s="327"/>
      <c r="R375" s="327"/>
      <c r="W375" s="188" t="s">
        <v>864</v>
      </c>
      <c r="X375" s="188" t="s">
        <v>865</v>
      </c>
    </row>
    <row r="376" spans="1:24" s="242" customFormat="1">
      <c r="A376" s="242" t="s">
        <v>618</v>
      </c>
      <c r="B376" s="242" t="s">
        <v>1245</v>
      </c>
      <c r="C376" s="341">
        <f t="shared" si="112"/>
        <v>18.84</v>
      </c>
      <c r="D376" s="322">
        <f t="shared" si="113"/>
        <v>0.8</v>
      </c>
      <c r="E376" s="322">
        <f>VLOOKUP(X376,材料信息更新!$B:$C,2,0)</f>
        <v>3.96</v>
      </c>
      <c r="F376" s="323">
        <v>3</v>
      </c>
      <c r="G376" s="324">
        <v>400</v>
      </c>
      <c r="H376" s="324"/>
      <c r="I376" s="324"/>
      <c r="J376" s="281">
        <f>VLOOKUP(W376,材料信息更新!$B:$C,2,0)</f>
        <v>3.47</v>
      </c>
      <c r="K376" s="326">
        <f>Sheet1!$A$3*25</f>
        <v>25</v>
      </c>
      <c r="L376" s="325">
        <v>0.95</v>
      </c>
      <c r="M376" s="325">
        <v>2.2999999999999998</v>
      </c>
      <c r="N376" s="325"/>
      <c r="O376" s="325">
        <v>2.2000000000000002</v>
      </c>
      <c r="P376" s="325">
        <v>5</v>
      </c>
      <c r="Q376" s="327"/>
      <c r="R376" s="327"/>
      <c r="W376" s="188" t="s">
        <v>864</v>
      </c>
      <c r="X376" s="188" t="s">
        <v>865</v>
      </c>
    </row>
    <row r="377" spans="1:24" s="242" customFormat="1">
      <c r="A377" s="242" t="s">
        <v>1249</v>
      </c>
      <c r="B377" s="242" t="s">
        <v>1245</v>
      </c>
      <c r="C377" s="341">
        <f t="shared" si="112"/>
        <v>28.26</v>
      </c>
      <c r="D377" s="322">
        <f t="shared" si="113"/>
        <v>0.9</v>
      </c>
      <c r="E377" s="322">
        <f>VLOOKUP(X377,材料信息更新!$B:$C,2,0)</f>
        <v>4.79</v>
      </c>
      <c r="F377" s="323">
        <v>4</v>
      </c>
      <c r="G377" s="324">
        <v>450</v>
      </c>
      <c r="H377" s="324"/>
      <c r="I377" s="324"/>
      <c r="J377" s="281">
        <f>IF(VLOOKUP(W377,材料信息更新!$B:$C,2,0)&gt;0,VLOOKUP(W377,材料信息更新!$B:$C,2,0),VLOOKUP(W376,材料信息更新!$B:$C,2,0))</f>
        <v>3.47</v>
      </c>
      <c r="K377" s="326">
        <f>Sheet1!$A$3*31</f>
        <v>31</v>
      </c>
      <c r="L377" s="325">
        <v>0.95</v>
      </c>
      <c r="M377" s="325">
        <v>2.2999999999999998</v>
      </c>
      <c r="N377" s="325"/>
      <c r="O377" s="325">
        <v>2.2000000000000002</v>
      </c>
      <c r="P377" s="325">
        <v>5</v>
      </c>
      <c r="Q377" s="327"/>
      <c r="R377" s="327"/>
      <c r="W377" s="188" t="s">
        <v>1250</v>
      </c>
      <c r="X377" s="188" t="s">
        <v>1251</v>
      </c>
    </row>
    <row r="378" spans="1:24" s="242" customFormat="1">
      <c r="A378" s="242" t="s">
        <v>1252</v>
      </c>
      <c r="B378" s="242" t="s">
        <v>1245</v>
      </c>
      <c r="C378" s="341">
        <f t="shared" si="112"/>
        <v>31.085999999999999</v>
      </c>
      <c r="D378" s="322">
        <f t="shared" si="113"/>
        <v>0.99</v>
      </c>
      <c r="E378" s="322">
        <f>VLOOKUP(X378,材料信息更新!$B:$C,2,0)</f>
        <v>4.79</v>
      </c>
      <c r="F378" s="323">
        <v>4</v>
      </c>
      <c r="G378" s="324">
        <v>495</v>
      </c>
      <c r="H378" s="324"/>
      <c r="I378" s="324"/>
      <c r="J378" s="281">
        <f>IF(VLOOKUP(W378,材料信息更新!$B:$C,2,0)&gt;0,VLOOKUP(W378,材料信息更新!$B:$C,2,0),VLOOKUP(W376,材料信息更新!$B:$C,2,0))</f>
        <v>3.47</v>
      </c>
      <c r="K378" s="326">
        <f>Sheet1!$A$3*35</f>
        <v>35</v>
      </c>
      <c r="L378" s="325">
        <v>0.95</v>
      </c>
      <c r="M378" s="325">
        <v>2.2999999999999998</v>
      </c>
      <c r="N378" s="325"/>
      <c r="O378" s="325">
        <v>2.2000000000000002</v>
      </c>
      <c r="P378" s="325">
        <v>5</v>
      </c>
      <c r="Q378" s="327"/>
      <c r="R378" s="327"/>
      <c r="W378" s="188" t="s">
        <v>1250</v>
      </c>
      <c r="X378" s="188" t="s">
        <v>1251</v>
      </c>
    </row>
    <row r="379" spans="1:24" s="242" customFormat="1">
      <c r="A379" s="242" t="s">
        <v>1253</v>
      </c>
      <c r="B379" s="242" t="s">
        <v>1245</v>
      </c>
      <c r="C379" s="341">
        <f t="shared" si="112"/>
        <v>19.169699999999999</v>
      </c>
      <c r="D379" s="322">
        <f t="shared" si="113"/>
        <v>0.81399999999999995</v>
      </c>
      <c r="E379" s="322">
        <f>VLOOKUP(X379,材料信息更新!$B:$C,2,0)</f>
        <v>3.96</v>
      </c>
      <c r="F379" s="323">
        <v>3</v>
      </c>
      <c r="G379" s="324">
        <v>407</v>
      </c>
      <c r="H379" s="324"/>
      <c r="I379" s="324"/>
      <c r="J379" s="281">
        <f>VLOOKUP(W379,材料信息更新!$B:$C,2,0)</f>
        <v>3.47</v>
      </c>
      <c r="K379" s="326">
        <f>Sheet1!$A$3*25</f>
        <v>25</v>
      </c>
      <c r="L379" s="325">
        <v>0.95</v>
      </c>
      <c r="M379" s="325">
        <v>2.2999999999999998</v>
      </c>
      <c r="N379" s="325"/>
      <c r="O379" s="325">
        <v>2.2000000000000002</v>
      </c>
      <c r="P379" s="325">
        <v>5</v>
      </c>
      <c r="Q379" s="327"/>
      <c r="R379" s="327"/>
      <c r="W379" s="188" t="s">
        <v>864</v>
      </c>
      <c r="X379" s="188" t="s">
        <v>865</v>
      </c>
    </row>
    <row r="380" spans="1:24" s="242" customFormat="1">
      <c r="A380" s="242" t="s">
        <v>1254</v>
      </c>
      <c r="B380" s="242" t="s">
        <v>1245</v>
      </c>
      <c r="C380" s="341">
        <f t="shared" si="112"/>
        <v>28.3856</v>
      </c>
      <c r="D380" s="322">
        <f t="shared" si="113"/>
        <v>0.90400000000000003</v>
      </c>
      <c r="E380" s="322">
        <f>VLOOKUP(X380,材料信息更新!$B:$C,2,0)</f>
        <v>4.79</v>
      </c>
      <c r="F380" s="323">
        <v>4</v>
      </c>
      <c r="G380" s="324">
        <v>452</v>
      </c>
      <c r="H380" s="324"/>
      <c r="I380" s="324"/>
      <c r="J380" s="281">
        <f>IF(VLOOKUP(W380,材料信息更新!$B:$C,2,0)&gt;0,VLOOKUP(W380,材料信息更新!$B:$C,2,0),VLOOKUP(W376,材料信息更新!$B:$C,2,0))</f>
        <v>3.47</v>
      </c>
      <c r="K380" s="326">
        <f>Sheet1!$A$3*31</f>
        <v>31</v>
      </c>
      <c r="L380" s="325">
        <v>0.95</v>
      </c>
      <c r="M380" s="325">
        <v>2.2999999999999998</v>
      </c>
      <c r="N380" s="325"/>
      <c r="O380" s="325">
        <v>2.2000000000000002</v>
      </c>
      <c r="P380" s="325">
        <v>5</v>
      </c>
      <c r="Q380" s="327"/>
      <c r="R380" s="327"/>
      <c r="W380" s="188" t="s">
        <v>1250</v>
      </c>
      <c r="X380" s="188" t="s">
        <v>1251</v>
      </c>
    </row>
    <row r="381" spans="1:24" s="242" customFormat="1">
      <c r="A381" s="242" t="s">
        <v>1255</v>
      </c>
      <c r="B381" s="242" t="s">
        <v>1245</v>
      </c>
      <c r="C381" s="341">
        <v>50</v>
      </c>
      <c r="D381" s="322"/>
      <c r="E381" s="322"/>
      <c r="F381" s="323"/>
      <c r="G381" s="324"/>
      <c r="H381" s="324"/>
      <c r="I381" s="324"/>
      <c r="J381" s="325">
        <v>3.7</v>
      </c>
      <c r="K381" s="326"/>
      <c r="L381" s="325">
        <v>0.95</v>
      </c>
      <c r="M381" s="325">
        <v>2.2999999999999998</v>
      </c>
      <c r="N381" s="325"/>
      <c r="O381" s="325">
        <v>2.2000000000000002</v>
      </c>
      <c r="P381" s="325"/>
      <c r="Q381" s="327"/>
      <c r="R381" s="327"/>
    </row>
    <row r="382" spans="1:24" s="242" customFormat="1">
      <c r="A382" s="242" t="s">
        <v>1256</v>
      </c>
      <c r="B382" s="242" t="s">
        <v>1245</v>
      </c>
      <c r="C382" s="322">
        <v>65.099999999999994</v>
      </c>
      <c r="D382" s="322"/>
      <c r="E382" s="322"/>
      <c r="F382" s="323"/>
      <c r="G382" s="324"/>
      <c r="H382" s="324"/>
      <c r="I382" s="324"/>
      <c r="J382" s="325">
        <v>3.7</v>
      </c>
      <c r="K382" s="326"/>
      <c r="L382" s="325">
        <v>0.95</v>
      </c>
      <c r="M382" s="325">
        <v>2.2999999999999998</v>
      </c>
      <c r="N382" s="325"/>
      <c r="O382" s="325">
        <v>2.2000000000000002</v>
      </c>
      <c r="P382" s="325"/>
      <c r="Q382" s="327"/>
      <c r="R382" s="327"/>
    </row>
    <row r="383" spans="1:24" s="242" customFormat="1">
      <c r="C383" s="322"/>
      <c r="D383" s="322"/>
      <c r="E383" s="322"/>
      <c r="F383" s="323"/>
      <c r="G383" s="324"/>
      <c r="H383" s="324"/>
      <c r="I383" s="324"/>
      <c r="J383" s="325"/>
      <c r="K383" s="326"/>
      <c r="L383" s="325"/>
      <c r="M383" s="325"/>
      <c r="N383" s="325"/>
      <c r="O383" s="325"/>
      <c r="P383" s="325"/>
      <c r="Q383" s="327"/>
      <c r="R383" s="327"/>
    </row>
    <row r="384" spans="1:24" s="242" customFormat="1">
      <c r="C384" s="322"/>
      <c r="D384" s="322"/>
      <c r="E384" s="322"/>
      <c r="F384" s="323"/>
      <c r="G384" s="324"/>
      <c r="H384" s="324"/>
      <c r="I384" s="324"/>
      <c r="J384" s="325"/>
      <c r="K384" s="326"/>
      <c r="L384" s="325"/>
      <c r="M384" s="325"/>
      <c r="N384" s="325"/>
      <c r="O384" s="325"/>
      <c r="P384" s="325"/>
      <c r="Q384" s="327"/>
      <c r="R384" s="327"/>
    </row>
    <row r="385" spans="1:24" s="242" customFormat="1">
      <c r="C385" s="322"/>
      <c r="D385" s="322"/>
      <c r="E385" s="322"/>
      <c r="F385" s="323"/>
      <c r="G385" s="324"/>
      <c r="H385" s="324"/>
      <c r="I385" s="324"/>
      <c r="J385" s="325"/>
      <c r="K385" s="326"/>
      <c r="L385" s="325"/>
      <c r="M385" s="325"/>
      <c r="N385" s="325"/>
      <c r="O385" s="325"/>
      <c r="P385" s="325"/>
      <c r="Q385" s="327"/>
      <c r="R385" s="327"/>
    </row>
    <row r="386" spans="1:24" s="242" customFormat="1">
      <c r="A386" s="242" t="s">
        <v>1257</v>
      </c>
      <c r="C386" s="322"/>
      <c r="D386" s="322"/>
      <c r="E386" s="322"/>
      <c r="F386" s="323"/>
      <c r="G386" s="324"/>
      <c r="H386" s="324"/>
      <c r="I386" s="324"/>
      <c r="J386" s="325"/>
      <c r="K386" s="326"/>
      <c r="L386" s="325"/>
      <c r="M386" s="325"/>
      <c r="N386" s="325"/>
      <c r="O386" s="325"/>
      <c r="P386" s="325"/>
      <c r="Q386" s="327"/>
      <c r="R386" s="327"/>
    </row>
    <row r="387" spans="1:24" s="242" customFormat="1">
      <c r="A387" s="242" t="s">
        <v>621</v>
      </c>
      <c r="B387" s="242" t="s">
        <v>1258</v>
      </c>
      <c r="C387" s="322">
        <f>0.419*0.3*6*7.85</f>
        <v>5.9204699999999999</v>
      </c>
      <c r="D387" s="322">
        <f>0.419*0.3*2</f>
        <v>0.25140000000000001</v>
      </c>
      <c r="E387" s="322">
        <f>J387+0.5</f>
        <v>5.9049762941117896</v>
      </c>
      <c r="F387" s="323">
        <v>6</v>
      </c>
      <c r="G387" s="324"/>
      <c r="H387" s="324"/>
      <c r="I387" s="324"/>
      <c r="J387" s="325">
        <f>32/C387</f>
        <v>5.4049762941117896</v>
      </c>
      <c r="K387" s="326"/>
      <c r="L387" s="325">
        <v>0.95</v>
      </c>
      <c r="M387" s="325">
        <v>2.2999999999999998</v>
      </c>
      <c r="N387" s="325"/>
      <c r="O387" s="325">
        <v>2.2000000000000002</v>
      </c>
      <c r="P387" s="325"/>
      <c r="Q387" s="327"/>
      <c r="R387" s="327"/>
    </row>
    <row r="388" spans="1:24" s="242" customFormat="1">
      <c r="A388" s="242" t="s">
        <v>1259</v>
      </c>
      <c r="B388" s="242" t="s">
        <v>1258</v>
      </c>
      <c r="C388" s="322">
        <f>0.469*0.35*6*7.85</f>
        <v>7.731465</v>
      </c>
      <c r="D388" s="322">
        <f>0.469*0.35*2</f>
        <v>0.32829999999999998</v>
      </c>
      <c r="E388" s="322">
        <f t="shared" ref="E388:E389" si="114">J388+0.5</f>
        <v>5.9049762941117896</v>
      </c>
      <c r="F388" s="323">
        <v>6</v>
      </c>
      <c r="G388" s="324"/>
      <c r="H388" s="324"/>
      <c r="I388" s="324"/>
      <c r="J388" s="325">
        <f>J387</f>
        <v>5.4049762941117896</v>
      </c>
      <c r="K388" s="326"/>
      <c r="L388" s="325">
        <v>0.95</v>
      </c>
      <c r="M388" s="325">
        <v>2.2999999999999998</v>
      </c>
      <c r="N388" s="325"/>
      <c r="O388" s="325">
        <v>2.2000000000000002</v>
      </c>
      <c r="P388" s="325"/>
      <c r="Q388" s="327"/>
      <c r="R388" s="327"/>
    </row>
    <row r="389" spans="1:24" s="242" customFormat="1">
      <c r="A389" s="242" t="s">
        <v>1260</v>
      </c>
      <c r="B389" s="242" t="s">
        <v>1258</v>
      </c>
      <c r="C389" s="342">
        <f>0.519*0.4*6*7.85</f>
        <v>9.7779600000000002</v>
      </c>
      <c r="D389" s="343">
        <f>519*400*2/1000000-400*400/1000000</f>
        <v>0.25519999999999998</v>
      </c>
      <c r="E389" s="322">
        <f t="shared" si="114"/>
        <v>5.9049762941117896</v>
      </c>
      <c r="F389" s="323">
        <v>6</v>
      </c>
      <c r="G389" s="324"/>
      <c r="H389" s="324"/>
      <c r="I389" s="324"/>
      <c r="J389" s="325">
        <f>J388</f>
        <v>5.4049762941117896</v>
      </c>
      <c r="K389" s="326"/>
      <c r="L389" s="325">
        <v>0.95</v>
      </c>
      <c r="M389" s="325">
        <v>2.2999999999999998</v>
      </c>
      <c r="N389" s="325"/>
      <c r="O389" s="325">
        <v>2.2000000000000002</v>
      </c>
      <c r="P389" s="325"/>
      <c r="Q389" s="327"/>
      <c r="R389" s="327"/>
    </row>
    <row r="390" spans="1:24" s="242" customFormat="1">
      <c r="C390" s="322"/>
      <c r="D390" s="322"/>
      <c r="E390" s="322"/>
      <c r="F390" s="323"/>
      <c r="G390" s="324"/>
      <c r="H390" s="324"/>
      <c r="I390" s="324"/>
      <c r="J390" s="325"/>
      <c r="K390" s="326"/>
      <c r="L390" s="325"/>
      <c r="M390" s="325"/>
      <c r="N390" s="325"/>
      <c r="O390" s="325"/>
      <c r="P390" s="325"/>
      <c r="Q390" s="327"/>
      <c r="R390" s="327"/>
    </row>
    <row r="391" spans="1:24" s="242" customFormat="1">
      <c r="C391" s="322"/>
      <c r="D391" s="322"/>
      <c r="E391" s="322"/>
      <c r="F391" s="323"/>
      <c r="G391" s="324"/>
      <c r="H391" s="324"/>
      <c r="I391" s="324"/>
      <c r="J391" s="325"/>
      <c r="K391" s="326"/>
      <c r="L391" s="325"/>
      <c r="M391" s="325"/>
      <c r="N391" s="325"/>
      <c r="O391" s="325"/>
      <c r="P391" s="325"/>
      <c r="Q391" s="327"/>
      <c r="R391" s="327"/>
    </row>
    <row r="392" spans="1:24" s="242" customFormat="1">
      <c r="C392" s="322"/>
      <c r="D392" s="322"/>
      <c r="E392" s="322"/>
      <c r="F392" s="323"/>
      <c r="G392" s="324"/>
      <c r="H392" s="324"/>
      <c r="I392" s="324"/>
      <c r="J392" s="325"/>
      <c r="K392" s="326"/>
      <c r="L392" s="325"/>
      <c r="M392" s="325"/>
      <c r="N392" s="325"/>
      <c r="O392" s="325"/>
      <c r="P392" s="325"/>
      <c r="Q392" s="327"/>
      <c r="R392" s="327"/>
    </row>
    <row r="393" spans="1:24" s="242" customFormat="1">
      <c r="C393" s="322"/>
      <c r="D393" s="322"/>
      <c r="E393" s="322"/>
      <c r="F393" s="323"/>
      <c r="G393" s="324"/>
      <c r="H393" s="324"/>
      <c r="I393" s="324"/>
      <c r="J393" s="325"/>
      <c r="K393" s="326"/>
      <c r="L393" s="325"/>
      <c r="M393" s="325"/>
      <c r="N393" s="325"/>
      <c r="O393" s="325"/>
      <c r="P393" s="325"/>
      <c r="Q393" s="327"/>
      <c r="R393" s="327"/>
    </row>
    <row r="394" spans="1:24" s="242" customFormat="1">
      <c r="C394" s="322"/>
      <c r="D394" s="322"/>
      <c r="E394" s="322"/>
      <c r="F394" s="323"/>
      <c r="G394" s="324"/>
      <c r="H394" s="324"/>
      <c r="I394" s="324"/>
      <c r="J394" s="325"/>
      <c r="K394" s="326"/>
      <c r="L394" s="325"/>
      <c r="M394" s="325"/>
      <c r="N394" s="325"/>
      <c r="O394" s="325"/>
      <c r="P394" s="325"/>
      <c r="Q394" s="327"/>
      <c r="R394" s="327"/>
    </row>
    <row r="395" spans="1:24" s="242" customFormat="1">
      <c r="A395" s="242" t="s">
        <v>626</v>
      </c>
      <c r="C395" s="322"/>
      <c r="D395" s="322"/>
      <c r="E395" s="322"/>
      <c r="F395" s="323"/>
      <c r="G395" s="324"/>
      <c r="H395" s="324"/>
      <c r="I395" s="324"/>
      <c r="J395" s="325"/>
      <c r="K395" s="326"/>
      <c r="L395" s="325"/>
      <c r="M395" s="325"/>
      <c r="N395" s="325"/>
      <c r="O395" s="325"/>
      <c r="P395" s="325"/>
      <c r="Q395" s="327"/>
      <c r="R395" s="327"/>
    </row>
    <row r="396" spans="1:24" s="242" customFormat="1">
      <c r="A396" s="242" t="s">
        <v>1261</v>
      </c>
      <c r="B396" s="242" t="s">
        <v>1245</v>
      </c>
      <c r="C396" s="341">
        <f>G396*F396*7.85/1000*2</f>
        <v>8.4779999999999998</v>
      </c>
      <c r="D396" s="322">
        <f>G396*2/1000</f>
        <v>0.54</v>
      </c>
      <c r="E396" s="322">
        <f>VLOOKUP(X396,材料信息更新!$B:$C,2,0)</f>
        <v>3.96</v>
      </c>
      <c r="F396" s="323">
        <v>2</v>
      </c>
      <c r="G396" s="324">
        <v>270</v>
      </c>
      <c r="H396" s="324"/>
      <c r="I396" s="324"/>
      <c r="J396" s="281">
        <f>VLOOKUP(W396,材料信息更新!$B:$C,2,0)</f>
        <v>3.6</v>
      </c>
      <c r="K396" s="326">
        <f>Sheet1!$A$3*20</f>
        <v>20</v>
      </c>
      <c r="L396" s="325">
        <v>0.95</v>
      </c>
      <c r="M396" s="325">
        <v>2.2999999999999998</v>
      </c>
      <c r="N396" s="325"/>
      <c r="O396" s="325">
        <v>2.2000000000000002</v>
      </c>
      <c r="P396" s="325"/>
      <c r="Q396" s="327" t="s">
        <v>1262</v>
      </c>
      <c r="R396" s="327"/>
      <c r="W396" s="188" t="s">
        <v>835</v>
      </c>
      <c r="X396" s="188" t="s">
        <v>836</v>
      </c>
    </row>
    <row r="397" spans="1:24" s="242" customFormat="1">
      <c r="A397" s="242" t="s">
        <v>1263</v>
      </c>
      <c r="B397" s="242" t="s">
        <v>1245</v>
      </c>
      <c r="C397" s="341">
        <f t="shared" ref="C397:C404" si="115">G397*F397*7.85/1000*2</f>
        <v>10.5975</v>
      </c>
      <c r="D397" s="322">
        <f t="shared" ref="D397:D404" si="116">G397*2/1000</f>
        <v>0.54</v>
      </c>
      <c r="E397" s="322">
        <f>VLOOKUP(X397,材料信息更新!$B:$C,2,0)</f>
        <v>3.96</v>
      </c>
      <c r="F397" s="323">
        <v>2.5</v>
      </c>
      <c r="G397" s="324">
        <v>270</v>
      </c>
      <c r="H397" s="324"/>
      <c r="I397" s="324"/>
      <c r="J397" s="281">
        <f>VLOOKUP(W397,材料信息更新!$B:$C,2,0)</f>
        <v>3.52</v>
      </c>
      <c r="K397" s="326">
        <f>Sheet1!$A$3*20</f>
        <v>20</v>
      </c>
      <c r="L397" s="325">
        <v>0.95</v>
      </c>
      <c r="M397" s="325">
        <v>2.2999999999999998</v>
      </c>
      <c r="N397" s="325"/>
      <c r="O397" s="325">
        <v>2.2000000000000002</v>
      </c>
      <c r="P397" s="325"/>
      <c r="Q397" s="327" t="s">
        <v>1262</v>
      </c>
      <c r="R397" s="327"/>
      <c r="W397" s="188" t="s">
        <v>847</v>
      </c>
      <c r="X397" s="188" t="s">
        <v>848</v>
      </c>
    </row>
    <row r="398" spans="1:24" s="242" customFormat="1">
      <c r="A398" s="242" t="s">
        <v>1264</v>
      </c>
      <c r="B398" s="242" t="s">
        <v>1245</v>
      </c>
      <c r="C398" s="341">
        <f t="shared" si="115"/>
        <v>12.717000000000001</v>
      </c>
      <c r="D398" s="322">
        <f t="shared" si="116"/>
        <v>0.54</v>
      </c>
      <c r="E398" s="322">
        <f>VLOOKUP(X398,材料信息更新!$B:$C,2,0)</f>
        <v>3.96</v>
      </c>
      <c r="F398" s="323">
        <v>3</v>
      </c>
      <c r="G398" s="324">
        <v>270</v>
      </c>
      <c r="H398" s="324"/>
      <c r="I398" s="324"/>
      <c r="J398" s="281">
        <f>VLOOKUP(W398,材料信息更新!$B:$C,2,0)</f>
        <v>3.47</v>
      </c>
      <c r="K398" s="326">
        <f>Sheet1!$A$3*20</f>
        <v>20</v>
      </c>
      <c r="L398" s="325">
        <v>0.95</v>
      </c>
      <c r="M398" s="325">
        <v>2.2999999999999998</v>
      </c>
      <c r="N398" s="325"/>
      <c r="O398" s="325">
        <v>2.2000000000000002</v>
      </c>
      <c r="P398" s="325"/>
      <c r="Q398" s="327" t="s">
        <v>1262</v>
      </c>
      <c r="R398" s="327"/>
      <c r="W398" s="188" t="s">
        <v>864</v>
      </c>
      <c r="X398" s="188" t="s">
        <v>865</v>
      </c>
    </row>
    <row r="399" spans="1:24" s="242" customFormat="1">
      <c r="A399" s="242" t="s">
        <v>1265</v>
      </c>
      <c r="B399" s="242" t="s">
        <v>1245</v>
      </c>
      <c r="C399" s="341">
        <f t="shared" si="115"/>
        <v>14.836499999999999</v>
      </c>
      <c r="D399" s="322">
        <f t="shared" si="116"/>
        <v>0.63</v>
      </c>
      <c r="E399" s="322">
        <f>VLOOKUP(X399,材料信息更新!$B:$C,2,0)</f>
        <v>3.96</v>
      </c>
      <c r="F399" s="323">
        <v>3</v>
      </c>
      <c r="G399" s="324">
        <v>315</v>
      </c>
      <c r="H399" s="324"/>
      <c r="I399" s="324"/>
      <c r="J399" s="281">
        <f>VLOOKUP(W399,材料信息更新!$B:$C,2,0)</f>
        <v>3.47</v>
      </c>
      <c r="K399" s="326">
        <f>Sheet1!$A$3*20</f>
        <v>20</v>
      </c>
      <c r="L399" s="325">
        <v>0.95</v>
      </c>
      <c r="M399" s="325">
        <v>2.2999999999999998</v>
      </c>
      <c r="N399" s="325"/>
      <c r="O399" s="325">
        <v>2.2000000000000002</v>
      </c>
      <c r="P399" s="325"/>
      <c r="Q399" s="327"/>
      <c r="R399" s="327"/>
      <c r="W399" s="188" t="s">
        <v>864</v>
      </c>
      <c r="X399" s="188" t="s">
        <v>865</v>
      </c>
    </row>
    <row r="400" spans="1:24" s="242" customFormat="1">
      <c r="A400" s="242" t="s">
        <v>629</v>
      </c>
      <c r="B400" s="242" t="s">
        <v>1245</v>
      </c>
      <c r="C400" s="341">
        <f t="shared" si="115"/>
        <v>18.84</v>
      </c>
      <c r="D400" s="322">
        <f t="shared" si="116"/>
        <v>0.8</v>
      </c>
      <c r="E400" s="322">
        <f>VLOOKUP(X400,材料信息更新!$B:$C,2,0)</f>
        <v>3.96</v>
      </c>
      <c r="F400" s="323">
        <v>3</v>
      </c>
      <c r="G400" s="324">
        <v>400</v>
      </c>
      <c r="H400" s="324"/>
      <c r="I400" s="324"/>
      <c r="J400" s="281">
        <f>VLOOKUP(W400,材料信息更新!$B:$C,2,0)</f>
        <v>3.47</v>
      </c>
      <c r="K400" s="326">
        <f>Sheet1!$A$3*25</f>
        <v>25</v>
      </c>
      <c r="L400" s="325">
        <v>0.95</v>
      </c>
      <c r="M400" s="325">
        <v>2.2999999999999998</v>
      </c>
      <c r="N400" s="325"/>
      <c r="O400" s="325">
        <v>2.2000000000000002</v>
      </c>
      <c r="P400" s="325"/>
      <c r="Q400" s="327" t="s">
        <v>1266</v>
      </c>
      <c r="R400" s="327">
        <v>12</v>
      </c>
      <c r="S400" s="242" t="s">
        <v>1267</v>
      </c>
      <c r="T400" s="242">
        <v>24</v>
      </c>
      <c r="W400" s="188" t="s">
        <v>864</v>
      </c>
      <c r="X400" s="188" t="s">
        <v>865</v>
      </c>
    </row>
    <row r="401" spans="1:24" s="242" customFormat="1">
      <c r="A401" s="242" t="s">
        <v>1268</v>
      </c>
      <c r="B401" s="242" t="s">
        <v>1245</v>
      </c>
      <c r="C401" s="341">
        <f t="shared" si="115"/>
        <v>28.26</v>
      </c>
      <c r="D401" s="322">
        <f t="shared" si="116"/>
        <v>0.9</v>
      </c>
      <c r="E401" s="322">
        <f>VLOOKUP(X401,材料信息更新!$B:$C,2,0)</f>
        <v>4.79</v>
      </c>
      <c r="F401" s="323">
        <v>4</v>
      </c>
      <c r="G401" s="324">
        <v>450</v>
      </c>
      <c r="H401" s="324"/>
      <c r="I401" s="324"/>
      <c r="J401" s="281">
        <f>IF(VLOOKUP(W401,材料信息更新!$B:$C,2,0)&gt;0,VLOOKUP(W401,材料信息更新!$B:$C,2,0),VLOOKUP(W400,材料信息更新!$B:$C,2,0))</f>
        <v>3.47</v>
      </c>
      <c r="K401" s="326">
        <f>Sheet1!$A$3*31</f>
        <v>31</v>
      </c>
      <c r="L401" s="325">
        <v>0.95</v>
      </c>
      <c r="M401" s="325">
        <v>2.2999999999999998</v>
      </c>
      <c r="N401" s="325"/>
      <c r="O401" s="325">
        <v>2.2000000000000002</v>
      </c>
      <c r="P401" s="325"/>
      <c r="Q401" s="327"/>
      <c r="R401" s="327"/>
      <c r="W401" s="188" t="s">
        <v>1250</v>
      </c>
      <c r="X401" s="188" t="s">
        <v>1251</v>
      </c>
    </row>
    <row r="402" spans="1:24" s="242" customFormat="1">
      <c r="A402" s="242" t="s">
        <v>1269</v>
      </c>
      <c r="B402" s="242" t="s">
        <v>1245</v>
      </c>
      <c r="C402" s="341">
        <f t="shared" si="115"/>
        <v>31.085999999999999</v>
      </c>
      <c r="D402" s="322">
        <f t="shared" si="116"/>
        <v>0.99</v>
      </c>
      <c r="E402" s="322">
        <f>VLOOKUP(X402,材料信息更新!$B:$C,2,0)</f>
        <v>4.79</v>
      </c>
      <c r="F402" s="323">
        <v>4</v>
      </c>
      <c r="G402" s="324">
        <v>495</v>
      </c>
      <c r="H402" s="324"/>
      <c r="I402" s="324"/>
      <c r="J402" s="281">
        <f>IF(VLOOKUP(W402,材料信息更新!$B:$C,2,0)&gt;0,VLOOKUP(W402,材料信息更新!$B:$C,2,0),VLOOKUP(W400,材料信息更新!$B:$C,2,0))</f>
        <v>3.47</v>
      </c>
      <c r="K402" s="326">
        <f>Sheet1!$A$3*35</f>
        <v>35</v>
      </c>
      <c r="L402" s="325">
        <v>0.95</v>
      </c>
      <c r="M402" s="325">
        <v>2.2999999999999998</v>
      </c>
      <c r="N402" s="325"/>
      <c r="O402" s="325">
        <v>2.2000000000000002</v>
      </c>
      <c r="P402" s="325"/>
      <c r="Q402" s="327"/>
      <c r="R402" s="327"/>
      <c r="W402" s="188" t="s">
        <v>1250</v>
      </c>
      <c r="X402" s="188" t="s">
        <v>1251</v>
      </c>
    </row>
    <row r="403" spans="1:24" s="242" customFormat="1">
      <c r="A403" s="242" t="s">
        <v>1270</v>
      </c>
      <c r="B403" s="242" t="s">
        <v>1245</v>
      </c>
      <c r="C403" s="341">
        <f t="shared" si="115"/>
        <v>19.169699999999999</v>
      </c>
      <c r="D403" s="322">
        <f t="shared" si="116"/>
        <v>0.81399999999999995</v>
      </c>
      <c r="E403" s="322">
        <f>VLOOKUP(X403,材料信息更新!$B:$C,2,0)</f>
        <v>3.96</v>
      </c>
      <c r="F403" s="323">
        <v>3</v>
      </c>
      <c r="G403" s="324">
        <v>407</v>
      </c>
      <c r="H403" s="324"/>
      <c r="I403" s="324"/>
      <c r="J403" s="281">
        <f>VLOOKUP(W403,材料信息更新!$B:$C,2,0)</f>
        <v>3.47</v>
      </c>
      <c r="K403" s="326">
        <f>Sheet1!$A$3*25</f>
        <v>25</v>
      </c>
      <c r="L403" s="325">
        <v>0.95</v>
      </c>
      <c r="M403" s="325">
        <v>2.2999999999999998</v>
      </c>
      <c r="N403" s="325"/>
      <c r="O403" s="325">
        <v>2.2000000000000002</v>
      </c>
      <c r="P403" s="325"/>
      <c r="Q403" s="327"/>
      <c r="R403" s="327"/>
      <c r="W403" s="188" t="s">
        <v>864</v>
      </c>
      <c r="X403" s="188" t="s">
        <v>865</v>
      </c>
    </row>
    <row r="404" spans="1:24" s="242" customFormat="1">
      <c r="A404" s="242" t="s">
        <v>1271</v>
      </c>
      <c r="B404" s="242" t="s">
        <v>1245</v>
      </c>
      <c r="C404" s="341">
        <f t="shared" si="115"/>
        <v>28.3856</v>
      </c>
      <c r="D404" s="322">
        <f t="shared" si="116"/>
        <v>0.90400000000000003</v>
      </c>
      <c r="E404" s="322">
        <f>VLOOKUP(X404,材料信息更新!$B:$C,2,0)</f>
        <v>4.79</v>
      </c>
      <c r="F404" s="323">
        <v>4</v>
      </c>
      <c r="G404" s="324">
        <v>452</v>
      </c>
      <c r="H404" s="324"/>
      <c r="I404" s="324"/>
      <c r="J404" s="281">
        <f>IF(VLOOKUP(W404,材料信息更新!$B:$C,2,0)&gt;0,VLOOKUP(W404,材料信息更新!$B:$C,2,0),VLOOKUP(W400,材料信息更新!$B:$C,2,0))</f>
        <v>3.47</v>
      </c>
      <c r="K404" s="326">
        <f>Sheet1!$A$3*31</f>
        <v>31</v>
      </c>
      <c r="L404" s="325">
        <v>0.95</v>
      </c>
      <c r="M404" s="325">
        <v>2.2999999999999998</v>
      </c>
      <c r="N404" s="325"/>
      <c r="O404" s="325">
        <v>2.2000000000000002</v>
      </c>
      <c r="P404" s="325"/>
      <c r="Q404" s="327"/>
      <c r="R404" s="327"/>
      <c r="W404" s="188" t="s">
        <v>1250</v>
      </c>
      <c r="X404" s="188" t="s">
        <v>1251</v>
      </c>
    </row>
    <row r="405" spans="1:24" s="242" customFormat="1">
      <c r="A405" s="242" t="s">
        <v>1272</v>
      </c>
      <c r="B405" s="242" t="s">
        <v>1245</v>
      </c>
      <c r="C405" s="341">
        <v>50</v>
      </c>
      <c r="D405" s="322"/>
      <c r="E405" s="322"/>
      <c r="F405" s="323"/>
      <c r="G405" s="324"/>
      <c r="H405" s="324"/>
      <c r="I405" s="324"/>
      <c r="J405" s="325">
        <v>3.7</v>
      </c>
      <c r="K405" s="326"/>
      <c r="L405" s="325">
        <v>0.95</v>
      </c>
      <c r="M405" s="325">
        <v>2.2999999999999998</v>
      </c>
      <c r="N405" s="325"/>
      <c r="O405" s="325">
        <v>2.2000000000000002</v>
      </c>
      <c r="P405" s="325"/>
      <c r="Q405" s="327"/>
      <c r="R405" s="327"/>
    </row>
    <row r="406" spans="1:24" s="242" customFormat="1">
      <c r="A406" s="242" t="s">
        <v>1273</v>
      </c>
      <c r="B406" s="242" t="s">
        <v>1245</v>
      </c>
      <c r="C406" s="322">
        <v>65.099999999999994</v>
      </c>
      <c r="D406" s="322"/>
      <c r="E406" s="322"/>
      <c r="F406" s="323"/>
      <c r="G406" s="324"/>
      <c r="H406" s="324"/>
      <c r="I406" s="324"/>
      <c r="J406" s="325">
        <v>3.7</v>
      </c>
      <c r="K406" s="326"/>
      <c r="L406" s="325">
        <v>0.95</v>
      </c>
      <c r="M406" s="325">
        <v>2.2999999999999998</v>
      </c>
      <c r="N406" s="325"/>
      <c r="O406" s="325">
        <v>2.2000000000000002</v>
      </c>
      <c r="P406" s="325"/>
      <c r="Q406" s="327"/>
      <c r="R406" s="327"/>
    </row>
    <row r="407" spans="1:24" s="242" customFormat="1">
      <c r="C407" s="322"/>
      <c r="D407" s="322"/>
      <c r="E407" s="322"/>
      <c r="F407" s="323"/>
      <c r="G407" s="324"/>
      <c r="H407" s="324"/>
      <c r="I407" s="324"/>
      <c r="J407" s="325"/>
      <c r="K407" s="326"/>
      <c r="L407" s="325"/>
      <c r="M407" s="325"/>
      <c r="N407" s="325"/>
      <c r="O407" s="325"/>
      <c r="P407" s="325"/>
      <c r="Q407" s="327"/>
      <c r="R407" s="327"/>
    </row>
    <row r="408" spans="1:24" s="242" customFormat="1">
      <c r="C408" s="322"/>
      <c r="D408" s="322"/>
      <c r="E408" s="322"/>
      <c r="F408" s="323"/>
      <c r="G408" s="324"/>
      <c r="H408" s="324"/>
      <c r="I408" s="324"/>
      <c r="J408" s="325"/>
      <c r="K408" s="326"/>
      <c r="L408" s="325"/>
      <c r="M408" s="325"/>
      <c r="N408" s="325"/>
      <c r="O408" s="325"/>
      <c r="P408" s="325"/>
      <c r="Q408" s="327"/>
      <c r="R408" s="327"/>
    </row>
    <row r="409" spans="1:24" s="242" customFormat="1">
      <c r="C409" s="322"/>
      <c r="D409" s="322"/>
      <c r="E409" s="322"/>
      <c r="F409" s="323"/>
      <c r="G409" s="324"/>
      <c r="H409" s="324"/>
      <c r="I409" s="324"/>
      <c r="J409" s="325"/>
      <c r="K409" s="326"/>
      <c r="L409" s="325"/>
      <c r="M409" s="325"/>
      <c r="N409" s="325"/>
      <c r="O409" s="325"/>
      <c r="P409" s="325"/>
      <c r="Q409" s="327"/>
      <c r="R409" s="327"/>
    </row>
    <row r="410" spans="1:24" s="242" customFormat="1">
      <c r="C410" s="322"/>
      <c r="D410" s="322"/>
      <c r="E410" s="322"/>
      <c r="F410" s="323"/>
      <c r="G410" s="324"/>
      <c r="H410" s="324"/>
      <c r="I410" s="324"/>
      <c r="J410" s="325"/>
      <c r="K410" s="326"/>
      <c r="L410" s="325"/>
      <c r="M410" s="325"/>
      <c r="N410" s="325"/>
      <c r="O410" s="325"/>
      <c r="P410" s="325"/>
      <c r="Q410" s="327"/>
      <c r="R410" s="327"/>
    </row>
    <row r="411" spans="1:24" s="242" customFormat="1">
      <c r="C411" s="322"/>
      <c r="D411" s="322"/>
      <c r="E411" s="322"/>
      <c r="F411" s="323"/>
      <c r="G411" s="324"/>
      <c r="H411" s="324"/>
      <c r="I411" s="324"/>
      <c r="J411" s="325"/>
      <c r="K411" s="326"/>
      <c r="L411" s="325"/>
      <c r="M411" s="325"/>
      <c r="N411" s="325"/>
      <c r="O411" s="325"/>
      <c r="P411" s="325"/>
      <c r="Q411" s="327"/>
      <c r="R411" s="327"/>
    </row>
    <row r="412" spans="1:24" s="242" customFormat="1">
      <c r="C412" s="322"/>
      <c r="D412" s="322"/>
      <c r="E412" s="322"/>
      <c r="F412" s="323"/>
      <c r="G412" s="324"/>
      <c r="H412" s="324"/>
      <c r="I412" s="324"/>
      <c r="J412" s="325"/>
      <c r="K412" s="326"/>
      <c r="L412" s="325"/>
      <c r="M412" s="325"/>
      <c r="N412" s="325"/>
      <c r="O412" s="325"/>
      <c r="P412" s="325"/>
      <c r="Q412" s="327"/>
      <c r="R412" s="327"/>
    </row>
    <row r="413" spans="1:24" s="242" customFormat="1">
      <c r="A413" s="242" t="s">
        <v>633</v>
      </c>
      <c r="C413" s="322"/>
      <c r="D413" s="322"/>
      <c r="E413" s="322"/>
      <c r="F413" s="323"/>
      <c r="G413" s="324"/>
      <c r="H413" s="324"/>
      <c r="I413" s="324"/>
      <c r="J413" s="325"/>
      <c r="K413" s="326"/>
      <c r="L413" s="325"/>
      <c r="M413" s="325"/>
      <c r="N413" s="325"/>
      <c r="O413" s="325"/>
      <c r="P413" s="325"/>
      <c r="Q413" s="327"/>
      <c r="R413" s="327"/>
    </row>
    <row r="414" spans="1:24" s="242" customFormat="1">
      <c r="A414" s="242" t="s">
        <v>1274</v>
      </c>
      <c r="B414" s="242" t="s">
        <v>1258</v>
      </c>
      <c r="C414" s="322">
        <v>0.36</v>
      </c>
      <c r="D414" s="322">
        <v>2.9000000000000001E-2</v>
      </c>
      <c r="E414" s="322"/>
      <c r="F414" s="323"/>
      <c r="G414" s="324"/>
      <c r="H414" s="324"/>
      <c r="I414" s="324"/>
      <c r="J414" s="344">
        <v>6.5</v>
      </c>
      <c r="K414" s="345">
        <f>Sheet1!$A$3*1/C414</f>
        <v>2.7777777777777799</v>
      </c>
      <c r="L414" s="325">
        <v>0.95</v>
      </c>
      <c r="M414" s="325">
        <v>2.2999999999999998</v>
      </c>
      <c r="N414" s="325"/>
      <c r="O414" s="325">
        <v>2.2000000000000002</v>
      </c>
      <c r="P414" s="325"/>
      <c r="Q414" s="327"/>
      <c r="R414" s="327"/>
    </row>
    <row r="415" spans="1:24" s="242" customFormat="1">
      <c r="A415" s="242" t="s">
        <v>634</v>
      </c>
      <c r="B415" s="242" t="s">
        <v>1258</v>
      </c>
      <c r="C415" s="322">
        <v>1.73</v>
      </c>
      <c r="D415" s="322"/>
      <c r="E415" s="322"/>
      <c r="F415" s="323"/>
      <c r="G415" s="324"/>
      <c r="H415" s="324"/>
      <c r="I415" s="324"/>
      <c r="J415" s="281">
        <f>IF(VLOOKUP(W415,材料信息更新!$B:$C,2,0)&gt;0,VLOOKUP(W415,材料信息更新!$B:$C,2,0),VLOOKUP(W411,材料信息更新!$B:$C,2,0))+1.3</f>
        <v>4.93</v>
      </c>
      <c r="K415" s="326">
        <f>Sheet1!$A$3*1.4/C415</f>
        <v>0.80924855491329495</v>
      </c>
      <c r="L415" s="325">
        <v>0.95</v>
      </c>
      <c r="M415" s="325">
        <v>2.2999999999999998</v>
      </c>
      <c r="N415" s="325"/>
      <c r="O415" s="325">
        <v>2.2000000000000002</v>
      </c>
      <c r="P415" s="325"/>
      <c r="Q415" s="327"/>
      <c r="R415" s="327"/>
      <c r="W415" s="242" t="s">
        <v>391</v>
      </c>
    </row>
    <row r="416" spans="1:24" s="242" customFormat="1">
      <c r="A416" s="242" t="s">
        <v>1275</v>
      </c>
      <c r="B416" s="242" t="s">
        <v>1258</v>
      </c>
      <c r="C416" s="322">
        <f>272*297*3*7.85/1000000+87*95*5*7.85/1000000</f>
        <v>2.2268644499999999</v>
      </c>
      <c r="D416" s="322">
        <f>272*297*2/1000000+87*95*2/1000000</f>
        <v>0.17809800000000001</v>
      </c>
      <c r="E416" s="322"/>
      <c r="F416" s="323"/>
      <c r="G416" s="324"/>
      <c r="H416" s="324"/>
      <c r="I416" s="324"/>
      <c r="J416" s="325">
        <f>14/C416</f>
        <v>6.2868667197053698</v>
      </c>
      <c r="K416" s="326">
        <f>Sheet1!$A$3*1.8/C416</f>
        <v>0.80831143539068995</v>
      </c>
      <c r="L416" s="325">
        <v>0.95</v>
      </c>
      <c r="M416" s="325">
        <v>2.2999999999999998</v>
      </c>
      <c r="N416" s="325"/>
      <c r="O416" s="325">
        <v>2.2000000000000002</v>
      </c>
      <c r="P416" s="325"/>
      <c r="Q416" s="327"/>
      <c r="R416" s="327"/>
    </row>
    <row r="417" spans="1:23" s="242" customFormat="1">
      <c r="A417" s="242" t="s">
        <v>1276</v>
      </c>
      <c r="B417" s="242" t="s">
        <v>1258</v>
      </c>
      <c r="C417" s="322">
        <v>2.3460000000000001</v>
      </c>
      <c r="D417" s="322"/>
      <c r="E417" s="322"/>
      <c r="F417" s="323"/>
      <c r="G417" s="324"/>
      <c r="H417" s="324"/>
      <c r="I417" s="324"/>
      <c r="J417" s="281">
        <f>IF(VLOOKUP(W417,材料信息更新!$B:$C,2,0)&gt;0,VLOOKUP(W417,材料信息更新!$B:$C,2,0),VLOOKUP(W413,材料信息更新!$B:$C,2,0))+1.3</f>
        <v>4.93</v>
      </c>
      <c r="K417" s="326">
        <f>Sheet1!$A$3*1.4/C417</f>
        <v>0.59676044330775802</v>
      </c>
      <c r="L417" s="325">
        <v>0.95</v>
      </c>
      <c r="M417" s="325">
        <v>2.2999999999999998</v>
      </c>
      <c r="N417" s="325"/>
      <c r="O417" s="325">
        <v>2.2000000000000002</v>
      </c>
      <c r="P417" s="325"/>
      <c r="Q417" s="327"/>
      <c r="R417" s="327"/>
      <c r="W417" s="242" t="s">
        <v>391</v>
      </c>
    </row>
    <row r="418" spans="1:23" s="242" customFormat="1">
      <c r="A418" s="242" t="s">
        <v>1277</v>
      </c>
      <c r="B418" s="242" t="s">
        <v>1258</v>
      </c>
      <c r="C418" s="322">
        <f>437*105*5*7.85/1000000</f>
        <v>1.80098625</v>
      </c>
      <c r="D418" s="322">
        <f>437*105*2/1000000</f>
        <v>9.1770000000000004E-2</v>
      </c>
      <c r="E418" s="322"/>
      <c r="F418" s="323"/>
      <c r="G418" s="324"/>
      <c r="H418" s="324"/>
      <c r="I418" s="324"/>
      <c r="J418" s="325">
        <f>14/C418</f>
        <v>7.7735185374124898</v>
      </c>
      <c r="K418" s="326">
        <f>Sheet1!$A$3*1.8/C418</f>
        <v>0.99945238338160503</v>
      </c>
      <c r="L418" s="325">
        <v>0.95</v>
      </c>
      <c r="M418" s="325">
        <v>2.2999999999999998</v>
      </c>
      <c r="N418" s="325"/>
      <c r="O418" s="325">
        <v>2.2000000000000002</v>
      </c>
      <c r="P418" s="325"/>
      <c r="Q418" s="327"/>
      <c r="R418" s="327"/>
      <c r="W418" s="242" t="s">
        <v>391</v>
      </c>
    </row>
    <row r="419" spans="1:23" s="242" customFormat="1">
      <c r="C419" s="322"/>
      <c r="D419" s="322"/>
      <c r="E419" s="322"/>
      <c r="F419" s="323"/>
      <c r="G419" s="324"/>
      <c r="H419" s="324"/>
      <c r="I419" s="324"/>
      <c r="J419" s="325"/>
      <c r="K419" s="326"/>
      <c r="L419" s="325"/>
      <c r="M419" s="325"/>
      <c r="N419" s="325"/>
      <c r="O419" s="325"/>
      <c r="P419" s="325"/>
      <c r="Q419" s="327"/>
      <c r="R419" s="327"/>
    </row>
    <row r="420" spans="1:23" s="242" customFormat="1">
      <c r="C420" s="322"/>
      <c r="D420" s="322"/>
      <c r="E420" s="322"/>
      <c r="F420" s="323"/>
      <c r="G420" s="324"/>
      <c r="H420" s="324"/>
      <c r="I420" s="324"/>
      <c r="J420" s="325"/>
      <c r="K420" s="326"/>
      <c r="L420" s="325"/>
      <c r="M420" s="325"/>
      <c r="N420" s="325"/>
      <c r="O420" s="325"/>
      <c r="P420" s="325"/>
      <c r="Q420" s="327"/>
      <c r="R420" s="327"/>
    </row>
    <row r="421" spans="1:23" s="242" customFormat="1">
      <c r="C421" s="322"/>
      <c r="D421" s="322"/>
      <c r="E421" s="322"/>
      <c r="F421" s="323"/>
      <c r="G421" s="324"/>
      <c r="H421" s="324"/>
      <c r="I421" s="324"/>
      <c r="J421" s="325"/>
      <c r="K421" s="326"/>
      <c r="L421" s="325"/>
      <c r="M421" s="325"/>
      <c r="N421" s="325"/>
      <c r="O421" s="325"/>
      <c r="P421" s="325"/>
      <c r="Q421" s="327"/>
      <c r="R421" s="327"/>
    </row>
    <row r="422" spans="1:23" s="242" customFormat="1">
      <c r="A422" s="242" t="s">
        <v>635</v>
      </c>
      <c r="C422" s="322"/>
      <c r="D422" s="322"/>
      <c r="E422" s="322"/>
      <c r="F422" s="323"/>
      <c r="G422" s="324"/>
      <c r="H422" s="324"/>
      <c r="I422" s="324"/>
      <c r="J422" s="325"/>
      <c r="K422" s="326"/>
      <c r="L422" s="325"/>
      <c r="M422" s="325"/>
      <c r="N422" s="325"/>
      <c r="O422" s="325"/>
      <c r="P422" s="325"/>
      <c r="Q422" s="327"/>
      <c r="R422" s="327"/>
    </row>
    <row r="423" spans="1:23" s="242" customFormat="1">
      <c r="A423" s="242" t="s">
        <v>636</v>
      </c>
      <c r="B423" s="242" t="s">
        <v>1258</v>
      </c>
      <c r="C423" s="346">
        <v>3.56</v>
      </c>
      <c r="D423" s="347">
        <v>0.23</v>
      </c>
      <c r="E423" s="322"/>
      <c r="F423" s="323"/>
      <c r="G423" s="324"/>
      <c r="H423" s="324"/>
      <c r="I423" s="324"/>
      <c r="J423" s="325">
        <f>32/C423</f>
        <v>8.9887640449438209</v>
      </c>
      <c r="K423" s="326">
        <f>Sheet1!$A$3*3.4/C423</f>
        <v>0.95505617977528101</v>
      </c>
      <c r="L423" s="325">
        <v>0.95</v>
      </c>
      <c r="M423" s="325">
        <v>2.2999999999999998</v>
      </c>
      <c r="N423" s="325"/>
      <c r="O423" s="325">
        <v>2.2000000000000002</v>
      </c>
      <c r="P423" s="325"/>
      <c r="Q423" s="327"/>
      <c r="R423" s="327"/>
    </row>
    <row r="424" spans="1:23" s="242" customFormat="1">
      <c r="A424" s="242" t="s">
        <v>1278</v>
      </c>
      <c r="B424" s="242" t="s">
        <v>1258</v>
      </c>
      <c r="C424" s="342">
        <f>(236*348*3*7.85/1000000+2.16*0.05+0.005)*1</f>
        <v>2.0471143999999999</v>
      </c>
      <c r="D424" s="347">
        <v>0.23</v>
      </c>
      <c r="E424" s="322"/>
      <c r="F424" s="323"/>
      <c r="G424" s="324"/>
      <c r="H424" s="324"/>
      <c r="I424" s="324"/>
      <c r="J424" s="325">
        <f>J423</f>
        <v>8.9887640449438209</v>
      </c>
      <c r="K424" s="326">
        <f>Sheet1!$A$3*K423</f>
        <v>0.95505617977528101</v>
      </c>
      <c r="L424" s="325">
        <v>0.95</v>
      </c>
      <c r="M424" s="325">
        <v>2.2999999999999998</v>
      </c>
      <c r="N424" s="325"/>
      <c r="O424" s="325">
        <v>2.2000000000000002</v>
      </c>
      <c r="P424" s="325"/>
      <c r="Q424" s="327"/>
      <c r="R424" s="327"/>
    </row>
    <row r="425" spans="1:23" s="242" customFormat="1">
      <c r="C425" s="322"/>
      <c r="D425" s="322"/>
      <c r="E425" s="322"/>
      <c r="F425" s="323"/>
      <c r="G425" s="324"/>
      <c r="H425" s="324"/>
      <c r="I425" s="324"/>
      <c r="J425" s="325"/>
      <c r="K425" s="326"/>
      <c r="L425" s="325"/>
      <c r="M425" s="325"/>
      <c r="N425" s="325"/>
      <c r="O425" s="325"/>
      <c r="P425" s="325"/>
      <c r="Q425" s="327"/>
      <c r="R425" s="327"/>
    </row>
    <row r="426" spans="1:23" s="242" customFormat="1">
      <c r="C426" s="322"/>
      <c r="D426" s="322"/>
      <c r="E426" s="322"/>
      <c r="F426" s="323"/>
      <c r="G426" s="324"/>
      <c r="H426" s="324"/>
      <c r="I426" s="324"/>
      <c r="J426" s="325"/>
      <c r="K426" s="326"/>
      <c r="L426" s="325"/>
      <c r="M426" s="325"/>
      <c r="N426" s="325"/>
      <c r="O426" s="325"/>
      <c r="P426" s="325"/>
      <c r="Q426" s="327"/>
      <c r="R426" s="327"/>
    </row>
    <row r="427" spans="1:23" s="242" customFormat="1">
      <c r="C427" s="322"/>
      <c r="D427" s="322"/>
      <c r="E427" s="322"/>
      <c r="F427" s="323"/>
      <c r="G427" s="324"/>
      <c r="H427" s="324"/>
      <c r="I427" s="324"/>
      <c r="J427" s="325"/>
      <c r="K427" s="326"/>
      <c r="L427" s="325"/>
      <c r="M427" s="325"/>
      <c r="N427" s="325"/>
      <c r="O427" s="325"/>
      <c r="P427" s="325"/>
      <c r="Q427" s="327"/>
      <c r="R427" s="327"/>
    </row>
    <row r="428" spans="1:23" s="242" customFormat="1">
      <c r="C428" s="322"/>
      <c r="D428" s="322"/>
      <c r="E428" s="322"/>
      <c r="F428" s="323"/>
      <c r="G428" s="324"/>
      <c r="H428" s="324"/>
      <c r="I428" s="324"/>
      <c r="J428" s="325"/>
      <c r="K428" s="326"/>
      <c r="L428" s="325"/>
      <c r="M428" s="325"/>
      <c r="N428" s="325"/>
      <c r="O428" s="325"/>
      <c r="P428" s="325"/>
      <c r="Q428" s="327"/>
      <c r="R428" s="327"/>
    </row>
    <row r="429" spans="1:23" s="242" customFormat="1">
      <c r="C429" s="322"/>
      <c r="D429" s="322"/>
      <c r="E429" s="322"/>
      <c r="F429" s="323"/>
      <c r="G429" s="324"/>
      <c r="H429" s="324"/>
      <c r="I429" s="324"/>
      <c r="J429" s="325"/>
      <c r="K429" s="326"/>
      <c r="L429" s="325"/>
      <c r="M429" s="325"/>
      <c r="N429" s="325"/>
      <c r="O429" s="325"/>
      <c r="P429" s="325"/>
      <c r="Q429" s="327"/>
      <c r="R429" s="327"/>
    </row>
    <row r="430" spans="1:23" s="242" customFormat="1">
      <c r="C430" s="322"/>
      <c r="D430" s="322"/>
      <c r="E430" s="322"/>
      <c r="F430" s="323"/>
      <c r="G430" s="324"/>
      <c r="H430" s="324"/>
      <c r="I430" s="324"/>
      <c r="J430" s="325"/>
      <c r="K430" s="326"/>
      <c r="L430" s="325"/>
      <c r="M430" s="325"/>
      <c r="N430" s="325"/>
      <c r="O430" s="325"/>
      <c r="P430" s="325"/>
      <c r="Q430" s="327"/>
      <c r="R430" s="327"/>
    </row>
    <row r="431" spans="1:23" s="242" customFormat="1">
      <c r="A431" s="242" t="s">
        <v>291</v>
      </c>
      <c r="C431" s="322"/>
      <c r="D431" s="322"/>
      <c r="E431" s="322"/>
      <c r="F431" s="323"/>
      <c r="G431" s="324"/>
      <c r="H431" s="324"/>
      <c r="I431" s="324"/>
      <c r="J431" s="325"/>
      <c r="K431" s="326"/>
      <c r="L431" s="325"/>
      <c r="M431" s="325"/>
      <c r="N431" s="325"/>
      <c r="O431" s="325"/>
      <c r="P431" s="325"/>
      <c r="Q431" s="327"/>
      <c r="R431" s="327"/>
    </row>
    <row r="432" spans="1:23" s="242" customFormat="1">
      <c r="A432" s="242" t="s">
        <v>1279</v>
      </c>
      <c r="C432" s="322">
        <v>0.12717000000000001</v>
      </c>
      <c r="D432" s="322"/>
      <c r="E432" s="322">
        <f>1.2/C432</f>
        <v>9.4361877801368195</v>
      </c>
      <c r="F432" s="323">
        <v>1</v>
      </c>
      <c r="G432" s="324"/>
      <c r="H432" s="324"/>
      <c r="I432" s="324"/>
      <c r="J432" s="325"/>
      <c r="K432" s="326"/>
      <c r="L432" s="325"/>
      <c r="M432" s="325"/>
      <c r="N432" s="325"/>
      <c r="O432" s="325"/>
      <c r="P432" s="325"/>
      <c r="Q432" s="327"/>
      <c r="R432" s="327"/>
    </row>
    <row r="433" spans="1:18" s="242" customFormat="1">
      <c r="A433" s="242" t="s">
        <v>1280</v>
      </c>
      <c r="C433" s="322">
        <v>0.38151000000000002</v>
      </c>
      <c r="D433" s="322"/>
      <c r="E433" s="322">
        <f>2.5/C433</f>
        <v>6.5529081806505696</v>
      </c>
      <c r="F433" s="323">
        <v>3</v>
      </c>
      <c r="G433" s="324"/>
      <c r="H433" s="324"/>
      <c r="I433" s="324"/>
      <c r="J433" s="325"/>
      <c r="K433" s="326"/>
      <c r="L433" s="325"/>
      <c r="M433" s="325"/>
      <c r="N433" s="325"/>
      <c r="O433" s="325"/>
      <c r="P433" s="325"/>
      <c r="Q433" s="327"/>
      <c r="R433" s="327"/>
    </row>
    <row r="434" spans="1:18" s="242" customFormat="1">
      <c r="A434" s="242" t="s">
        <v>1281</v>
      </c>
      <c r="C434" s="322">
        <v>8.6899500000000005E-2</v>
      </c>
      <c r="D434" s="322"/>
      <c r="E434" s="322">
        <f>1.2/C434</f>
        <v>13.8090552880051</v>
      </c>
      <c r="F434" s="323">
        <v>1</v>
      </c>
      <c r="G434" s="324"/>
      <c r="H434" s="324"/>
      <c r="I434" s="324"/>
      <c r="J434" s="325"/>
      <c r="K434" s="326"/>
      <c r="L434" s="325"/>
      <c r="M434" s="325"/>
      <c r="N434" s="325"/>
      <c r="O434" s="325"/>
      <c r="P434" s="325"/>
      <c r="Q434" s="327"/>
      <c r="R434" s="327"/>
    </row>
    <row r="435" spans="1:18" s="242" customFormat="1">
      <c r="A435" s="242" t="s">
        <v>1282</v>
      </c>
      <c r="C435" s="322">
        <v>0.2606985</v>
      </c>
      <c r="D435" s="322"/>
      <c r="E435" s="322">
        <f>2.5/C435</f>
        <v>9.5896217277813296</v>
      </c>
      <c r="F435" s="323">
        <v>3</v>
      </c>
      <c r="G435" s="324"/>
      <c r="H435" s="324"/>
      <c r="I435" s="324"/>
      <c r="J435" s="325"/>
      <c r="K435" s="326"/>
      <c r="L435" s="325"/>
      <c r="M435" s="325"/>
      <c r="N435" s="325"/>
      <c r="O435" s="325"/>
      <c r="P435" s="325"/>
      <c r="Q435" s="327"/>
      <c r="R435" s="327"/>
    </row>
    <row r="436" spans="1:18" s="242" customFormat="1">
      <c r="A436" s="242" t="s">
        <v>1283</v>
      </c>
      <c r="C436" s="322">
        <v>0.13300000000000001</v>
      </c>
      <c r="D436" s="322"/>
      <c r="E436" s="322">
        <f>1.2/C436</f>
        <v>9.0225563909774404</v>
      </c>
      <c r="F436" s="323">
        <v>1</v>
      </c>
      <c r="G436" s="324"/>
      <c r="H436" s="324"/>
      <c r="I436" s="324"/>
      <c r="J436" s="325"/>
      <c r="K436" s="326"/>
      <c r="L436" s="325"/>
      <c r="M436" s="325"/>
      <c r="N436" s="325"/>
      <c r="O436" s="325"/>
      <c r="P436" s="325"/>
      <c r="Q436" s="327"/>
      <c r="R436" s="327"/>
    </row>
    <row r="437" spans="1:18" s="242" customFormat="1">
      <c r="A437" s="242" t="s">
        <v>1284</v>
      </c>
      <c r="C437" s="322">
        <v>0.39700000000000002</v>
      </c>
      <c r="D437" s="322"/>
      <c r="E437" s="322">
        <f>2.5/C437</f>
        <v>6.2972292191435804</v>
      </c>
      <c r="F437" s="323">
        <v>3</v>
      </c>
      <c r="G437" s="324"/>
      <c r="H437" s="324"/>
      <c r="I437" s="324"/>
      <c r="J437" s="325"/>
      <c r="K437" s="326"/>
      <c r="L437" s="325"/>
      <c r="M437" s="325"/>
      <c r="N437" s="325"/>
      <c r="O437" s="325"/>
      <c r="P437" s="325"/>
      <c r="Q437" s="327"/>
      <c r="R437" s="327"/>
    </row>
    <row r="438" spans="1:18" s="242" customFormat="1">
      <c r="A438" s="243" t="s">
        <v>640</v>
      </c>
      <c r="C438" s="348">
        <f>200*89*7.85/1000000</f>
        <v>0.13972999999999999</v>
      </c>
      <c r="D438" s="322"/>
      <c r="E438" s="322">
        <f>1.3/C438</f>
        <v>9.3036570528877096</v>
      </c>
      <c r="F438" s="323">
        <v>1</v>
      </c>
      <c r="G438" s="324"/>
      <c r="H438" s="324"/>
      <c r="I438" s="324"/>
      <c r="J438" s="325"/>
      <c r="K438" s="326"/>
      <c r="L438" s="325"/>
      <c r="M438" s="325"/>
      <c r="N438" s="325"/>
      <c r="O438" s="325"/>
      <c r="P438" s="325"/>
      <c r="Q438" s="327"/>
      <c r="R438" s="327"/>
    </row>
    <row r="439" spans="1:18" s="242" customFormat="1">
      <c r="A439" s="243" t="s">
        <v>642</v>
      </c>
      <c r="C439" s="348">
        <f>200*89*3*7.85/1000000</f>
        <v>0.41919000000000001</v>
      </c>
      <c r="D439" s="322"/>
      <c r="E439" s="322">
        <f>2.6/C439</f>
        <v>6.2024380352584796</v>
      </c>
      <c r="F439" s="323">
        <v>3</v>
      </c>
      <c r="G439" s="324"/>
      <c r="H439" s="324"/>
      <c r="I439" s="324"/>
      <c r="J439" s="325"/>
      <c r="K439" s="326"/>
      <c r="L439" s="325"/>
      <c r="M439" s="325"/>
      <c r="N439" s="325"/>
      <c r="O439" s="325"/>
      <c r="P439" s="325"/>
      <c r="Q439" s="327"/>
      <c r="R439" s="327"/>
    </row>
    <row r="440" spans="1:18" s="242" customFormat="1">
      <c r="C440" s="322"/>
      <c r="D440" s="322"/>
      <c r="E440" s="322"/>
      <c r="F440" s="323"/>
      <c r="G440" s="324"/>
      <c r="H440" s="324"/>
      <c r="I440" s="324"/>
      <c r="J440" s="325"/>
      <c r="K440" s="326"/>
      <c r="L440" s="325"/>
      <c r="M440" s="325"/>
      <c r="N440" s="325"/>
      <c r="O440" s="325"/>
      <c r="P440" s="325"/>
      <c r="Q440" s="327"/>
      <c r="R440" s="327"/>
    </row>
    <row r="441" spans="1:18" s="242" customFormat="1">
      <c r="C441" s="322"/>
      <c r="D441" s="322"/>
      <c r="E441" s="322"/>
      <c r="F441" s="323"/>
      <c r="G441" s="324"/>
      <c r="H441" s="324"/>
      <c r="I441" s="324"/>
      <c r="J441" s="325"/>
      <c r="K441" s="326"/>
      <c r="L441" s="325"/>
      <c r="M441" s="325"/>
      <c r="N441" s="325"/>
      <c r="O441" s="325"/>
      <c r="P441" s="325"/>
      <c r="Q441" s="327"/>
      <c r="R441" s="327"/>
    </row>
    <row r="442" spans="1:18" s="242" customFormat="1">
      <c r="C442" s="322"/>
      <c r="D442" s="322"/>
      <c r="E442" s="322"/>
      <c r="F442" s="323"/>
      <c r="G442" s="324"/>
      <c r="H442" s="324"/>
      <c r="I442" s="324"/>
      <c r="J442" s="325"/>
      <c r="K442" s="326"/>
      <c r="L442" s="325"/>
      <c r="M442" s="325"/>
      <c r="N442" s="325"/>
      <c r="O442" s="325"/>
      <c r="P442" s="325"/>
      <c r="Q442" s="327"/>
      <c r="R442" s="327"/>
    </row>
    <row r="443" spans="1:18" s="242" customFormat="1">
      <c r="A443" s="242" t="s">
        <v>1285</v>
      </c>
      <c r="C443" s="322"/>
      <c r="D443" s="322"/>
      <c r="E443" s="322"/>
      <c r="F443" s="323"/>
      <c r="G443" s="324"/>
      <c r="H443" s="324"/>
      <c r="I443" s="324"/>
      <c r="J443" s="325"/>
      <c r="K443" s="326"/>
      <c r="L443" s="325"/>
      <c r="M443" s="325"/>
      <c r="N443" s="325"/>
      <c r="O443" s="325"/>
      <c r="P443" s="325"/>
      <c r="Q443" s="327"/>
      <c r="R443" s="327"/>
    </row>
    <row r="444" spans="1:18" s="242" customFormat="1">
      <c r="A444" s="242" t="s">
        <v>1286</v>
      </c>
      <c r="C444" s="322">
        <v>0.23</v>
      </c>
      <c r="D444" s="322"/>
      <c r="E444" s="322">
        <f>VLOOKUP(A444,标准件价格!C:D,2,0)/C444</f>
        <v>9.5652173913043494</v>
      </c>
      <c r="F444" s="323"/>
      <c r="G444" s="324"/>
      <c r="H444" s="324"/>
      <c r="I444" s="324"/>
      <c r="J444" s="349"/>
      <c r="K444" s="350"/>
      <c r="L444" s="325"/>
      <c r="M444" s="325"/>
      <c r="N444" s="325"/>
      <c r="O444" s="325"/>
      <c r="P444" s="325"/>
      <c r="Q444" s="327"/>
      <c r="R444" s="327"/>
    </row>
    <row r="445" spans="1:18" s="242" customFormat="1">
      <c r="A445" s="242" t="s">
        <v>1034</v>
      </c>
      <c r="C445" s="322">
        <v>0.09</v>
      </c>
      <c r="D445" s="322"/>
      <c r="E445" s="322">
        <f>0.6/C445</f>
        <v>6.6666666666666696</v>
      </c>
      <c r="F445" s="323"/>
      <c r="G445" s="324"/>
      <c r="H445" s="324"/>
      <c r="I445" s="324"/>
      <c r="J445" s="349"/>
      <c r="K445" s="350"/>
      <c r="L445" s="325"/>
      <c r="M445" s="325"/>
      <c r="N445" s="325"/>
      <c r="O445" s="325"/>
      <c r="P445" s="325"/>
      <c r="Q445" s="327"/>
      <c r="R445" s="327"/>
    </row>
    <row r="446" spans="1:18" s="242" customFormat="1">
      <c r="A446" s="242" t="s">
        <v>1287</v>
      </c>
      <c r="B446" s="242" t="s">
        <v>1288</v>
      </c>
      <c r="C446" s="351">
        <v>0.4</v>
      </c>
      <c r="D446" s="322"/>
      <c r="E446" s="322">
        <f>VLOOKUP(A446,标准件价格!C:D,2,0)/C446</f>
        <v>5</v>
      </c>
      <c r="F446" s="323"/>
      <c r="G446" s="324"/>
      <c r="H446" s="324"/>
      <c r="I446" s="324"/>
      <c r="J446" s="349"/>
      <c r="K446" s="350"/>
      <c r="L446" s="325"/>
      <c r="M446" s="325"/>
      <c r="N446" s="325"/>
      <c r="O446" s="325"/>
      <c r="P446" s="325"/>
      <c r="Q446" s="327"/>
      <c r="R446" s="327"/>
    </row>
    <row r="447" spans="1:18" s="242" customFormat="1">
      <c r="A447" s="242" t="s">
        <v>1289</v>
      </c>
      <c r="C447" s="322">
        <v>0.25</v>
      </c>
      <c r="D447" s="322"/>
      <c r="E447" s="322">
        <f>VLOOKUP(A447,标准件价格!C:D,2,0)/C447</f>
        <v>4</v>
      </c>
      <c r="F447" s="323"/>
      <c r="G447" s="324"/>
      <c r="H447" s="324"/>
      <c r="I447" s="324"/>
      <c r="J447" s="349"/>
      <c r="K447" s="350"/>
      <c r="L447" s="325"/>
      <c r="M447" s="325"/>
      <c r="N447" s="325"/>
      <c r="O447" s="325"/>
      <c r="P447" s="325"/>
      <c r="Q447" s="327"/>
      <c r="R447" s="327"/>
    </row>
    <row r="448" spans="1:18" s="242" customFormat="1">
      <c r="A448" s="242" t="s">
        <v>638</v>
      </c>
      <c r="C448" s="322">
        <v>0.17</v>
      </c>
      <c r="D448" s="322"/>
      <c r="E448" s="322">
        <f>VLOOKUP(A448,标准件价格!C:D,2,0)/C448</f>
        <v>7.9411764705882399</v>
      </c>
      <c r="F448" s="323"/>
      <c r="G448" s="324"/>
      <c r="H448" s="324"/>
      <c r="I448" s="324"/>
      <c r="J448" s="349"/>
      <c r="K448" s="350"/>
      <c r="L448" s="325"/>
      <c r="M448" s="325"/>
      <c r="N448" s="325"/>
      <c r="O448" s="325"/>
      <c r="P448" s="325"/>
      <c r="Q448" s="327"/>
      <c r="R448" s="327"/>
    </row>
    <row r="449" spans="1:18" s="242" customFormat="1">
      <c r="A449" s="242" t="s">
        <v>1290</v>
      </c>
      <c r="B449" s="242" t="s">
        <v>1291</v>
      </c>
      <c r="C449" s="322">
        <v>0.4</v>
      </c>
      <c r="D449" s="322"/>
      <c r="E449" s="322">
        <f>VLOOKUP(A449,标准件价格!C:D,2,0)/C449</f>
        <v>9.625</v>
      </c>
      <c r="F449" s="323"/>
      <c r="G449" s="324"/>
      <c r="H449" s="324"/>
      <c r="I449" s="324"/>
      <c r="J449" s="349"/>
      <c r="K449" s="350"/>
      <c r="L449" s="325"/>
      <c r="M449" s="325"/>
      <c r="N449" s="325"/>
      <c r="O449" s="325"/>
      <c r="P449" s="325"/>
      <c r="Q449" s="327"/>
      <c r="R449" s="327"/>
    </row>
    <row r="450" spans="1:18" s="242" customFormat="1">
      <c r="A450" s="242" t="s">
        <v>1292</v>
      </c>
      <c r="B450" s="242" t="s">
        <v>1293</v>
      </c>
      <c r="C450" s="322">
        <v>1.4E-2</v>
      </c>
      <c r="D450" s="322"/>
      <c r="E450" s="322">
        <f>VLOOKUP(A450,标准件价格!C:D,2,0)/C450</f>
        <v>15.3571428571429</v>
      </c>
      <c r="F450" s="323"/>
      <c r="G450" s="324"/>
      <c r="H450" s="324"/>
      <c r="I450" s="324"/>
      <c r="J450" s="349"/>
      <c r="K450" s="350"/>
      <c r="L450" s="325"/>
      <c r="M450" s="325"/>
      <c r="N450" s="325"/>
      <c r="O450" s="325"/>
      <c r="P450" s="325"/>
      <c r="Q450" s="327"/>
      <c r="R450" s="327"/>
    </row>
    <row r="451" spans="1:18" s="242" customFormat="1">
      <c r="A451" s="242" t="s">
        <v>1294</v>
      </c>
      <c r="B451" s="242" t="s">
        <v>1295</v>
      </c>
      <c r="C451" s="322">
        <v>1.2999999999999999E-2</v>
      </c>
      <c r="D451" s="322"/>
      <c r="E451" s="322">
        <f>VLOOKUP(A451,标准件价格!C:D,2,0)/C451</f>
        <v>65.384615384615401</v>
      </c>
      <c r="F451" s="323"/>
      <c r="G451" s="324"/>
      <c r="H451" s="324"/>
      <c r="I451" s="324"/>
      <c r="J451" s="349"/>
      <c r="K451" s="350"/>
      <c r="L451" s="325"/>
      <c r="M451" s="325"/>
      <c r="N451" s="325"/>
      <c r="O451" s="325"/>
      <c r="P451" s="325"/>
      <c r="Q451" s="327"/>
      <c r="R451" s="327"/>
    </row>
    <row r="452" spans="1:18" s="242" customFormat="1">
      <c r="A452" s="242" t="s">
        <v>1296</v>
      </c>
      <c r="B452" s="242" t="s">
        <v>1297</v>
      </c>
      <c r="C452" s="322">
        <v>7.0000000000000007E-2</v>
      </c>
      <c r="D452" s="322"/>
      <c r="E452" s="322">
        <f>VLOOKUP(A452,标准件价格!C:D,2,0)/C452</f>
        <v>11.8571428571429</v>
      </c>
      <c r="F452" s="323"/>
      <c r="G452" s="324"/>
      <c r="H452" s="324"/>
      <c r="I452" s="324"/>
      <c r="J452" s="349"/>
      <c r="K452" s="350"/>
      <c r="L452" s="325"/>
      <c r="M452" s="325"/>
      <c r="N452" s="325"/>
      <c r="O452" s="325"/>
      <c r="P452" s="325"/>
      <c r="Q452" s="327"/>
      <c r="R452" s="327"/>
    </row>
    <row r="453" spans="1:18" s="242" customFormat="1">
      <c r="A453" s="242" t="s">
        <v>1298</v>
      </c>
      <c r="B453" s="242">
        <v>0.03</v>
      </c>
      <c r="C453" s="322">
        <v>0.03</v>
      </c>
      <c r="D453" s="322"/>
      <c r="E453" s="322">
        <f>VLOOKUP(A453,标准件价格!C:D,2,0)/C453</f>
        <v>10.6666666666667</v>
      </c>
      <c r="F453" s="323"/>
      <c r="G453" s="324"/>
      <c r="H453" s="324"/>
      <c r="I453" s="324"/>
      <c r="J453" s="349"/>
      <c r="K453" s="350"/>
      <c r="L453" s="325"/>
      <c r="M453" s="325"/>
      <c r="N453" s="325"/>
      <c r="O453" s="325"/>
      <c r="P453" s="325"/>
      <c r="Q453" s="327"/>
      <c r="R453" s="327"/>
    </row>
    <row r="454" spans="1:18" s="242" customFormat="1">
      <c r="A454" s="242" t="s">
        <v>1299</v>
      </c>
      <c r="C454" s="265">
        <v>0.08</v>
      </c>
      <c r="D454" s="322"/>
      <c r="E454" s="322">
        <f>VLOOKUP(A454,标准件价格!C:D,2,0)/C454</f>
        <v>7.5</v>
      </c>
      <c r="F454" s="323"/>
      <c r="G454" s="324"/>
      <c r="H454" s="324"/>
      <c r="I454" s="324"/>
      <c r="J454" s="349"/>
      <c r="K454" s="350"/>
      <c r="L454" s="325"/>
      <c r="M454" s="325"/>
      <c r="N454" s="325"/>
      <c r="O454" s="325"/>
      <c r="P454" s="325"/>
      <c r="Q454" s="327"/>
      <c r="R454" s="327"/>
    </row>
    <row r="455" spans="1:18" s="242" customFormat="1">
      <c r="A455" s="242" t="s">
        <v>1300</v>
      </c>
      <c r="C455" s="265">
        <v>0.13600000000000001</v>
      </c>
      <c r="D455" s="322"/>
      <c r="E455" s="322">
        <f>VLOOKUP(A455,标准件价格!C:D,2,0)/C455</f>
        <v>16.176470588235301</v>
      </c>
      <c r="F455" s="323"/>
      <c r="G455" s="324"/>
      <c r="H455" s="324"/>
      <c r="I455" s="324"/>
      <c r="J455" s="349"/>
      <c r="K455" s="350"/>
      <c r="L455" s="325"/>
      <c r="M455" s="325"/>
      <c r="N455" s="325"/>
      <c r="O455" s="325"/>
      <c r="P455" s="325"/>
      <c r="Q455" s="327"/>
      <c r="R455" s="327"/>
    </row>
    <row r="456" spans="1:18" s="242" customFormat="1">
      <c r="A456" s="242" t="s">
        <v>1301</v>
      </c>
      <c r="C456" s="322">
        <v>0.08</v>
      </c>
      <c r="D456" s="322"/>
      <c r="E456" s="322">
        <f>VLOOKUP(A456,标准件价格!C:D,2,0)/C456</f>
        <v>7.875</v>
      </c>
      <c r="F456" s="323"/>
      <c r="G456" s="324"/>
      <c r="H456" s="324"/>
      <c r="I456" s="324"/>
      <c r="J456" s="325"/>
      <c r="K456" s="326"/>
      <c r="L456" s="325"/>
      <c r="M456" s="325"/>
      <c r="N456" s="325"/>
      <c r="O456" s="325"/>
      <c r="P456" s="325"/>
      <c r="Q456" s="327"/>
      <c r="R456" s="327"/>
    </row>
    <row r="457" spans="1:18" s="242" customFormat="1">
      <c r="A457" s="242" t="s">
        <v>327</v>
      </c>
      <c r="C457" s="322">
        <v>0.03</v>
      </c>
      <c r="D457" s="322"/>
      <c r="E457" s="322">
        <f>VLOOKUP(A457,标准件价格!C:D,2,0)/C457</f>
        <v>6.5333333333333297</v>
      </c>
      <c r="F457" s="323"/>
      <c r="G457" s="324"/>
      <c r="H457" s="324"/>
      <c r="I457" s="324"/>
      <c r="J457" s="325"/>
      <c r="K457" s="326"/>
      <c r="L457" s="325"/>
      <c r="M457" s="325"/>
      <c r="N457" s="325"/>
      <c r="O457" s="325"/>
      <c r="P457" s="325"/>
      <c r="Q457" s="327"/>
      <c r="R457" s="327"/>
    </row>
    <row r="458" spans="1:18" s="242" customFormat="1">
      <c r="A458" s="242" t="s">
        <v>1302</v>
      </c>
      <c r="C458" s="322">
        <v>2.9000000000000001E-2</v>
      </c>
      <c r="D458" s="322"/>
      <c r="E458" s="322">
        <f>VLOOKUP(A458,标准件价格!C:D,2,0)/C458</f>
        <v>8.6206896551724093</v>
      </c>
      <c r="F458" s="323"/>
      <c r="G458" s="324"/>
      <c r="H458" s="324"/>
      <c r="I458" s="324"/>
      <c r="J458" s="325"/>
      <c r="K458" s="326"/>
      <c r="L458" s="325"/>
      <c r="M458" s="325"/>
      <c r="N458" s="325"/>
      <c r="O458" s="325"/>
      <c r="P458" s="325"/>
      <c r="Q458" s="327"/>
      <c r="R458" s="327"/>
    </row>
    <row r="459" spans="1:18" s="242" customFormat="1">
      <c r="C459" s="322"/>
      <c r="D459" s="322"/>
      <c r="E459" s="322"/>
      <c r="F459" s="323"/>
      <c r="G459" s="324"/>
      <c r="H459" s="324"/>
      <c r="I459" s="324"/>
      <c r="J459" s="325"/>
      <c r="K459" s="326"/>
      <c r="L459" s="325"/>
      <c r="M459" s="325"/>
      <c r="N459" s="325"/>
      <c r="O459" s="325"/>
      <c r="P459" s="325"/>
      <c r="Q459" s="327"/>
      <c r="R459" s="327"/>
    </row>
    <row r="460" spans="1:18" s="242" customFormat="1">
      <c r="C460" s="322"/>
      <c r="D460" s="322"/>
      <c r="E460" s="322"/>
      <c r="F460" s="323"/>
      <c r="G460" s="324"/>
      <c r="H460" s="324"/>
      <c r="I460" s="324"/>
      <c r="J460" s="325"/>
      <c r="K460" s="326"/>
      <c r="L460" s="325"/>
      <c r="M460" s="325"/>
      <c r="N460" s="325"/>
      <c r="O460" s="325"/>
      <c r="P460" s="325"/>
      <c r="Q460" s="327"/>
      <c r="R460" s="327"/>
    </row>
    <row r="461" spans="1:18" s="242" customFormat="1">
      <c r="C461" s="322"/>
      <c r="D461" s="322"/>
      <c r="E461" s="322"/>
      <c r="F461" s="323"/>
      <c r="G461" s="324"/>
      <c r="H461" s="324"/>
      <c r="I461" s="324"/>
      <c r="J461" s="325"/>
      <c r="K461" s="326"/>
      <c r="L461" s="325"/>
      <c r="M461" s="325"/>
      <c r="N461" s="325"/>
      <c r="O461" s="325"/>
      <c r="P461" s="325"/>
      <c r="Q461" s="327"/>
      <c r="R461" s="327"/>
    </row>
    <row r="462" spans="1:18" s="242" customFormat="1">
      <c r="C462" s="322"/>
      <c r="D462" s="322"/>
      <c r="E462" s="322"/>
      <c r="F462" s="323"/>
      <c r="G462" s="324"/>
      <c r="H462" s="324"/>
      <c r="I462" s="324"/>
      <c r="J462" s="325"/>
      <c r="K462" s="326"/>
      <c r="L462" s="325"/>
      <c r="M462" s="325"/>
      <c r="N462" s="325"/>
      <c r="O462" s="325"/>
      <c r="P462" s="325"/>
      <c r="Q462" s="327"/>
      <c r="R462" s="327"/>
    </row>
    <row r="463" spans="1:18" s="242" customFormat="1">
      <c r="C463" s="322"/>
      <c r="D463" s="322"/>
      <c r="E463" s="322"/>
      <c r="F463" s="323"/>
      <c r="G463" s="324"/>
      <c r="H463" s="324"/>
      <c r="I463" s="324"/>
      <c r="J463" s="325"/>
      <c r="K463" s="326"/>
      <c r="L463" s="325"/>
      <c r="M463" s="325"/>
      <c r="N463" s="325"/>
      <c r="O463" s="325"/>
      <c r="P463" s="325"/>
      <c r="Q463" s="327"/>
      <c r="R463" s="327"/>
    </row>
    <row r="464" spans="1:18" s="242" customFormat="1">
      <c r="C464" s="322"/>
      <c r="D464" s="322"/>
      <c r="E464" s="322"/>
      <c r="F464" s="323"/>
      <c r="G464" s="324"/>
      <c r="H464" s="324"/>
      <c r="I464" s="324"/>
      <c r="J464" s="325"/>
      <c r="K464" s="326"/>
      <c r="L464" s="325"/>
      <c r="M464" s="325"/>
      <c r="N464" s="325"/>
      <c r="O464" s="325"/>
      <c r="P464" s="325"/>
      <c r="Q464" s="327"/>
      <c r="R464" s="327"/>
    </row>
    <row r="465" spans="1:24" s="242" customFormat="1">
      <c r="C465" s="322"/>
      <c r="D465" s="322"/>
      <c r="E465" s="322"/>
      <c r="F465" s="323"/>
      <c r="G465" s="324"/>
      <c r="H465" s="324"/>
      <c r="I465" s="324"/>
      <c r="J465" s="325"/>
      <c r="K465" s="326"/>
      <c r="L465" s="325"/>
      <c r="M465" s="325"/>
      <c r="N465" s="325"/>
      <c r="O465" s="325"/>
      <c r="P465" s="325"/>
      <c r="Q465" s="327"/>
      <c r="R465" s="327"/>
    </row>
    <row r="466" spans="1:24" s="242" customFormat="1">
      <c r="C466" s="322"/>
      <c r="D466" s="322"/>
      <c r="E466" s="322"/>
      <c r="F466" s="323"/>
      <c r="G466" s="324"/>
      <c r="H466" s="324"/>
      <c r="I466" s="324"/>
      <c r="J466" s="325"/>
      <c r="K466" s="326"/>
      <c r="L466" s="325"/>
      <c r="M466" s="325"/>
      <c r="N466" s="325"/>
      <c r="O466" s="325"/>
      <c r="P466" s="325"/>
      <c r="Q466" s="327"/>
      <c r="R466" s="327"/>
    </row>
    <row r="467" spans="1:24" s="242" customFormat="1">
      <c r="A467" s="242" t="s">
        <v>650</v>
      </c>
      <c r="C467" s="322"/>
      <c r="D467" s="322"/>
      <c r="E467" s="322"/>
      <c r="F467" s="323"/>
      <c r="G467" s="324"/>
      <c r="H467" s="324"/>
      <c r="I467" s="324"/>
      <c r="J467" s="325"/>
      <c r="K467" s="326" t="s">
        <v>1303</v>
      </c>
      <c r="L467" s="325"/>
      <c r="M467" s="325"/>
      <c r="N467" s="325"/>
      <c r="O467" s="325"/>
      <c r="P467" s="325"/>
      <c r="Q467" s="327"/>
      <c r="R467" s="327"/>
    </row>
    <row r="468" spans="1:24" s="242" customFormat="1">
      <c r="A468" s="352" t="s">
        <v>1304</v>
      </c>
      <c r="C468" s="346">
        <f>(384+245)*1000/2*3*7.85/1000000</f>
        <v>7.4064750000000004</v>
      </c>
      <c r="D468" s="346">
        <f>(384+245)*1000/2*2/1000000</f>
        <v>0.629</v>
      </c>
      <c r="E468" s="322"/>
      <c r="F468" s="323">
        <v>3</v>
      </c>
      <c r="G468" s="324"/>
      <c r="H468" s="324"/>
      <c r="I468" s="324"/>
      <c r="J468" s="281">
        <f>VLOOKUP(W468,材料信息更新!$B:$C,2,0)+1.7</f>
        <v>5.43</v>
      </c>
      <c r="K468" s="326">
        <f>Sheet1!$A$3*4.4</f>
        <v>4.4000000000000004</v>
      </c>
      <c r="L468" s="325">
        <v>0.95</v>
      </c>
      <c r="M468" s="325">
        <v>2.2999999999999998</v>
      </c>
      <c r="N468" s="325"/>
      <c r="O468" s="325">
        <v>2.2000000000000002</v>
      </c>
      <c r="P468" s="325"/>
      <c r="Q468" s="327"/>
      <c r="R468" s="327"/>
      <c r="W468" s="188" t="s">
        <v>1305</v>
      </c>
      <c r="X468" s="188"/>
    </row>
    <row r="469" spans="1:24" s="242" customFormat="1">
      <c r="A469" s="242" t="s">
        <v>1306</v>
      </c>
      <c r="C469" s="322">
        <f>(250+150)*1000/2*3*7.85/1000000</f>
        <v>4.71</v>
      </c>
      <c r="D469" s="322">
        <f>(250+150)*1000/2/1000000*2</f>
        <v>0.4</v>
      </c>
      <c r="E469" s="322"/>
      <c r="F469" s="323">
        <v>3</v>
      </c>
      <c r="G469" s="324"/>
      <c r="H469" s="324"/>
      <c r="I469" s="324"/>
      <c r="J469" s="281">
        <f>VLOOKUP(W469,材料信息更新!$B:$C,2,0)+1.7</f>
        <v>5.43</v>
      </c>
      <c r="K469" s="326">
        <f>Sheet1!$A$3*4.4</f>
        <v>4.4000000000000004</v>
      </c>
      <c r="L469" s="325">
        <v>0.95</v>
      </c>
      <c r="M469" s="325">
        <v>2.2999999999999998</v>
      </c>
      <c r="N469" s="325"/>
      <c r="O469" s="325">
        <v>2.2000000000000002</v>
      </c>
      <c r="P469" s="325"/>
      <c r="Q469" s="327"/>
      <c r="R469" s="327"/>
      <c r="W469" s="188" t="s">
        <v>1305</v>
      </c>
      <c r="X469" s="188"/>
    </row>
    <row r="470" spans="1:24" s="242" customFormat="1">
      <c r="A470" s="242" t="s">
        <v>1307</v>
      </c>
      <c r="C470" s="322">
        <f>(444+245)*1000/2*3*7.85/1000000*1000/1000</f>
        <v>8.1129750000000005</v>
      </c>
      <c r="D470" s="322">
        <f>(444+245)*1000/2*2/1000000*1000/1000</f>
        <v>0.68899999999999995</v>
      </c>
      <c r="E470" s="322"/>
      <c r="F470" s="323">
        <v>3</v>
      </c>
      <c r="G470" s="324"/>
      <c r="H470" s="324"/>
      <c r="I470" s="324"/>
      <c r="J470" s="281">
        <f>VLOOKUP(W470,材料信息更新!$B:$C,2,0)+1.7</f>
        <v>5.43</v>
      </c>
      <c r="K470" s="326">
        <f>Sheet1!$A$3*4.4</f>
        <v>4.4000000000000004</v>
      </c>
      <c r="L470" s="325">
        <v>0.95</v>
      </c>
      <c r="M470" s="325">
        <v>2.2999999999999998</v>
      </c>
      <c r="N470" s="325"/>
      <c r="O470" s="325">
        <v>2.2000000000000002</v>
      </c>
      <c r="P470" s="325"/>
      <c r="Q470" s="327"/>
      <c r="R470" s="327"/>
      <c r="W470" s="188" t="s">
        <v>1305</v>
      </c>
      <c r="X470" s="188"/>
    </row>
    <row r="471" spans="1:24" s="242" customFormat="1">
      <c r="A471" s="242" t="s">
        <v>1308</v>
      </c>
      <c r="C471" s="322">
        <v>5.0599999999999996</v>
      </c>
      <c r="D471" s="322">
        <v>0.378</v>
      </c>
      <c r="E471" s="322"/>
      <c r="F471" s="323">
        <v>1.5</v>
      </c>
      <c r="G471" s="324"/>
      <c r="H471" s="324"/>
      <c r="I471" s="324"/>
      <c r="J471" s="281">
        <f>VLOOKUP(W471,材料信息更新!$B:$C,2,0)+1.5</f>
        <v>5.58</v>
      </c>
      <c r="K471" s="326">
        <f>Sheet1!$A$3*4.5</f>
        <v>4.5</v>
      </c>
      <c r="L471" s="325">
        <v>0.95</v>
      </c>
      <c r="M471" s="325">
        <v>2.2999999999999998</v>
      </c>
      <c r="N471" s="325"/>
      <c r="O471" s="325">
        <v>2.2000000000000002</v>
      </c>
      <c r="P471" s="325"/>
      <c r="Q471" s="327"/>
      <c r="R471" s="327"/>
      <c r="W471" s="188" t="s">
        <v>1309</v>
      </c>
      <c r="X471" s="188"/>
    </row>
    <row r="472" spans="1:24" s="242" customFormat="1">
      <c r="A472" s="242" t="s">
        <v>1310</v>
      </c>
      <c r="C472" s="322">
        <v>6.69</v>
      </c>
      <c r="D472" s="322">
        <v>0.378</v>
      </c>
      <c r="E472" s="322"/>
      <c r="F472" s="323">
        <v>2</v>
      </c>
      <c r="G472" s="324"/>
      <c r="H472" s="324"/>
      <c r="I472" s="324"/>
      <c r="J472" s="281">
        <f>VLOOKUP(W472,材料信息更新!$B:$C,2,0)+1.5</f>
        <v>5.48</v>
      </c>
      <c r="K472" s="326">
        <f>Sheet1!$A$3*4.5</f>
        <v>4.5</v>
      </c>
      <c r="L472" s="325">
        <v>0.95</v>
      </c>
      <c r="M472" s="325">
        <v>2.2999999999999998</v>
      </c>
      <c r="N472" s="325"/>
      <c r="O472" s="325">
        <v>2.2000000000000002</v>
      </c>
      <c r="P472" s="325"/>
      <c r="Q472" s="327"/>
      <c r="R472" s="327"/>
      <c r="W472" s="188" t="s">
        <v>1311</v>
      </c>
      <c r="X472" s="188"/>
    </row>
    <row r="473" spans="1:24" s="242" customFormat="1">
      <c r="A473" s="242" t="s">
        <v>1312</v>
      </c>
      <c r="C473" s="322">
        <v>8.36</v>
      </c>
      <c r="D473" s="322">
        <v>0.378</v>
      </c>
      <c r="E473" s="322"/>
      <c r="F473" s="323">
        <v>2.5</v>
      </c>
      <c r="G473" s="324"/>
      <c r="H473" s="324"/>
      <c r="I473" s="324"/>
      <c r="J473" s="281">
        <f>VLOOKUP(W473,材料信息更新!$B:$C,2,0)+1.5</f>
        <v>5.33</v>
      </c>
      <c r="K473" s="326">
        <f>Sheet1!$A$3*4.5</f>
        <v>4.5</v>
      </c>
      <c r="L473" s="325">
        <v>0.95</v>
      </c>
      <c r="M473" s="325">
        <v>2.2999999999999998</v>
      </c>
      <c r="N473" s="325"/>
      <c r="O473" s="325">
        <v>2.2000000000000002</v>
      </c>
      <c r="P473" s="325"/>
      <c r="Q473" s="327"/>
      <c r="R473" s="327"/>
      <c r="W473" s="188" t="s">
        <v>1007</v>
      </c>
      <c r="X473" s="188"/>
    </row>
    <row r="474" spans="1:24" s="242" customFormat="1">
      <c r="A474" s="242" t="s">
        <v>1313</v>
      </c>
      <c r="C474" s="322">
        <v>9.66</v>
      </c>
      <c r="D474" s="322">
        <v>0.378</v>
      </c>
      <c r="E474" s="322"/>
      <c r="F474" s="323">
        <v>3</v>
      </c>
      <c r="G474" s="324"/>
      <c r="H474" s="324"/>
      <c r="I474" s="324"/>
      <c r="J474" s="281">
        <f>VLOOKUP(W474,材料信息更新!$B:$C,2,0)+1.5</f>
        <v>5.23</v>
      </c>
      <c r="K474" s="326">
        <f>Sheet1!$A$3*4.5</f>
        <v>4.5</v>
      </c>
      <c r="L474" s="325">
        <v>0.95</v>
      </c>
      <c r="M474" s="325">
        <v>2.2999999999999998</v>
      </c>
      <c r="N474" s="325"/>
      <c r="O474" s="325">
        <v>2.2000000000000002</v>
      </c>
      <c r="P474" s="325"/>
      <c r="Q474" s="327"/>
      <c r="R474" s="327"/>
      <c r="W474" s="188" t="s">
        <v>1305</v>
      </c>
      <c r="X474" s="188"/>
    </row>
    <row r="475" spans="1:24" s="242" customFormat="1">
      <c r="A475" s="242" t="s">
        <v>1314</v>
      </c>
      <c r="C475" s="322">
        <v>5.12</v>
      </c>
      <c r="D475" s="322">
        <v>0.378</v>
      </c>
      <c r="E475" s="322"/>
      <c r="F475" s="323">
        <v>1.5</v>
      </c>
      <c r="G475" s="324"/>
      <c r="H475" s="324"/>
      <c r="I475" s="324"/>
      <c r="J475" s="281">
        <f>VLOOKUP(W475,材料信息更新!$B:$C,2,0)+1.5</f>
        <v>5.58</v>
      </c>
      <c r="K475" s="326">
        <f>Sheet1!$A$3*4.5</f>
        <v>4.5</v>
      </c>
      <c r="L475" s="325">
        <v>0.95</v>
      </c>
      <c r="M475" s="325">
        <v>2.2999999999999998</v>
      </c>
      <c r="N475" s="325"/>
      <c r="O475" s="325">
        <v>2.2000000000000002</v>
      </c>
      <c r="P475" s="325"/>
      <c r="Q475" s="327"/>
      <c r="R475" s="327"/>
      <c r="W475" s="188" t="s">
        <v>1309</v>
      </c>
      <c r="X475" s="188"/>
    </row>
    <row r="476" spans="1:24" s="242" customFormat="1">
      <c r="A476" s="242" t="s">
        <v>1315</v>
      </c>
      <c r="C476" s="322">
        <v>8.36</v>
      </c>
      <c r="D476" s="322">
        <v>0.378</v>
      </c>
      <c r="E476" s="322"/>
      <c r="F476" s="323">
        <v>2.5</v>
      </c>
      <c r="G476" s="324"/>
      <c r="H476" s="324"/>
      <c r="I476" s="324"/>
      <c r="J476" s="281">
        <f>VLOOKUP(W476,材料信息更新!$B:$C,2,0)+1.5</f>
        <v>5.33</v>
      </c>
      <c r="K476" s="326">
        <f>Sheet1!$A$3*4.5</f>
        <v>4.5</v>
      </c>
      <c r="L476" s="325">
        <v>0.95</v>
      </c>
      <c r="M476" s="325">
        <v>2.2999999999999998</v>
      </c>
      <c r="N476" s="325"/>
      <c r="O476" s="325">
        <v>2.2000000000000002</v>
      </c>
      <c r="P476" s="325"/>
      <c r="Q476" s="327"/>
      <c r="R476" s="327"/>
      <c r="W476" s="188" t="s">
        <v>1007</v>
      </c>
      <c r="X476" s="188"/>
    </row>
    <row r="477" spans="1:24" s="242" customFormat="1">
      <c r="A477" s="242" t="s">
        <v>1316</v>
      </c>
      <c r="C477" s="322">
        <v>10.32</v>
      </c>
      <c r="D477" s="322">
        <v>0.378</v>
      </c>
      <c r="E477" s="322"/>
      <c r="F477" s="323">
        <v>3</v>
      </c>
      <c r="G477" s="324"/>
      <c r="H477" s="324"/>
      <c r="I477" s="324"/>
      <c r="J477" s="281">
        <f>VLOOKUP(W477,材料信息更新!$B:$C,2,0)+1.5</f>
        <v>5.23</v>
      </c>
      <c r="K477" s="326">
        <f>Sheet1!$A$3*4.5</f>
        <v>4.5</v>
      </c>
      <c r="L477" s="325">
        <v>0.95</v>
      </c>
      <c r="M477" s="325">
        <v>2.2999999999999998</v>
      </c>
      <c r="N477" s="325"/>
      <c r="O477" s="325">
        <v>2.2000000000000002</v>
      </c>
      <c r="P477" s="325"/>
      <c r="Q477" s="327"/>
      <c r="R477" s="327"/>
      <c r="W477" s="188" t="s">
        <v>1305</v>
      </c>
      <c r="X477" s="188"/>
    </row>
    <row r="478" spans="1:24" s="242" customFormat="1">
      <c r="A478" s="242" t="s">
        <v>1317</v>
      </c>
      <c r="C478" s="322">
        <v>3.46</v>
      </c>
      <c r="D478" s="322"/>
      <c r="E478" s="322"/>
      <c r="F478" s="323">
        <v>1.5</v>
      </c>
      <c r="G478" s="324"/>
      <c r="H478" s="324"/>
      <c r="I478" s="324"/>
      <c r="J478" s="281">
        <f>VLOOKUP(W478,材料信息更新!$B:$C,2,0)+1.8</f>
        <v>6.08</v>
      </c>
      <c r="K478" s="326">
        <f>Sheet1!$A$3*4.5</f>
        <v>4.5</v>
      </c>
      <c r="L478" s="325">
        <v>0.95</v>
      </c>
      <c r="M478" s="325">
        <v>2.2999999999999998</v>
      </c>
      <c r="N478" s="325"/>
      <c r="O478" s="325">
        <v>2.2000000000000002</v>
      </c>
      <c r="P478" s="325"/>
      <c r="Q478" s="327"/>
      <c r="R478" s="327"/>
      <c r="W478" s="188" t="s">
        <v>985</v>
      </c>
      <c r="X478" s="188"/>
    </row>
    <row r="479" spans="1:24" s="242" customFormat="1">
      <c r="A479" s="242" t="s">
        <v>1318</v>
      </c>
      <c r="C479" s="322">
        <v>4.58</v>
      </c>
      <c r="D479" s="322"/>
      <c r="E479" s="322"/>
      <c r="F479" s="323">
        <v>2</v>
      </c>
      <c r="G479" s="324"/>
      <c r="H479" s="324"/>
      <c r="I479" s="324"/>
      <c r="J479" s="281">
        <f>VLOOKUP(W479,材料信息更新!$B:$C,2,0)+1.8</f>
        <v>5.88</v>
      </c>
      <c r="K479" s="326">
        <f>Sheet1!$A$3*4.5</f>
        <v>4.5</v>
      </c>
      <c r="L479" s="325">
        <v>0.95</v>
      </c>
      <c r="M479" s="325">
        <v>2.2999999999999998</v>
      </c>
      <c r="N479" s="325"/>
      <c r="O479" s="325">
        <v>2.2000000000000002</v>
      </c>
      <c r="P479" s="325"/>
      <c r="Q479" s="327"/>
      <c r="R479" s="327"/>
      <c r="W479" s="188" t="s">
        <v>989</v>
      </c>
    </row>
    <row r="480" spans="1:24" s="242" customFormat="1">
      <c r="A480" s="242" t="s">
        <v>1319</v>
      </c>
      <c r="C480" s="322">
        <v>2.0284399999999998</v>
      </c>
      <c r="D480" s="322"/>
      <c r="E480" s="322"/>
      <c r="F480" s="323">
        <v>2</v>
      </c>
      <c r="G480" s="324"/>
      <c r="H480" s="324"/>
      <c r="I480" s="324"/>
      <c r="J480" s="281">
        <f>VLOOKUP(W480,材料信息更新!$B:$C,2,0)+1.8</f>
        <v>5.78</v>
      </c>
      <c r="K480" s="326">
        <f>Sheet1!$A$3*4.5</f>
        <v>4.5</v>
      </c>
      <c r="L480" s="325">
        <v>0.95</v>
      </c>
      <c r="M480" s="325">
        <v>2.2999999999999998</v>
      </c>
      <c r="N480" s="325"/>
      <c r="O480" s="325">
        <v>2.2000000000000002</v>
      </c>
      <c r="P480" s="325"/>
      <c r="Q480" s="327"/>
      <c r="R480" s="327"/>
      <c r="W480" s="188" t="s">
        <v>1311</v>
      </c>
    </row>
    <row r="481" spans="1:24" s="242" customFormat="1">
      <c r="A481" s="242" t="s">
        <v>1320</v>
      </c>
      <c r="C481" s="322">
        <v>18.2</v>
      </c>
      <c r="D481" s="322"/>
      <c r="E481" s="322"/>
      <c r="F481" s="323"/>
      <c r="G481" s="324"/>
      <c r="H481" s="324"/>
      <c r="I481" s="324"/>
      <c r="J481" s="325">
        <v>3.75</v>
      </c>
      <c r="K481" s="326"/>
      <c r="L481" s="325">
        <v>0.95</v>
      </c>
      <c r="M481" s="325">
        <v>2.2999999999999998</v>
      </c>
      <c r="N481" s="325"/>
      <c r="O481" s="325">
        <v>2.2000000000000002</v>
      </c>
      <c r="P481" s="325"/>
      <c r="Q481" s="327"/>
      <c r="R481" s="327"/>
    </row>
    <row r="482" spans="1:24" s="242" customFormat="1">
      <c r="A482" s="242" t="s">
        <v>1321</v>
      </c>
      <c r="C482" s="322">
        <v>11.07</v>
      </c>
      <c r="D482" s="322"/>
      <c r="E482" s="322"/>
      <c r="F482" s="323">
        <v>3</v>
      </c>
      <c r="G482" s="323"/>
      <c r="H482" s="324"/>
      <c r="I482" s="324"/>
      <c r="J482" s="281">
        <f>VLOOKUP(W482,材料信息更新!$B:$C,2,0)+1.5</f>
        <v>5.23</v>
      </c>
      <c r="K482" s="326">
        <f>Sheet1!$A$3*4.5</f>
        <v>4.5</v>
      </c>
      <c r="L482" s="325">
        <v>0.95</v>
      </c>
      <c r="M482" s="325">
        <v>2.2999999999999998</v>
      </c>
      <c r="N482" s="325"/>
      <c r="O482" s="325">
        <v>2.2000000000000002</v>
      </c>
      <c r="P482" s="325"/>
      <c r="Q482" s="327"/>
      <c r="R482" s="327"/>
      <c r="W482" s="188" t="s">
        <v>1305</v>
      </c>
    </row>
    <row r="483" spans="1:24" s="242" customFormat="1">
      <c r="A483" s="242" t="s">
        <v>1322</v>
      </c>
      <c r="C483" s="322">
        <v>10.6</v>
      </c>
      <c r="D483" s="322"/>
      <c r="E483" s="322"/>
      <c r="F483" s="323">
        <v>3</v>
      </c>
      <c r="G483" s="324"/>
      <c r="H483" s="324"/>
      <c r="I483" s="324"/>
      <c r="J483" s="281">
        <f>VLOOKUP(W483,材料信息更新!$B:$C,2,0)+1.5</f>
        <v>5.23</v>
      </c>
      <c r="K483" s="326">
        <f>Sheet1!$A$3*4.5</f>
        <v>4.5</v>
      </c>
      <c r="L483" s="325">
        <v>0.95</v>
      </c>
      <c r="M483" s="325">
        <v>2.2999999999999998</v>
      </c>
      <c r="N483" s="325"/>
      <c r="O483" s="325">
        <v>2.2000000000000002</v>
      </c>
      <c r="P483" s="325"/>
      <c r="Q483" s="327"/>
      <c r="R483" s="327"/>
      <c r="W483" s="188" t="s">
        <v>1305</v>
      </c>
    </row>
    <row r="484" spans="1:24" s="242" customFormat="1">
      <c r="A484" s="242" t="s">
        <v>649</v>
      </c>
      <c r="C484" s="322">
        <f>(510+251)*1000/2*3.5*7.85/1000000</f>
        <v>10.4542375</v>
      </c>
      <c r="D484" s="322"/>
      <c r="E484" s="322"/>
      <c r="F484" s="323">
        <v>3.5</v>
      </c>
      <c r="G484" s="324"/>
      <c r="H484" s="324"/>
      <c r="I484" s="324"/>
      <c r="J484" s="281">
        <f>VLOOKUP(W484,材料信息更新!$B:$C,2,0)+1.7</f>
        <v>5.33</v>
      </c>
      <c r="K484" s="326">
        <f>Sheet1!$A$3*4.4</f>
        <v>4.4000000000000004</v>
      </c>
      <c r="L484" s="325">
        <v>0.95</v>
      </c>
      <c r="M484" s="325">
        <v>2.2999999999999998</v>
      </c>
      <c r="N484" s="325"/>
      <c r="O484" s="325">
        <v>2.2000000000000002</v>
      </c>
      <c r="P484" s="325"/>
      <c r="Q484" s="327"/>
      <c r="R484" s="327"/>
      <c r="W484" s="188" t="s">
        <v>1323</v>
      </c>
      <c r="X484" s="188"/>
    </row>
    <row r="485" spans="1:24" s="242" customFormat="1">
      <c r="C485" s="322"/>
      <c r="D485" s="322"/>
      <c r="E485" s="322"/>
      <c r="F485" s="323"/>
      <c r="G485" s="324"/>
      <c r="H485" s="324"/>
      <c r="I485" s="324"/>
      <c r="J485" s="325"/>
      <c r="K485" s="326"/>
      <c r="L485" s="325"/>
      <c r="M485" s="325"/>
      <c r="N485" s="325"/>
      <c r="O485" s="325"/>
      <c r="P485" s="325"/>
      <c r="Q485" s="327"/>
      <c r="R485" s="327"/>
    </row>
    <row r="486" spans="1:24" s="242" customFormat="1">
      <c r="C486" s="322"/>
      <c r="D486" s="322"/>
      <c r="E486" s="322"/>
      <c r="F486" s="323"/>
      <c r="G486" s="324"/>
      <c r="H486" s="324"/>
      <c r="I486" s="324"/>
      <c r="J486" s="325"/>
      <c r="K486" s="326"/>
      <c r="L486" s="325"/>
      <c r="M486" s="325"/>
      <c r="N486" s="325"/>
      <c r="O486" s="325"/>
      <c r="P486" s="325"/>
      <c r="Q486" s="327"/>
      <c r="R486" s="327"/>
    </row>
    <row r="487" spans="1:24" s="242" customFormat="1">
      <c r="C487" s="322"/>
      <c r="D487" s="322"/>
      <c r="E487" s="322"/>
      <c r="F487" s="323"/>
      <c r="G487" s="324"/>
      <c r="H487" s="324"/>
      <c r="I487" s="324"/>
      <c r="J487" s="325"/>
      <c r="K487" s="326"/>
      <c r="L487" s="325"/>
      <c r="M487" s="325"/>
      <c r="N487" s="325"/>
      <c r="O487" s="325"/>
      <c r="P487" s="325"/>
      <c r="Q487" s="327"/>
      <c r="R487" s="327"/>
    </row>
    <row r="488" spans="1:24" s="242" customFormat="1">
      <c r="A488" s="242" t="s">
        <v>1324</v>
      </c>
      <c r="C488" s="322"/>
      <c r="D488" s="322"/>
      <c r="E488" s="322"/>
      <c r="F488" s="323"/>
      <c r="G488" s="324"/>
      <c r="H488" s="324"/>
      <c r="I488" s="324"/>
      <c r="J488" s="325"/>
      <c r="K488" s="326"/>
      <c r="L488" s="325"/>
      <c r="M488" s="325"/>
      <c r="N488" s="325"/>
      <c r="O488" s="325"/>
      <c r="P488" s="325"/>
      <c r="Q488" s="327"/>
      <c r="R488" s="327"/>
    </row>
    <row r="489" spans="1:24" s="242" customFormat="1">
      <c r="A489" s="353" t="s">
        <v>651</v>
      </c>
      <c r="B489" s="242" t="s">
        <v>1325</v>
      </c>
      <c r="C489" s="346">
        <v>2.99</v>
      </c>
      <c r="D489" s="346">
        <f>0.152</f>
        <v>0.152</v>
      </c>
      <c r="E489" s="322"/>
      <c r="F489" s="323"/>
      <c r="G489" s="324"/>
      <c r="H489" s="324"/>
      <c r="I489" s="324"/>
      <c r="J489" s="325">
        <f>20/C489</f>
        <v>6.6889632107023402</v>
      </c>
      <c r="K489" s="326"/>
      <c r="L489" s="325">
        <v>0.95</v>
      </c>
      <c r="M489" s="325">
        <v>2.2999999999999998</v>
      </c>
      <c r="N489" s="325"/>
      <c r="O489" s="325">
        <v>2.2000000000000002</v>
      </c>
      <c r="P489" s="325"/>
      <c r="Q489" s="327" t="s">
        <v>1326</v>
      </c>
      <c r="R489" s="327">
        <v>1</v>
      </c>
      <c r="S489" s="242" t="s">
        <v>1327</v>
      </c>
      <c r="T489" s="242">
        <v>1</v>
      </c>
    </row>
    <row r="490" spans="1:24" s="242" customFormat="1">
      <c r="A490" s="242" t="s">
        <v>1328</v>
      </c>
      <c r="C490" s="346">
        <f>178*185*4*7.85/1000000</f>
        <v>1.0340020000000001</v>
      </c>
      <c r="D490" s="347">
        <f>177*185*2/1000000</f>
        <v>6.5490000000000007E-2</v>
      </c>
      <c r="E490" s="322"/>
      <c r="F490" s="323"/>
      <c r="G490" s="324"/>
      <c r="H490" s="324"/>
      <c r="I490" s="324"/>
      <c r="J490" s="281">
        <f>VLOOKUP(W490,材料信息更新!$B:$C,2,0)+1.65</f>
        <v>5.38</v>
      </c>
      <c r="K490" s="326"/>
      <c r="L490" s="325">
        <v>0.95</v>
      </c>
      <c r="M490" s="325">
        <v>2.2999999999999998</v>
      </c>
      <c r="N490" s="325"/>
      <c r="O490" s="325">
        <v>2.2000000000000002</v>
      </c>
      <c r="P490" s="325"/>
      <c r="Q490" s="327"/>
      <c r="R490" s="327"/>
      <c r="W490" s="242" t="s">
        <v>1305</v>
      </c>
    </row>
    <row r="491" spans="1:24" s="242" customFormat="1">
      <c r="C491" s="322"/>
      <c r="D491" s="322"/>
      <c r="E491" s="322"/>
      <c r="F491" s="323"/>
      <c r="G491" s="324"/>
      <c r="H491" s="324"/>
      <c r="I491" s="324"/>
      <c r="J491" s="325"/>
      <c r="K491" s="326"/>
      <c r="L491" s="325"/>
      <c r="M491" s="325"/>
      <c r="N491" s="325"/>
      <c r="O491" s="325"/>
      <c r="P491" s="325"/>
      <c r="Q491" s="327"/>
      <c r="R491" s="327"/>
    </row>
    <row r="492" spans="1:24" s="242" customFormat="1">
      <c r="C492" s="322"/>
      <c r="D492" s="322"/>
      <c r="E492" s="322"/>
      <c r="F492" s="323"/>
      <c r="G492" s="324"/>
      <c r="H492" s="324"/>
      <c r="I492" s="324"/>
      <c r="J492" s="325"/>
      <c r="K492" s="326"/>
      <c r="L492" s="325"/>
      <c r="M492" s="325"/>
      <c r="N492" s="325"/>
      <c r="O492" s="325"/>
      <c r="P492" s="325"/>
      <c r="Q492" s="327"/>
      <c r="R492" s="327"/>
    </row>
    <row r="493" spans="1:24" s="242" customFormat="1">
      <c r="C493" s="322"/>
      <c r="D493" s="322"/>
      <c r="E493" s="322"/>
      <c r="F493" s="323"/>
      <c r="G493" s="324"/>
      <c r="H493" s="324"/>
      <c r="I493" s="324"/>
      <c r="J493" s="325"/>
      <c r="K493" s="326"/>
      <c r="L493" s="325"/>
      <c r="M493" s="325"/>
      <c r="N493" s="325"/>
      <c r="O493" s="325"/>
      <c r="P493" s="325"/>
      <c r="Q493" s="327"/>
      <c r="R493" s="327"/>
    </row>
    <row r="494" spans="1:24" s="242" customFormat="1">
      <c r="C494" s="322"/>
      <c r="D494" s="322"/>
      <c r="E494" s="322"/>
      <c r="F494" s="323"/>
      <c r="G494" s="324"/>
      <c r="H494" s="324"/>
      <c r="I494" s="324"/>
      <c r="J494" s="325"/>
      <c r="K494" s="326"/>
      <c r="L494" s="325"/>
      <c r="M494" s="325"/>
      <c r="N494" s="325"/>
      <c r="O494" s="325"/>
      <c r="P494" s="325"/>
      <c r="Q494" s="327"/>
      <c r="R494" s="327"/>
    </row>
    <row r="495" spans="1:24" s="242" customFormat="1">
      <c r="C495" s="322"/>
      <c r="D495" s="322"/>
      <c r="E495" s="322"/>
      <c r="F495" s="323"/>
      <c r="G495" s="324"/>
      <c r="H495" s="324"/>
      <c r="I495" s="324"/>
      <c r="J495" s="325"/>
      <c r="K495" s="326"/>
      <c r="L495" s="325"/>
      <c r="M495" s="325"/>
      <c r="N495" s="325"/>
      <c r="O495" s="325"/>
      <c r="P495" s="325"/>
      <c r="Q495" s="327"/>
      <c r="R495" s="327"/>
    </row>
    <row r="496" spans="1:24" s="242" customFormat="1">
      <c r="C496" s="322"/>
      <c r="D496" s="322"/>
      <c r="E496" s="322"/>
      <c r="F496" s="323"/>
      <c r="G496" s="324"/>
      <c r="H496" s="324"/>
      <c r="I496" s="324"/>
      <c r="J496" s="325"/>
      <c r="K496" s="326"/>
      <c r="L496" s="325"/>
      <c r="M496" s="325"/>
      <c r="N496" s="325"/>
      <c r="O496" s="325"/>
      <c r="P496" s="325"/>
      <c r="Q496" s="327"/>
      <c r="R496" s="327"/>
    </row>
    <row r="497" spans="1:24" s="242" customFormat="1">
      <c r="A497" s="243" t="s">
        <v>1329</v>
      </c>
      <c r="C497" s="322"/>
      <c r="D497" s="322"/>
      <c r="E497" s="322"/>
      <c r="F497" s="323"/>
      <c r="G497" s="324"/>
      <c r="H497" s="324"/>
      <c r="I497" s="324"/>
      <c r="J497" s="325"/>
      <c r="K497" s="326"/>
      <c r="L497" s="325"/>
      <c r="M497" s="325"/>
      <c r="N497" s="325"/>
      <c r="O497" s="325"/>
      <c r="P497" s="325"/>
      <c r="Q497" s="327"/>
      <c r="R497" s="327"/>
    </row>
    <row r="498" spans="1:24" s="242" customFormat="1">
      <c r="A498" s="354" t="s">
        <v>1330</v>
      </c>
      <c r="B498" s="242" t="s">
        <v>1331</v>
      </c>
      <c r="C498" s="346">
        <f>(44/1000*44/1000)*3*7.85</f>
        <v>4.5592800000000003E-2</v>
      </c>
      <c r="D498" s="346">
        <f>(44/1000*44/1000)*2</f>
        <v>3.872E-3</v>
      </c>
      <c r="E498" s="322"/>
      <c r="F498" s="323"/>
      <c r="G498" s="324"/>
      <c r="H498" s="324"/>
      <c r="I498" s="324"/>
      <c r="J498" s="325">
        <v>6.5</v>
      </c>
      <c r="K498" s="355"/>
      <c r="L498" s="325">
        <v>0.95</v>
      </c>
      <c r="M498" s="325">
        <v>2.2999999999999998</v>
      </c>
      <c r="N498" s="325"/>
      <c r="O498" s="325">
        <v>2.2000000000000002</v>
      </c>
      <c r="P498" s="325"/>
      <c r="Q498" s="327"/>
      <c r="R498" s="327"/>
    </row>
    <row r="499" spans="1:24" s="242" customFormat="1">
      <c r="A499" s="356" t="s">
        <v>1332</v>
      </c>
      <c r="B499" s="242" t="s">
        <v>1331</v>
      </c>
      <c r="C499" s="322">
        <f>122*1000*3*7.85/1000000</f>
        <v>2.8731</v>
      </c>
      <c r="D499" s="322">
        <f>60*2*1000/1000000</f>
        <v>0.12</v>
      </c>
      <c r="E499" s="322"/>
      <c r="F499" s="323"/>
      <c r="G499" s="324"/>
      <c r="H499" s="324"/>
      <c r="I499" s="324"/>
      <c r="J499" s="325">
        <v>6.5</v>
      </c>
      <c r="K499" s="355"/>
      <c r="L499" s="325">
        <v>0.95</v>
      </c>
      <c r="M499" s="325">
        <v>2.2999999999999998</v>
      </c>
      <c r="N499" s="325"/>
      <c r="O499" s="325">
        <v>2.2000000000000002</v>
      </c>
      <c r="P499" s="325"/>
      <c r="Q499" s="327"/>
      <c r="R499" s="327"/>
    </row>
    <row r="500" spans="1:24" s="242" customFormat="1">
      <c r="A500" s="354" t="s">
        <v>655</v>
      </c>
      <c r="C500" s="346">
        <f>(113/1000*86/1000)*3*7.85</f>
        <v>0.2288589</v>
      </c>
      <c r="D500" s="346">
        <f>((113-3)/1000*86/1000)</f>
        <v>9.4599999999999997E-3</v>
      </c>
      <c r="E500" s="322"/>
      <c r="F500" s="323"/>
      <c r="G500" s="324"/>
      <c r="H500" s="324"/>
      <c r="I500" s="324"/>
      <c r="J500" s="325">
        <v>6.5</v>
      </c>
      <c r="K500" s="355"/>
      <c r="L500" s="325">
        <v>0.95</v>
      </c>
      <c r="M500" s="325">
        <v>2.2999999999999998</v>
      </c>
      <c r="N500" s="325"/>
      <c r="O500" s="325">
        <v>2.2000000000000002</v>
      </c>
      <c r="P500" s="325"/>
      <c r="Q500" s="327"/>
      <c r="R500" s="327"/>
      <c r="W500" s="188" t="s">
        <v>864</v>
      </c>
      <c r="X500" s="188" t="s">
        <v>865</v>
      </c>
    </row>
    <row r="501" spans="1:24" s="242" customFormat="1">
      <c r="A501" s="242" t="s">
        <v>1333</v>
      </c>
      <c r="C501" s="346">
        <f>(115/1000*52/1000)*3*7.85</f>
        <v>0.14082900000000001</v>
      </c>
      <c r="D501" s="346">
        <f>((115-3)/1000*52/1000)</f>
        <v>5.8240000000000002E-3</v>
      </c>
      <c r="E501" s="322"/>
      <c r="F501" s="323"/>
      <c r="G501" s="324"/>
      <c r="H501" s="324"/>
      <c r="I501" s="324"/>
      <c r="J501" s="325">
        <v>6.5</v>
      </c>
      <c r="K501" s="326"/>
      <c r="L501" s="325">
        <v>0.95</v>
      </c>
      <c r="M501" s="325">
        <v>2.2999999999999998</v>
      </c>
      <c r="N501" s="325"/>
      <c r="O501" s="325">
        <v>2.2000000000000002</v>
      </c>
      <c r="P501" s="325"/>
      <c r="Q501" s="327"/>
      <c r="R501" s="327"/>
      <c r="W501" s="188" t="s">
        <v>864</v>
      </c>
      <c r="X501" s="188" t="s">
        <v>865</v>
      </c>
    </row>
    <row r="502" spans="1:24" s="242" customFormat="1">
      <c r="A502" s="242" t="s">
        <v>1334</v>
      </c>
      <c r="C502" s="322">
        <v>0.23898539999999999</v>
      </c>
      <c r="D502" s="322"/>
      <c r="E502" s="322"/>
      <c r="F502" s="323"/>
      <c r="G502" s="324"/>
      <c r="H502" s="324"/>
      <c r="I502" s="324"/>
      <c r="J502" s="325">
        <v>6.5</v>
      </c>
      <c r="K502" s="326"/>
      <c r="L502" s="325">
        <v>0.95</v>
      </c>
      <c r="M502" s="325">
        <v>2.2999999999999998</v>
      </c>
      <c r="N502" s="325"/>
      <c r="O502" s="325">
        <v>2.2000000000000002</v>
      </c>
      <c r="P502" s="325"/>
      <c r="Q502" s="327"/>
      <c r="R502" s="327"/>
      <c r="W502" s="188" t="s">
        <v>864</v>
      </c>
      <c r="X502" s="188" t="s">
        <v>865</v>
      </c>
    </row>
    <row r="503" spans="1:24" s="242" customFormat="1">
      <c r="A503" s="242" t="s">
        <v>1335</v>
      </c>
      <c r="C503" s="322">
        <v>0.62</v>
      </c>
      <c r="D503" s="322"/>
      <c r="E503" s="322"/>
      <c r="F503" s="323"/>
      <c r="G503" s="324"/>
      <c r="H503" s="324"/>
      <c r="I503" s="324"/>
      <c r="J503" s="325">
        <v>6.5</v>
      </c>
      <c r="K503" s="326"/>
      <c r="L503" s="325">
        <v>0.95</v>
      </c>
      <c r="M503" s="325">
        <v>2.2999999999999998</v>
      </c>
      <c r="N503" s="325"/>
      <c r="O503" s="325">
        <v>2.2000000000000002</v>
      </c>
      <c r="P503" s="325"/>
      <c r="Q503" s="327"/>
      <c r="R503" s="327"/>
      <c r="W503" s="188" t="s">
        <v>1336</v>
      </c>
      <c r="X503" s="188" t="s">
        <v>1337</v>
      </c>
    </row>
    <row r="504" spans="1:24" s="242" customFormat="1">
      <c r="A504" s="242" t="s">
        <v>1338</v>
      </c>
      <c r="C504" s="322">
        <v>4.0977E-2</v>
      </c>
      <c r="D504" s="322"/>
      <c r="E504" s="322"/>
      <c r="F504" s="323"/>
      <c r="G504" s="324"/>
      <c r="H504" s="324"/>
      <c r="I504" s="324"/>
      <c r="J504" s="325">
        <v>6.5</v>
      </c>
      <c r="K504" s="326"/>
      <c r="L504" s="325">
        <v>0.95</v>
      </c>
      <c r="M504" s="325">
        <v>2.2999999999999998</v>
      </c>
      <c r="N504" s="325"/>
      <c r="O504" s="325">
        <v>2.2000000000000002</v>
      </c>
      <c r="P504" s="325"/>
      <c r="Q504" s="327"/>
      <c r="R504" s="327"/>
      <c r="W504" s="188" t="s">
        <v>864</v>
      </c>
      <c r="X504" s="188" t="s">
        <v>865</v>
      </c>
    </row>
    <row r="505" spans="1:24" s="242" customFormat="1">
      <c r="A505" s="242" t="s">
        <v>1339</v>
      </c>
      <c r="C505" s="322">
        <f>136*400*2*7.85/1000000</f>
        <v>0.85407999999999995</v>
      </c>
      <c r="D505" s="322"/>
      <c r="E505" s="322"/>
      <c r="F505" s="323"/>
      <c r="G505" s="324"/>
      <c r="H505" s="324"/>
      <c r="I505" s="324"/>
      <c r="J505" s="325">
        <v>6.5</v>
      </c>
      <c r="K505" s="326"/>
      <c r="L505" s="325">
        <v>0.95</v>
      </c>
      <c r="M505" s="325">
        <v>2.2999999999999998</v>
      </c>
      <c r="N505" s="325"/>
      <c r="O505" s="325">
        <v>2.2000000000000002</v>
      </c>
      <c r="P505" s="325"/>
      <c r="Q505" s="327"/>
      <c r="R505" s="327"/>
      <c r="W505" s="188" t="s">
        <v>835</v>
      </c>
      <c r="X505" s="188" t="s">
        <v>836</v>
      </c>
    </row>
    <row r="506" spans="1:24" s="242" customFormat="1">
      <c r="A506" s="242" t="s">
        <v>1340</v>
      </c>
      <c r="C506" s="322">
        <f>150*50*3*7.85/1000000</f>
        <v>0.176625</v>
      </c>
      <c r="D506" s="322"/>
      <c r="E506" s="322"/>
      <c r="F506" s="323"/>
      <c r="G506" s="324"/>
      <c r="H506" s="324"/>
      <c r="I506" s="324"/>
      <c r="J506" s="325">
        <v>6.5</v>
      </c>
      <c r="K506" s="326"/>
      <c r="L506" s="325">
        <v>0.95</v>
      </c>
      <c r="M506" s="325">
        <v>2.2999999999999998</v>
      </c>
      <c r="N506" s="325"/>
      <c r="O506" s="325">
        <v>2.2000000000000002</v>
      </c>
      <c r="P506" s="325"/>
      <c r="Q506" s="327"/>
      <c r="R506" s="327"/>
      <c r="W506" s="188" t="s">
        <v>864</v>
      </c>
      <c r="X506" s="188" t="s">
        <v>865</v>
      </c>
    </row>
    <row r="507" spans="1:24" s="242" customFormat="1">
      <c r="A507" s="242" t="s">
        <v>1341</v>
      </c>
      <c r="C507" s="322">
        <v>0.13658999999999999</v>
      </c>
      <c r="D507" s="322"/>
      <c r="E507" s="322"/>
      <c r="F507" s="323"/>
      <c r="G507" s="324"/>
      <c r="H507" s="324"/>
      <c r="I507" s="324"/>
      <c r="J507" s="325">
        <v>6.5</v>
      </c>
      <c r="K507" s="326"/>
      <c r="L507" s="325">
        <v>0.95</v>
      </c>
      <c r="M507" s="325">
        <v>2.2999999999999998</v>
      </c>
      <c r="N507" s="325"/>
      <c r="O507" s="325">
        <v>2.2000000000000002</v>
      </c>
      <c r="P507" s="325"/>
      <c r="Q507" s="327"/>
      <c r="R507" s="327"/>
      <c r="W507" s="188" t="s">
        <v>864</v>
      </c>
      <c r="X507" s="188" t="s">
        <v>865</v>
      </c>
    </row>
    <row r="508" spans="1:24" s="242" customFormat="1">
      <c r="A508" s="242" t="s">
        <v>653</v>
      </c>
      <c r="C508" s="322">
        <v>0.30717050000000001</v>
      </c>
      <c r="D508" s="322"/>
      <c r="E508" s="322"/>
      <c r="F508" s="323"/>
      <c r="G508" s="324"/>
      <c r="H508" s="324"/>
      <c r="I508" s="324"/>
      <c r="J508" s="325">
        <v>6.5</v>
      </c>
      <c r="K508" s="326"/>
      <c r="L508" s="325">
        <v>0.95</v>
      </c>
      <c r="M508" s="325">
        <v>2.2999999999999998</v>
      </c>
      <c r="N508" s="325"/>
      <c r="O508" s="325">
        <v>2.2000000000000002</v>
      </c>
      <c r="P508" s="325"/>
      <c r="Q508" s="327"/>
      <c r="R508" s="327"/>
      <c r="W508" s="188" t="s">
        <v>847</v>
      </c>
      <c r="X508" s="188" t="s">
        <v>848</v>
      </c>
    </row>
    <row r="509" spans="1:24" s="242" customFormat="1">
      <c r="A509" s="242" t="s">
        <v>1342</v>
      </c>
      <c r="C509" s="322">
        <v>0.68294999999999995</v>
      </c>
      <c r="D509" s="322"/>
      <c r="E509" s="322"/>
      <c r="F509" s="323"/>
      <c r="G509" s="324"/>
      <c r="H509" s="324"/>
      <c r="I509" s="324"/>
      <c r="J509" s="325">
        <v>6.5</v>
      </c>
      <c r="K509" s="326"/>
      <c r="L509" s="325">
        <v>0.95</v>
      </c>
      <c r="M509" s="325">
        <v>2.2999999999999998</v>
      </c>
      <c r="N509" s="325"/>
      <c r="O509" s="325">
        <v>2.2000000000000002</v>
      </c>
      <c r="P509" s="325"/>
      <c r="Q509" s="327"/>
      <c r="R509" s="327"/>
      <c r="W509" s="188" t="s">
        <v>1336</v>
      </c>
      <c r="X509" s="188" t="s">
        <v>1337</v>
      </c>
    </row>
    <row r="510" spans="1:24" s="242" customFormat="1">
      <c r="C510" s="322"/>
      <c r="D510" s="322"/>
      <c r="E510" s="322"/>
      <c r="F510" s="323"/>
      <c r="G510" s="324"/>
      <c r="H510" s="324"/>
      <c r="I510" s="324"/>
      <c r="J510" s="325"/>
      <c r="K510" s="326"/>
      <c r="L510" s="325"/>
      <c r="M510" s="325"/>
      <c r="N510" s="325"/>
      <c r="O510" s="325"/>
      <c r="P510" s="325"/>
      <c r="Q510" s="327"/>
      <c r="R510" s="327"/>
    </row>
    <row r="511" spans="1:24" s="242" customFormat="1">
      <c r="C511" s="322"/>
      <c r="D511" s="322"/>
      <c r="E511" s="322"/>
      <c r="F511" s="323"/>
      <c r="G511" s="324"/>
      <c r="H511" s="324"/>
      <c r="I511" s="324"/>
      <c r="J511" s="325"/>
      <c r="K511" s="326"/>
      <c r="L511" s="325"/>
      <c r="M511" s="325"/>
      <c r="N511" s="325"/>
      <c r="O511" s="325"/>
      <c r="P511" s="325"/>
      <c r="Q511" s="327"/>
      <c r="R511" s="327"/>
    </row>
    <row r="512" spans="1:24" s="242" customFormat="1">
      <c r="C512" s="322"/>
      <c r="D512" s="322"/>
      <c r="E512" s="322"/>
      <c r="F512" s="323"/>
      <c r="G512" s="324"/>
      <c r="H512" s="324"/>
      <c r="I512" s="324"/>
      <c r="J512" s="325"/>
      <c r="K512" s="326"/>
      <c r="L512" s="325"/>
      <c r="M512" s="325"/>
      <c r="N512" s="325"/>
      <c r="O512" s="325"/>
      <c r="P512" s="325"/>
      <c r="Q512" s="327"/>
      <c r="R512" s="327"/>
    </row>
    <row r="513" spans="1:23" s="242" customFormat="1">
      <c r="C513" s="322"/>
      <c r="D513" s="322"/>
      <c r="E513" s="322"/>
      <c r="F513" s="323"/>
      <c r="G513" s="324"/>
      <c r="H513" s="324"/>
      <c r="I513" s="324"/>
      <c r="J513" s="325"/>
      <c r="K513" s="326"/>
      <c r="L513" s="325"/>
      <c r="M513" s="325"/>
      <c r="N513" s="325"/>
      <c r="O513" s="325"/>
      <c r="P513" s="325"/>
      <c r="Q513" s="327"/>
      <c r="R513" s="327"/>
    </row>
    <row r="514" spans="1:23" s="242" customFormat="1">
      <c r="A514" s="244" t="s">
        <v>656</v>
      </c>
      <c r="C514" s="322"/>
      <c r="D514" s="322"/>
      <c r="E514" s="322"/>
      <c r="F514" s="323"/>
      <c r="G514" s="324"/>
      <c r="H514" s="324"/>
      <c r="I514" s="324"/>
      <c r="J514" s="325"/>
      <c r="K514" s="326"/>
      <c r="L514" s="325"/>
      <c r="M514" s="325"/>
      <c r="N514" s="325"/>
      <c r="O514" s="325"/>
      <c r="P514" s="325"/>
      <c r="Q514" s="327"/>
      <c r="R514" s="327"/>
    </row>
    <row r="515" spans="1:23" s="242" customFormat="1" ht="15.75">
      <c r="A515" s="357" t="s">
        <v>1343</v>
      </c>
      <c r="C515" s="346">
        <f>2*7.85*2*3.1416*20/2/1000*220/1000</f>
        <v>0.217021728</v>
      </c>
      <c r="D515" s="322"/>
      <c r="E515" s="322"/>
      <c r="F515" s="323"/>
      <c r="G515" s="324"/>
      <c r="H515" s="324"/>
      <c r="I515" s="324"/>
      <c r="J515" s="281">
        <f>VLOOKUP(W515,材料信息更新!$B:$C,2,0)</f>
        <v>4.2300000000000004</v>
      </c>
      <c r="K515" s="326">
        <f>Sheet1!$A$3*1.5/C515</f>
        <v>6.91175032944167</v>
      </c>
      <c r="L515" s="325">
        <v>0.95</v>
      </c>
      <c r="M515" s="325">
        <v>2.8</v>
      </c>
      <c r="N515" s="325"/>
      <c r="O515" s="325">
        <v>2.2000000000000002</v>
      </c>
      <c r="P515" s="325"/>
      <c r="Q515" s="327" t="s">
        <v>1344</v>
      </c>
      <c r="R515" s="327">
        <v>1</v>
      </c>
      <c r="W515" s="358" t="s">
        <v>1345</v>
      </c>
    </row>
    <row r="516" spans="1:23" s="242" customFormat="1" ht="15.75">
      <c r="A516" s="266" t="s">
        <v>1346</v>
      </c>
      <c r="C516" s="322">
        <f>2*7.85*2*3.1416*20/2/1000*360/1000</f>
        <v>0.35512646399999998</v>
      </c>
      <c r="D516" s="322"/>
      <c r="E516" s="322"/>
      <c r="F516" s="323"/>
      <c r="G516" s="324"/>
      <c r="H516" s="324"/>
      <c r="I516" s="324"/>
      <c r="J516" s="281">
        <f>VLOOKUP(W516,材料信息更新!$B:$C,2,0)</f>
        <v>4.2300000000000004</v>
      </c>
      <c r="K516" s="326">
        <f>Sheet1!$A$3*1.5/C516</f>
        <v>4.2238474235476904</v>
      </c>
      <c r="L516" s="325">
        <v>0.95</v>
      </c>
      <c r="M516" s="325">
        <v>2.8</v>
      </c>
      <c r="N516" s="325"/>
      <c r="O516" s="325">
        <v>2.2000000000000002</v>
      </c>
      <c r="P516" s="325"/>
      <c r="Q516" s="327" t="s">
        <v>1344</v>
      </c>
      <c r="R516" s="327">
        <v>1</v>
      </c>
      <c r="W516" s="358" t="s">
        <v>1345</v>
      </c>
    </row>
    <row r="517" spans="1:23" s="242" customFormat="1" ht="15.75">
      <c r="A517" s="266" t="s">
        <v>1347</v>
      </c>
      <c r="C517" s="322">
        <v>0.23699999999999999</v>
      </c>
      <c r="D517" s="322"/>
      <c r="E517" s="322"/>
      <c r="F517" s="323"/>
      <c r="G517" s="324"/>
      <c r="H517" s="324"/>
      <c r="I517" s="324"/>
      <c r="J517" s="281">
        <f>VLOOKUP(W517,材料信息更新!$B:$C,2,0)</f>
        <v>8.25</v>
      </c>
      <c r="K517" s="326">
        <f>Sheet1!$A$3*1.5/C517</f>
        <v>6.3291139240506302</v>
      </c>
      <c r="L517" s="325">
        <v>0.95</v>
      </c>
      <c r="M517" s="325">
        <v>2.8</v>
      </c>
      <c r="N517" s="325"/>
      <c r="O517" s="325">
        <v>2.2000000000000002</v>
      </c>
      <c r="P517" s="325"/>
      <c r="Q517" s="327"/>
      <c r="R517" s="327"/>
      <c r="W517" s="242" t="s">
        <v>1348</v>
      </c>
    </row>
    <row r="518" spans="1:23" s="242" customFormat="1">
      <c r="C518" s="322"/>
      <c r="D518" s="322"/>
      <c r="E518" s="322"/>
      <c r="F518" s="323"/>
      <c r="G518" s="324"/>
      <c r="H518" s="324"/>
      <c r="I518" s="324"/>
      <c r="J518" s="325"/>
      <c r="K518" s="326"/>
      <c r="L518" s="325"/>
      <c r="M518" s="325"/>
      <c r="N518" s="325"/>
      <c r="O518" s="325"/>
      <c r="P518" s="325"/>
      <c r="Q518" s="327"/>
      <c r="R518" s="327"/>
    </row>
    <row r="519" spans="1:23" s="242" customFormat="1">
      <c r="C519" s="322"/>
      <c r="D519" s="322"/>
      <c r="E519" s="322"/>
      <c r="F519" s="323"/>
      <c r="G519" s="324"/>
      <c r="H519" s="324"/>
      <c r="I519" s="324"/>
      <c r="J519" s="325"/>
      <c r="K519" s="326"/>
      <c r="L519" s="325"/>
      <c r="M519" s="325"/>
      <c r="N519" s="325"/>
      <c r="O519" s="325"/>
      <c r="P519" s="325"/>
      <c r="Q519" s="327"/>
      <c r="R519" s="327"/>
    </row>
    <row r="520" spans="1:23" s="242" customFormat="1">
      <c r="C520" s="322"/>
      <c r="D520" s="322"/>
      <c r="E520" s="322"/>
      <c r="F520" s="323"/>
      <c r="G520" s="324"/>
      <c r="H520" s="324"/>
      <c r="I520" s="324"/>
      <c r="J520" s="325"/>
      <c r="K520" s="326"/>
      <c r="L520" s="325"/>
      <c r="M520" s="325"/>
      <c r="N520" s="325"/>
      <c r="O520" s="325"/>
      <c r="P520" s="325"/>
      <c r="Q520" s="327"/>
      <c r="R520" s="327"/>
    </row>
    <row r="521" spans="1:23" s="242" customFormat="1">
      <c r="C521" s="322"/>
      <c r="D521" s="322"/>
      <c r="E521" s="322"/>
      <c r="F521" s="323"/>
      <c r="G521" s="324"/>
      <c r="H521" s="324"/>
      <c r="I521" s="324"/>
      <c r="J521" s="325"/>
      <c r="K521" s="326"/>
      <c r="L521" s="325"/>
      <c r="M521" s="325"/>
      <c r="N521" s="325"/>
      <c r="O521" s="325"/>
      <c r="P521" s="325"/>
      <c r="Q521" s="327"/>
      <c r="R521" s="327"/>
    </row>
    <row r="522" spans="1:23" s="242" customFormat="1">
      <c r="C522" s="322"/>
      <c r="D522" s="322"/>
      <c r="E522" s="322"/>
      <c r="F522" s="323"/>
      <c r="G522" s="324"/>
      <c r="H522" s="324"/>
      <c r="I522" s="324"/>
      <c r="J522" s="325"/>
      <c r="K522" s="326"/>
      <c r="L522" s="325"/>
      <c r="M522" s="325"/>
      <c r="N522" s="325"/>
      <c r="O522" s="325"/>
      <c r="P522" s="325"/>
      <c r="Q522" s="327"/>
      <c r="R522" s="327"/>
    </row>
    <row r="523" spans="1:23" s="242" customFormat="1">
      <c r="A523" s="242" t="s">
        <v>658</v>
      </c>
      <c r="D523" s="322"/>
      <c r="E523" s="322"/>
      <c r="F523" s="323"/>
      <c r="G523" s="359"/>
      <c r="H523" s="324"/>
      <c r="I523" s="324"/>
      <c r="J523" s="325"/>
      <c r="K523" s="326"/>
      <c r="L523" s="325"/>
      <c r="M523" s="325"/>
      <c r="N523" s="325"/>
      <c r="O523" s="325"/>
      <c r="P523" s="325"/>
      <c r="Q523" s="327"/>
      <c r="R523" s="327"/>
    </row>
    <row r="524" spans="1:23" s="242" customFormat="1">
      <c r="A524" s="242" t="s">
        <v>1349</v>
      </c>
      <c r="C524" s="346">
        <f>0.017</f>
        <v>1.7000000000000001E-2</v>
      </c>
      <c r="D524" s="322"/>
      <c r="E524" s="322">
        <f>0.2/C524</f>
        <v>11.764705882352899</v>
      </c>
      <c r="F524" s="323"/>
      <c r="G524" s="324"/>
      <c r="H524" s="324"/>
      <c r="I524" s="324"/>
      <c r="J524" s="325"/>
      <c r="K524" s="326"/>
      <c r="L524" s="325">
        <v>0.95</v>
      </c>
      <c r="M524" s="325">
        <v>2.2999999999999998</v>
      </c>
      <c r="N524" s="325"/>
      <c r="O524" s="325">
        <v>2.2000000000000002</v>
      </c>
      <c r="P524" s="325"/>
      <c r="Q524" s="327"/>
      <c r="R524" s="327"/>
    </row>
    <row r="525" spans="1:23" s="242" customFormat="1">
      <c r="A525" s="242" t="s">
        <v>1350</v>
      </c>
      <c r="C525" s="346">
        <f>0.017</f>
        <v>1.7000000000000001E-2</v>
      </c>
      <c r="D525" s="322"/>
      <c r="E525" s="322">
        <f t="shared" ref="E525:E527" si="117">0.2/C525</f>
        <v>11.764705882352899</v>
      </c>
      <c r="F525" s="323"/>
      <c r="G525" s="324"/>
      <c r="H525" s="324"/>
      <c r="I525" s="324"/>
      <c r="J525" s="325"/>
      <c r="K525" s="326"/>
      <c r="L525" s="325">
        <v>0.95</v>
      </c>
      <c r="M525" s="325">
        <v>2.2999999999999998</v>
      </c>
      <c r="N525" s="325"/>
      <c r="O525" s="325">
        <v>2.2000000000000002</v>
      </c>
      <c r="P525" s="325"/>
      <c r="Q525" s="327"/>
      <c r="R525" s="327"/>
    </row>
    <row r="526" spans="1:23" s="242" customFormat="1">
      <c r="A526" s="242" t="s">
        <v>1351</v>
      </c>
      <c r="C526" s="322">
        <v>1.7000000000000001E-2</v>
      </c>
      <c r="D526" s="322"/>
      <c r="E526" s="322">
        <f t="shared" si="117"/>
        <v>11.764705882352899</v>
      </c>
      <c r="F526" s="323"/>
      <c r="G526" s="324"/>
      <c r="H526" s="324"/>
      <c r="I526" s="324"/>
      <c r="J526" s="325"/>
      <c r="K526" s="326"/>
      <c r="L526" s="325"/>
      <c r="M526" s="325"/>
      <c r="N526" s="325"/>
      <c r="O526" s="325"/>
      <c r="P526" s="325"/>
      <c r="Q526" s="327"/>
      <c r="R526" s="327"/>
    </row>
    <row r="527" spans="1:23" s="242" customFormat="1" ht="18" customHeight="1">
      <c r="A527" s="242" t="s">
        <v>659</v>
      </c>
      <c r="C527" s="322">
        <v>1.7000000000000001E-2</v>
      </c>
      <c r="D527" s="322"/>
      <c r="E527" s="322">
        <f t="shared" si="117"/>
        <v>11.764705882352899</v>
      </c>
      <c r="F527" s="323"/>
      <c r="G527" s="359"/>
      <c r="H527" s="324"/>
      <c r="I527" s="324"/>
      <c r="J527" s="325"/>
      <c r="K527" s="326"/>
      <c r="L527" s="325"/>
      <c r="M527" s="325"/>
      <c r="N527" s="325"/>
      <c r="O527" s="325"/>
      <c r="P527" s="325"/>
      <c r="Q527" s="327"/>
      <c r="R527" s="327"/>
    </row>
    <row r="528" spans="1:23" s="242" customFormat="1">
      <c r="C528" s="322"/>
      <c r="D528" s="322"/>
      <c r="E528" s="322"/>
      <c r="F528" s="323"/>
      <c r="G528" s="324"/>
      <c r="H528" s="324"/>
      <c r="I528" s="324"/>
      <c r="J528" s="325"/>
      <c r="K528" s="326"/>
      <c r="L528" s="325"/>
      <c r="M528" s="325"/>
      <c r="N528" s="325"/>
      <c r="O528" s="325"/>
      <c r="P528" s="325"/>
      <c r="Q528" s="327"/>
      <c r="R528" s="327"/>
    </row>
    <row r="529" spans="1:24" s="242" customFormat="1">
      <c r="C529" s="322"/>
      <c r="D529" s="322"/>
      <c r="E529" s="322"/>
      <c r="F529" s="323"/>
      <c r="G529" s="324"/>
      <c r="H529" s="324"/>
      <c r="I529" s="324"/>
      <c r="J529" s="325"/>
      <c r="K529" s="326"/>
      <c r="L529" s="325"/>
      <c r="M529" s="325"/>
      <c r="N529" s="325"/>
      <c r="O529" s="325"/>
      <c r="P529" s="325"/>
      <c r="Q529" s="327"/>
      <c r="R529" s="327"/>
    </row>
    <row r="530" spans="1:24" s="242" customFormat="1">
      <c r="C530" s="322"/>
      <c r="D530" s="322"/>
      <c r="E530" s="322"/>
      <c r="F530" s="323"/>
      <c r="G530" s="324"/>
      <c r="H530" s="324"/>
      <c r="I530" s="324"/>
      <c r="J530" s="325"/>
      <c r="K530" s="326"/>
      <c r="L530" s="325"/>
      <c r="M530" s="325"/>
      <c r="N530" s="325"/>
      <c r="O530" s="325"/>
      <c r="P530" s="325"/>
      <c r="Q530" s="327"/>
      <c r="R530" s="327"/>
    </row>
    <row r="531" spans="1:24" s="242" customFormat="1">
      <c r="C531" s="322"/>
      <c r="D531" s="322"/>
      <c r="E531" s="322"/>
      <c r="F531" s="323"/>
      <c r="G531" s="324"/>
      <c r="H531" s="324"/>
      <c r="I531" s="324"/>
      <c r="J531" s="325"/>
      <c r="K531" s="326"/>
      <c r="L531" s="325"/>
      <c r="M531" s="325"/>
      <c r="N531" s="325"/>
      <c r="O531" s="325"/>
      <c r="P531" s="325"/>
      <c r="Q531" s="327"/>
      <c r="R531" s="327"/>
    </row>
    <row r="532" spans="1:24" s="242" customFormat="1">
      <c r="A532" s="242" t="s">
        <v>1352</v>
      </c>
      <c r="C532" s="322"/>
      <c r="D532" s="322"/>
      <c r="E532" s="322"/>
      <c r="F532" s="323"/>
      <c r="G532" s="324"/>
      <c r="H532" s="324"/>
      <c r="I532" s="324"/>
      <c r="J532" s="325"/>
      <c r="K532" s="326" t="s">
        <v>1303</v>
      </c>
      <c r="L532" s="325"/>
      <c r="M532" s="325"/>
      <c r="N532" s="325"/>
      <c r="O532" s="325"/>
      <c r="P532" s="325"/>
      <c r="Q532" s="327"/>
      <c r="R532" s="327"/>
    </row>
    <row r="533" spans="1:24" s="242" customFormat="1">
      <c r="A533" s="354" t="s">
        <v>1353</v>
      </c>
      <c r="C533" s="346">
        <v>1.1279999999999999</v>
      </c>
      <c r="D533" s="322">
        <v>0.10048</v>
      </c>
      <c r="E533" s="322"/>
      <c r="F533" s="323"/>
      <c r="G533" s="324"/>
      <c r="H533" s="324"/>
      <c r="I533" s="324"/>
      <c r="J533" s="281">
        <f>VLOOKUP(W533,材料信息更新!$B:$C,2,0)</f>
        <v>4.28</v>
      </c>
      <c r="K533" s="326">
        <f>Sheet1!$A$3*1</f>
        <v>1</v>
      </c>
      <c r="L533" s="325">
        <v>0.8</v>
      </c>
      <c r="M533" s="325">
        <v>3.6</v>
      </c>
      <c r="N533" s="325"/>
      <c r="O533" s="325">
        <v>2.2000000000000002</v>
      </c>
      <c r="P533" s="325"/>
      <c r="Q533" s="242" t="s">
        <v>1354</v>
      </c>
      <c r="R533" s="242">
        <v>4</v>
      </c>
      <c r="S533" s="242" t="s">
        <v>1355</v>
      </c>
      <c r="T533" s="242">
        <v>2</v>
      </c>
      <c r="W533" s="360" t="s">
        <v>1356</v>
      </c>
    </row>
    <row r="534" spans="1:24" s="242" customFormat="1">
      <c r="A534" s="354" t="s">
        <v>1357</v>
      </c>
      <c r="C534" s="346">
        <v>1.1279999999999999</v>
      </c>
      <c r="D534" s="322">
        <v>0.10048</v>
      </c>
      <c r="E534" s="322"/>
      <c r="F534" s="323"/>
      <c r="G534" s="324"/>
      <c r="H534" s="324"/>
      <c r="I534" s="324"/>
      <c r="J534" s="281">
        <f>VLOOKUP(W534,材料信息更新!$B:$C,2,0)</f>
        <v>4.28</v>
      </c>
      <c r="K534" s="326">
        <f>Sheet1!$A$3*1</f>
        <v>1</v>
      </c>
      <c r="L534" s="325">
        <v>0.8</v>
      </c>
      <c r="M534" s="325">
        <v>3.6</v>
      </c>
      <c r="N534" s="325"/>
      <c r="O534" s="325">
        <v>2.2000000000000002</v>
      </c>
      <c r="P534" s="325"/>
      <c r="Q534" s="327"/>
      <c r="R534" s="327"/>
      <c r="W534" s="360" t="s">
        <v>1356</v>
      </c>
    </row>
    <row r="535" spans="1:24" s="242" customFormat="1">
      <c r="A535" s="242" t="s">
        <v>664</v>
      </c>
      <c r="C535" s="322">
        <v>3.06</v>
      </c>
      <c r="D535" s="322">
        <f>0.05*2*2</f>
        <v>0.2</v>
      </c>
      <c r="E535" s="322">
        <f>VLOOKUP(X535,材料信息更新!$B:$C,2,0)</f>
        <v>4.13</v>
      </c>
      <c r="F535" s="323"/>
      <c r="G535" s="324"/>
      <c r="H535" s="324"/>
      <c r="I535" s="324"/>
      <c r="J535" s="281">
        <f>VLOOKUP(W535,材料信息更新!$B:$C,2,0)</f>
        <v>3.63</v>
      </c>
      <c r="K535" s="326">
        <f>Sheet1!$A$3*1</f>
        <v>1</v>
      </c>
      <c r="L535" s="325">
        <v>0.95</v>
      </c>
      <c r="M535" s="325"/>
      <c r="N535" s="325"/>
      <c r="O535" s="325"/>
      <c r="P535" s="325"/>
      <c r="Q535" s="327"/>
      <c r="R535" s="327"/>
      <c r="W535" s="242" t="s">
        <v>1358</v>
      </c>
      <c r="X535" s="242" t="s">
        <v>1359</v>
      </c>
    </row>
    <row r="536" spans="1:24" s="242" customFormat="1">
      <c r="A536" s="242" t="s">
        <v>667</v>
      </c>
      <c r="C536" s="322">
        <v>2.4220000000000002</v>
      </c>
      <c r="D536" s="322">
        <f>0.04*2*2</f>
        <v>0.16</v>
      </c>
      <c r="E536" s="322">
        <f>VLOOKUP(X536,材料信息更新!$B:$C,2,0)</f>
        <v>4.2300000000000004</v>
      </c>
      <c r="F536" s="323"/>
      <c r="G536" s="324"/>
      <c r="H536" s="324"/>
      <c r="I536" s="324"/>
      <c r="J536" s="281">
        <f>VLOOKUP(W536,材料信息更新!$B:$C,2,0)</f>
        <v>3.68</v>
      </c>
      <c r="K536" s="326">
        <f>Sheet1!$A$3*1</f>
        <v>1</v>
      </c>
      <c r="L536" s="325">
        <v>0.95</v>
      </c>
      <c r="M536" s="325"/>
      <c r="N536" s="325"/>
      <c r="O536" s="325"/>
      <c r="P536" s="325"/>
      <c r="Q536" s="327"/>
      <c r="R536" s="327"/>
      <c r="W536" s="242" t="s">
        <v>1360</v>
      </c>
      <c r="X536" s="242" t="s">
        <v>1361</v>
      </c>
    </row>
    <row r="537" spans="1:24" s="242" customFormat="1">
      <c r="C537" s="322"/>
      <c r="D537" s="322"/>
      <c r="E537" s="322"/>
      <c r="F537" s="323"/>
      <c r="G537" s="324"/>
      <c r="H537" s="324"/>
      <c r="I537" s="324"/>
      <c r="J537" s="325"/>
      <c r="K537" s="326"/>
      <c r="L537" s="325"/>
      <c r="M537" s="325"/>
      <c r="N537" s="325"/>
      <c r="O537" s="325"/>
      <c r="P537" s="325"/>
      <c r="Q537" s="327"/>
      <c r="R537" s="327"/>
    </row>
    <row r="538" spans="1:24" s="242" customFormat="1">
      <c r="C538" s="322"/>
      <c r="D538" s="322"/>
      <c r="E538" s="322"/>
      <c r="F538" s="323"/>
      <c r="G538" s="324"/>
      <c r="H538" s="324"/>
      <c r="I538" s="324"/>
      <c r="J538" s="325"/>
      <c r="K538" s="326"/>
      <c r="L538" s="325"/>
      <c r="M538" s="325"/>
      <c r="N538" s="325"/>
      <c r="O538" s="325"/>
      <c r="P538" s="325"/>
      <c r="Q538" s="327"/>
      <c r="R538" s="327"/>
    </row>
    <row r="539" spans="1:24" s="242" customFormat="1">
      <c r="C539" s="322"/>
      <c r="D539" s="322"/>
      <c r="E539" s="322"/>
      <c r="F539" s="323"/>
      <c r="G539" s="324"/>
      <c r="H539" s="324"/>
      <c r="I539" s="324"/>
      <c r="J539" s="325"/>
      <c r="K539" s="326"/>
      <c r="L539" s="325"/>
      <c r="M539" s="325"/>
      <c r="N539" s="325"/>
      <c r="O539" s="325"/>
      <c r="P539" s="325"/>
      <c r="Q539" s="327"/>
      <c r="R539" s="327"/>
    </row>
    <row r="540" spans="1:24" s="242" customFormat="1">
      <c r="C540" s="322"/>
      <c r="D540" s="322"/>
      <c r="E540" s="322"/>
      <c r="F540" s="323"/>
      <c r="G540" s="324"/>
      <c r="H540" s="324"/>
      <c r="I540" s="324"/>
      <c r="J540" s="325"/>
      <c r="K540" s="326"/>
      <c r="L540" s="325"/>
      <c r="M540" s="325"/>
      <c r="N540" s="325"/>
      <c r="O540" s="325"/>
      <c r="P540" s="325"/>
      <c r="Q540" s="327"/>
      <c r="R540" s="327"/>
    </row>
    <row r="541" spans="1:24" s="242" customFormat="1">
      <c r="C541" s="322"/>
      <c r="D541" s="322"/>
      <c r="E541" s="322"/>
      <c r="F541" s="323"/>
      <c r="G541" s="324"/>
      <c r="H541" s="324"/>
      <c r="I541" s="324"/>
      <c r="J541" s="325"/>
      <c r="K541" s="326"/>
      <c r="L541" s="325"/>
      <c r="M541" s="325"/>
      <c r="N541" s="325"/>
      <c r="O541" s="325"/>
      <c r="P541" s="325"/>
      <c r="Q541" s="327"/>
      <c r="R541" s="327"/>
    </row>
    <row r="542" spans="1:24" s="242" customFormat="1">
      <c r="A542" s="242" t="s">
        <v>1362</v>
      </c>
      <c r="C542" s="322"/>
      <c r="D542" s="322"/>
      <c r="E542" s="322"/>
      <c r="F542" s="323"/>
      <c r="G542" s="324"/>
      <c r="H542" s="324"/>
      <c r="I542" s="324"/>
      <c r="J542" s="325"/>
      <c r="K542" s="326"/>
      <c r="L542" s="325"/>
      <c r="M542" s="325"/>
      <c r="N542" s="325"/>
      <c r="O542" s="325"/>
      <c r="P542" s="325"/>
      <c r="Q542" s="327"/>
      <c r="R542" s="327"/>
    </row>
    <row r="543" spans="1:24" s="242" customFormat="1">
      <c r="A543" s="243" t="s">
        <v>1363</v>
      </c>
      <c r="C543" s="346">
        <f>3*7.85*150/1000*150/1000</f>
        <v>0.52987499999999998</v>
      </c>
      <c r="D543" s="322">
        <v>4.4999999999999998E-2</v>
      </c>
      <c r="E543" s="322"/>
      <c r="F543" s="323"/>
      <c r="G543" s="324"/>
      <c r="H543" s="324"/>
      <c r="I543" s="324"/>
      <c r="J543" s="325">
        <f>4/C543</f>
        <v>7.5489502241094604</v>
      </c>
      <c r="K543" s="326"/>
      <c r="L543" s="325">
        <v>0.95</v>
      </c>
      <c r="M543" s="325">
        <v>2.2999999999999998</v>
      </c>
      <c r="N543" s="325"/>
      <c r="O543" s="325">
        <v>2.2000000000000002</v>
      </c>
      <c r="P543" s="325"/>
      <c r="Q543" s="327"/>
      <c r="R543" s="327"/>
    </row>
    <row r="544" spans="1:24" s="242" customFormat="1">
      <c r="A544" s="242" t="s">
        <v>669</v>
      </c>
      <c r="C544" s="322">
        <f>3.06*150/1000</f>
        <v>0.45900000000000002</v>
      </c>
      <c r="D544" s="344">
        <v>4.4999999999999998E-2</v>
      </c>
      <c r="E544" s="322">
        <f>VLOOKUP(X545,材料信息更新!$B:$C,2,0)</f>
        <v>4.13</v>
      </c>
      <c r="F544" s="323"/>
      <c r="G544" s="324"/>
      <c r="H544" s="324"/>
      <c r="I544" s="324"/>
      <c r="J544" s="281">
        <f>VLOOKUP(W544,材料信息更新!$B:$C,2,0)</f>
        <v>3.63</v>
      </c>
      <c r="K544" s="326">
        <f>Sheet1!$A$3*1</f>
        <v>1</v>
      </c>
      <c r="L544" s="325">
        <v>0.95</v>
      </c>
      <c r="M544" s="325">
        <v>2.2999999999999998</v>
      </c>
      <c r="N544" s="325"/>
      <c r="O544" s="325">
        <v>2.2000000000000002</v>
      </c>
      <c r="P544" s="325"/>
      <c r="Q544" s="327" t="s">
        <v>1364</v>
      </c>
      <c r="R544" s="327">
        <v>2</v>
      </c>
      <c r="S544" s="242" t="s">
        <v>327</v>
      </c>
      <c r="T544" s="242">
        <v>2</v>
      </c>
      <c r="W544" s="242" t="s">
        <v>1358</v>
      </c>
    </row>
    <row r="545" spans="1:24" s="242" customFormat="1">
      <c r="A545" s="242" t="s">
        <v>1365</v>
      </c>
      <c r="C545" s="322">
        <v>0.11799999999999999</v>
      </c>
      <c r="D545" s="322">
        <f>0.05*0.06*2.5</f>
        <v>7.4999999999999997E-3</v>
      </c>
      <c r="E545" s="322"/>
      <c r="F545" s="323"/>
      <c r="G545" s="324"/>
      <c r="H545" s="324"/>
      <c r="I545" s="324"/>
      <c r="J545" s="281">
        <v>6</v>
      </c>
      <c r="K545" s="326">
        <f>Sheet1!$A$3*1</f>
        <v>1</v>
      </c>
      <c r="L545" s="325">
        <v>0.95</v>
      </c>
      <c r="M545" s="325">
        <v>2.2999999999999998</v>
      </c>
      <c r="N545" s="325"/>
      <c r="O545" s="325">
        <v>2.2000000000000002</v>
      </c>
      <c r="P545" s="325"/>
      <c r="Q545" s="327"/>
      <c r="R545" s="327"/>
      <c r="W545" s="242" t="s">
        <v>1358</v>
      </c>
      <c r="X545" s="242" t="s">
        <v>1359</v>
      </c>
    </row>
    <row r="546" spans="1:24" s="242" customFormat="1">
      <c r="C546" s="322"/>
      <c r="D546" s="322"/>
      <c r="E546" s="322"/>
      <c r="F546" s="323"/>
      <c r="G546" s="324"/>
      <c r="H546" s="324"/>
      <c r="I546" s="324"/>
      <c r="J546" s="325"/>
      <c r="K546" s="326"/>
      <c r="L546" s="325"/>
      <c r="M546" s="325"/>
      <c r="N546" s="325"/>
      <c r="O546" s="325"/>
      <c r="P546" s="325"/>
      <c r="Q546" s="327"/>
      <c r="R546" s="327"/>
      <c r="W546" s="242" t="s">
        <v>1358</v>
      </c>
    </row>
    <row r="547" spans="1:24" s="242" customFormat="1">
      <c r="C547" s="322"/>
      <c r="D547" s="322"/>
      <c r="E547" s="322"/>
      <c r="F547" s="323"/>
      <c r="G547" s="324"/>
      <c r="H547" s="324"/>
      <c r="I547" s="324"/>
      <c r="J547" s="325"/>
      <c r="K547" s="326"/>
      <c r="L547" s="325"/>
      <c r="M547" s="325"/>
      <c r="N547" s="325"/>
      <c r="O547" s="325"/>
      <c r="P547" s="325"/>
      <c r="Q547" s="327"/>
      <c r="R547" s="327"/>
    </row>
    <row r="548" spans="1:24" s="242" customFormat="1">
      <c r="C548" s="322"/>
      <c r="D548" s="322"/>
      <c r="E548" s="322"/>
      <c r="F548" s="323"/>
      <c r="G548" s="324"/>
      <c r="H548" s="324"/>
      <c r="I548" s="324"/>
      <c r="J548" s="325"/>
      <c r="K548" s="326"/>
      <c r="L548" s="325"/>
      <c r="M548" s="325"/>
      <c r="N548" s="325"/>
      <c r="O548" s="325"/>
      <c r="P548" s="325"/>
      <c r="Q548" s="327"/>
      <c r="R548" s="327"/>
    </row>
    <row r="549" spans="1:24" s="242" customFormat="1">
      <c r="A549" s="242" t="s">
        <v>509</v>
      </c>
      <c r="C549" s="322"/>
      <c r="D549" s="322"/>
      <c r="E549" s="322"/>
      <c r="F549" s="323"/>
      <c r="G549" s="324"/>
      <c r="H549" s="324"/>
      <c r="I549" s="324"/>
      <c r="J549" s="325"/>
      <c r="K549" s="326"/>
      <c r="L549" s="325"/>
      <c r="M549" s="325"/>
      <c r="N549" s="325"/>
      <c r="O549" s="325"/>
      <c r="P549" s="325"/>
      <c r="Q549" s="327"/>
      <c r="R549" s="327"/>
    </row>
    <row r="550" spans="1:24" s="242" customFormat="1">
      <c r="A550" s="242" t="s">
        <v>1366</v>
      </c>
      <c r="B550" s="242" t="s">
        <v>1367</v>
      </c>
      <c r="C550" s="361">
        <f>248*275*4.5*7.85/1000000+330*175*4.5*7.85/1000000*2-165*288*4.5*7.85/1000000</f>
        <v>4.8105585</v>
      </c>
      <c r="D550" s="322"/>
      <c r="E550" s="322"/>
      <c r="F550" s="323"/>
      <c r="G550" s="324"/>
      <c r="H550" s="324"/>
      <c r="I550" s="324"/>
      <c r="J550" s="325">
        <f>34/C550</f>
        <v>7.0677864119103804</v>
      </c>
      <c r="K550" s="326"/>
      <c r="L550" s="325"/>
      <c r="M550" s="325"/>
      <c r="N550" s="325"/>
      <c r="O550" s="325"/>
      <c r="P550" s="325"/>
      <c r="Q550" s="327"/>
      <c r="R550" s="327"/>
    </row>
    <row r="551" spans="1:24" s="242" customFormat="1">
      <c r="A551" s="242" t="s">
        <v>508</v>
      </c>
      <c r="B551" s="242" t="s">
        <v>1368</v>
      </c>
      <c r="C551" s="361">
        <f>248*400*4.5*7.85/1000000+72*49*4.5*7.85/1000000+35*50*4.5*7.85/1000000*2+175*400*4.5*7.85/1000000*2-165*390*4.5*7.85/1000000</f>
        <v>6.4248403500000002</v>
      </c>
      <c r="D551" s="322"/>
      <c r="E551" s="322"/>
      <c r="F551" s="323"/>
      <c r="G551" s="324"/>
      <c r="H551" s="324"/>
      <c r="I551" s="324"/>
      <c r="J551" s="325">
        <f>46/C551</f>
        <v>7.1597109802113597</v>
      </c>
      <c r="K551" s="326"/>
      <c r="L551" s="325"/>
      <c r="M551" s="325"/>
      <c r="N551" s="325"/>
      <c r="O551" s="325"/>
      <c r="P551" s="325"/>
      <c r="Q551" s="327"/>
      <c r="R551" s="327"/>
    </row>
    <row r="552" spans="1:24" s="242" customFormat="1">
      <c r="A552" s="242" t="s">
        <v>1369</v>
      </c>
      <c r="B552" s="242" t="s">
        <v>1368</v>
      </c>
      <c r="C552" s="361">
        <f>248*600*4.5*7.85/1000000+72*49*4.5*7.85/1000000+35*50*4.5*7.85/1000000*2+175*600*4.5*7.85/1000000*2-165*590*4.5*7.85/1000000</f>
        <v>9.4839853499999993</v>
      </c>
      <c r="D552" s="322"/>
      <c r="E552" s="322"/>
      <c r="F552" s="323"/>
      <c r="G552" s="324"/>
      <c r="H552" s="324"/>
      <c r="I552" s="324"/>
      <c r="J552" s="325">
        <f>46/C552</f>
        <v>4.8502816381933798</v>
      </c>
      <c r="K552" s="326"/>
      <c r="L552" s="325"/>
      <c r="M552" s="325"/>
      <c r="N552" s="325"/>
      <c r="O552" s="325"/>
      <c r="P552" s="325"/>
      <c r="Q552" s="327"/>
      <c r="R552" s="327"/>
    </row>
    <row r="553" spans="1:24" s="242" customFormat="1">
      <c r="A553" s="242" t="s">
        <v>1370</v>
      </c>
      <c r="B553" s="242" t="s">
        <v>1371</v>
      </c>
      <c r="C553" s="361">
        <f>191*541*5*7.85/1000000</f>
        <v>4.0557417500000001</v>
      </c>
      <c r="D553" s="322"/>
      <c r="E553" s="322"/>
      <c r="F553" s="323"/>
      <c r="G553" s="324"/>
      <c r="H553" s="324"/>
      <c r="I553" s="324"/>
      <c r="J553" s="325">
        <v>6</v>
      </c>
      <c r="K553" s="326"/>
      <c r="L553" s="325"/>
      <c r="M553" s="325"/>
      <c r="N553" s="325"/>
      <c r="O553" s="325"/>
      <c r="P553" s="325"/>
      <c r="Q553" s="327"/>
      <c r="R553" s="327"/>
    </row>
    <row r="554" spans="1:24" s="242" customFormat="1">
      <c r="A554" s="242" t="s">
        <v>1372</v>
      </c>
      <c r="B554" s="242" t="s">
        <v>1373</v>
      </c>
      <c r="C554" s="361">
        <f>5.82*1.064+130*126*4.5*7.85/1000000+165*88*4.5*7.85/1000000</f>
        <v>7.2840224999999998</v>
      </c>
      <c r="D554" s="322"/>
      <c r="E554" s="322"/>
      <c r="F554" s="323"/>
      <c r="G554" s="324"/>
      <c r="H554" s="324"/>
      <c r="I554" s="324"/>
      <c r="J554" s="325">
        <v>6.5</v>
      </c>
      <c r="K554" s="326"/>
      <c r="L554" s="325"/>
      <c r="M554" s="325"/>
      <c r="N554" s="325"/>
      <c r="O554" s="325"/>
      <c r="P554" s="325"/>
      <c r="Q554" s="327"/>
      <c r="R554" s="327"/>
    </row>
    <row r="555" spans="1:24" s="242" customFormat="1">
      <c r="A555" s="242" t="s">
        <v>758</v>
      </c>
      <c r="B555" s="242" t="s">
        <v>1374</v>
      </c>
      <c r="C555" s="322">
        <v>6.3935777250000001</v>
      </c>
      <c r="D555" s="322"/>
      <c r="E555" s="322"/>
      <c r="F555" s="323"/>
      <c r="G555" s="324"/>
      <c r="H555" s="324"/>
      <c r="I555" s="324"/>
      <c r="J555" s="325">
        <f>46/C555</f>
        <v>7.1947197607580504</v>
      </c>
      <c r="K555" s="326"/>
      <c r="L555" s="325"/>
      <c r="M555" s="325"/>
      <c r="N555" s="325"/>
      <c r="O555" s="325"/>
      <c r="P555" s="325"/>
      <c r="Q555" s="327"/>
      <c r="R555" s="327"/>
    </row>
    <row r="556" spans="1:24" s="242" customFormat="1">
      <c r="A556" s="242" t="s">
        <v>1375</v>
      </c>
      <c r="B556" s="242" t="s">
        <v>1376</v>
      </c>
      <c r="C556" s="322">
        <v>5.3264801249999998</v>
      </c>
      <c r="D556" s="322"/>
      <c r="E556" s="322"/>
      <c r="F556" s="323"/>
      <c r="G556" s="324"/>
      <c r="H556" s="324"/>
      <c r="I556" s="324"/>
      <c r="J556" s="325">
        <f>43/C556</f>
        <v>8.0728734531793602</v>
      </c>
      <c r="K556" s="326"/>
      <c r="L556" s="325"/>
      <c r="M556" s="325"/>
      <c r="N556" s="325"/>
      <c r="O556" s="325"/>
      <c r="P556" s="325"/>
      <c r="Q556" s="327"/>
      <c r="R556" s="327"/>
    </row>
    <row r="557" spans="1:24" s="242" customFormat="1" ht="15.75">
      <c r="A557" s="242" t="s">
        <v>1377</v>
      </c>
      <c r="B557" s="242" t="s">
        <v>1378</v>
      </c>
      <c r="C557" s="322">
        <f>3.65*0.5+0.15*0.15*5*7.85</f>
        <v>2.7081249999999999</v>
      </c>
      <c r="D557" s="322"/>
      <c r="E557" s="322"/>
      <c r="F557" s="323"/>
      <c r="G557" s="324"/>
      <c r="H557" s="324"/>
      <c r="I557" s="324"/>
      <c r="J557" s="325">
        <v>7.5</v>
      </c>
      <c r="K557" s="326"/>
      <c r="L557" s="325"/>
      <c r="M557" s="325"/>
      <c r="N557" s="325"/>
      <c r="O557" s="325"/>
      <c r="P557" s="325"/>
      <c r="Q557" s="327"/>
      <c r="R557" s="327"/>
    </row>
    <row r="558" spans="1:24" s="242" customFormat="1">
      <c r="C558" s="322"/>
      <c r="D558" s="322"/>
      <c r="E558" s="322"/>
      <c r="F558" s="323"/>
      <c r="G558" s="324"/>
      <c r="H558" s="324"/>
      <c r="I558" s="324"/>
      <c r="J558" s="325"/>
      <c r="K558" s="326"/>
      <c r="L558" s="325"/>
      <c r="M558" s="325"/>
      <c r="N558" s="325"/>
      <c r="O558" s="325"/>
      <c r="P558" s="325"/>
      <c r="Q558" s="327"/>
      <c r="R558" s="327"/>
    </row>
    <row r="559" spans="1:24" s="242" customFormat="1">
      <c r="C559" s="322"/>
      <c r="D559" s="322"/>
      <c r="E559" s="322"/>
      <c r="F559" s="323"/>
      <c r="G559" s="324"/>
      <c r="H559" s="324"/>
      <c r="I559" s="324"/>
      <c r="J559" s="325"/>
      <c r="K559" s="326"/>
      <c r="L559" s="325"/>
      <c r="M559" s="325"/>
      <c r="N559" s="325"/>
      <c r="O559" s="325"/>
      <c r="P559" s="325"/>
      <c r="Q559" s="327"/>
      <c r="R559" s="327"/>
    </row>
    <row r="560" spans="1:24" s="242" customFormat="1">
      <c r="C560" s="322"/>
      <c r="D560" s="322"/>
      <c r="E560" s="322"/>
      <c r="F560" s="323"/>
      <c r="G560" s="324"/>
      <c r="H560" s="324"/>
      <c r="I560" s="324"/>
      <c r="J560" s="325"/>
      <c r="K560" s="326"/>
      <c r="L560" s="325"/>
      <c r="M560" s="325"/>
      <c r="N560" s="325"/>
      <c r="O560" s="325"/>
      <c r="P560" s="325"/>
      <c r="Q560" s="327"/>
      <c r="R560" s="327"/>
    </row>
    <row r="561" spans="1:18" s="242" customFormat="1">
      <c r="C561" s="322"/>
      <c r="D561" s="322"/>
      <c r="E561" s="322"/>
      <c r="F561" s="323"/>
      <c r="G561" s="324"/>
      <c r="H561" s="324"/>
      <c r="I561" s="324"/>
      <c r="J561" s="325"/>
      <c r="K561" s="326"/>
      <c r="L561" s="325"/>
      <c r="M561" s="325"/>
      <c r="N561" s="325"/>
      <c r="O561" s="325"/>
      <c r="P561" s="325"/>
      <c r="Q561" s="327"/>
      <c r="R561" s="327"/>
    </row>
    <row r="562" spans="1:18" s="242" customFormat="1">
      <c r="C562" s="322"/>
      <c r="D562" s="322"/>
      <c r="E562" s="322"/>
      <c r="F562" s="323"/>
      <c r="G562" s="324"/>
      <c r="H562" s="324"/>
      <c r="I562" s="324"/>
      <c r="J562" s="325"/>
      <c r="K562" s="326"/>
      <c r="L562" s="325"/>
      <c r="M562" s="325"/>
      <c r="N562" s="325"/>
      <c r="O562" s="325"/>
      <c r="P562" s="325"/>
      <c r="Q562" s="327"/>
      <c r="R562" s="327"/>
    </row>
    <row r="563" spans="1:18" s="242" customFormat="1">
      <c r="C563" s="322"/>
      <c r="D563" s="322"/>
      <c r="E563" s="322"/>
      <c r="F563" s="323"/>
      <c r="G563" s="324"/>
      <c r="H563" s="324"/>
      <c r="I563" s="324"/>
      <c r="J563" s="325"/>
      <c r="K563" s="326"/>
      <c r="L563" s="325"/>
      <c r="M563" s="325"/>
      <c r="N563" s="325"/>
      <c r="O563" s="325"/>
      <c r="P563" s="325"/>
      <c r="Q563" s="327"/>
      <c r="R563" s="327"/>
    </row>
    <row r="564" spans="1:18" s="242" customFormat="1">
      <c r="A564" s="362" t="s">
        <v>1379</v>
      </c>
      <c r="B564" s="362"/>
      <c r="C564" s="363"/>
      <c r="D564" s="362"/>
      <c r="E564" s="362"/>
      <c r="F564" s="362"/>
      <c r="G564" s="362"/>
      <c r="H564" s="362"/>
      <c r="I564" s="362"/>
      <c r="J564" s="362"/>
      <c r="K564" s="364"/>
      <c r="L564" s="325"/>
      <c r="M564" s="325"/>
      <c r="N564" s="325"/>
      <c r="O564" s="325"/>
      <c r="P564" s="325"/>
      <c r="Q564" s="327"/>
      <c r="R564" s="327"/>
    </row>
    <row r="565" spans="1:18" s="242" customFormat="1">
      <c r="A565" s="365" t="s">
        <v>321</v>
      </c>
      <c r="B565" s="366">
        <v>0.6</v>
      </c>
      <c r="C565" s="366"/>
      <c r="D565" s="947">
        <v>0.7</v>
      </c>
      <c r="E565" s="947"/>
      <c r="F565" s="947">
        <v>0.8</v>
      </c>
      <c r="G565" s="947"/>
      <c r="H565" s="947">
        <v>1</v>
      </c>
      <c r="I565" s="947"/>
      <c r="J565" s="947">
        <v>1.2</v>
      </c>
      <c r="K565" s="947"/>
      <c r="L565" s="325"/>
      <c r="M565" s="325"/>
      <c r="N565" s="367" t="s">
        <v>166</v>
      </c>
      <c r="O565" s="367" t="s">
        <v>1380</v>
      </c>
      <c r="P565" s="367" t="s">
        <v>1381</v>
      </c>
      <c r="Q565" s="327"/>
      <c r="R565" s="327"/>
    </row>
    <row r="566" spans="1:18" s="242" customFormat="1">
      <c r="A566" s="368" t="s">
        <v>1382</v>
      </c>
      <c r="B566" s="366" t="s">
        <v>1383</v>
      </c>
      <c r="C566" s="366" t="s">
        <v>1384</v>
      </c>
      <c r="D566" s="366" t="s">
        <v>1383</v>
      </c>
      <c r="E566" s="366" t="s">
        <v>1384</v>
      </c>
      <c r="F566" s="366" t="s">
        <v>1383</v>
      </c>
      <c r="G566" s="366" t="s">
        <v>1384</v>
      </c>
      <c r="H566" s="366" t="s">
        <v>1383</v>
      </c>
      <c r="I566" s="366" t="s">
        <v>1384</v>
      </c>
      <c r="J566" s="366" t="s">
        <v>1383</v>
      </c>
      <c r="K566" s="366" t="s">
        <v>1384</v>
      </c>
      <c r="L566" s="325"/>
      <c r="M566" s="325"/>
      <c r="N566" s="367" t="s">
        <v>1385</v>
      </c>
      <c r="O566" s="367">
        <v>-40</v>
      </c>
      <c r="P566" s="367">
        <v>28</v>
      </c>
      <c r="Q566" s="327"/>
      <c r="R566" s="327"/>
    </row>
    <row r="567" spans="1:18" s="242" customFormat="1">
      <c r="A567" s="367">
        <v>20</v>
      </c>
      <c r="B567" s="366">
        <v>0.45</v>
      </c>
      <c r="C567" s="366"/>
      <c r="D567" s="369"/>
      <c r="E567" s="369"/>
      <c r="F567" s="369">
        <v>0.6</v>
      </c>
      <c r="G567" s="369"/>
      <c r="H567" s="369"/>
      <c r="I567" s="369"/>
      <c r="J567" s="369"/>
      <c r="K567" s="369"/>
      <c r="L567" s="366">
        <v>20</v>
      </c>
      <c r="M567" s="325"/>
      <c r="N567" s="367" t="s">
        <v>1385</v>
      </c>
      <c r="O567" s="367">
        <v>-40</v>
      </c>
      <c r="P567" s="367">
        <v>28</v>
      </c>
      <c r="Q567" s="327"/>
      <c r="R567" s="327"/>
    </row>
    <row r="568" spans="1:18" s="242" customFormat="1">
      <c r="A568" s="367">
        <v>24</v>
      </c>
      <c r="B568" s="366">
        <v>0.54</v>
      </c>
      <c r="C568" s="366"/>
      <c r="D568" s="369">
        <v>0.63</v>
      </c>
      <c r="E568" s="369">
        <v>0.54</v>
      </c>
      <c r="F568" s="369"/>
      <c r="G568" s="369"/>
      <c r="H568" s="369"/>
      <c r="I568" s="369"/>
      <c r="J568" s="369"/>
      <c r="K568" s="369"/>
      <c r="L568" s="366">
        <v>25</v>
      </c>
      <c r="M568" s="325"/>
      <c r="N568" s="367" t="s">
        <v>1386</v>
      </c>
      <c r="O568" s="367">
        <v>-50</v>
      </c>
      <c r="P568" s="367">
        <v>28</v>
      </c>
      <c r="Q568" s="327"/>
      <c r="R568" s="327"/>
    </row>
    <row r="569" spans="1:18" s="242" customFormat="1">
      <c r="A569" s="367">
        <v>27</v>
      </c>
      <c r="B569" s="366">
        <v>0.71</v>
      </c>
      <c r="C569" s="366"/>
      <c r="D569" s="369">
        <v>0.83</v>
      </c>
      <c r="E569" s="369">
        <v>0.57199999999999995</v>
      </c>
      <c r="F569" s="369">
        <v>0.94</v>
      </c>
      <c r="G569" s="369">
        <v>0.64700000000000002</v>
      </c>
      <c r="H569" s="369">
        <v>1.1399999999999999</v>
      </c>
      <c r="I569" s="369">
        <v>0.80100000000000005</v>
      </c>
      <c r="J569" s="369">
        <v>1.32</v>
      </c>
      <c r="K569" s="369">
        <v>0.94199999999999995</v>
      </c>
      <c r="L569" s="366">
        <v>28</v>
      </c>
      <c r="M569" s="325"/>
      <c r="N569" s="367" t="s">
        <v>1386</v>
      </c>
      <c r="O569" s="367">
        <v>-50</v>
      </c>
      <c r="P569" s="367">
        <v>28</v>
      </c>
      <c r="Q569" s="327"/>
      <c r="R569" s="327"/>
    </row>
    <row r="570" spans="1:18" s="242" customFormat="1">
      <c r="A570" s="367">
        <v>29</v>
      </c>
      <c r="B570" s="366">
        <v>0.84</v>
      </c>
      <c r="C570" s="366"/>
      <c r="D570" s="369">
        <v>0.98</v>
      </c>
      <c r="E570" s="369">
        <v>0.59399999999999997</v>
      </c>
      <c r="F570" s="369">
        <v>1.1100000000000001</v>
      </c>
      <c r="G570" s="369">
        <v>0.67200000000000004</v>
      </c>
      <c r="H570" s="369">
        <v>1.34</v>
      </c>
      <c r="I570" s="369">
        <v>0.83299999999999996</v>
      </c>
      <c r="J570" s="369">
        <v>1.57</v>
      </c>
      <c r="K570" s="369">
        <v>0.98</v>
      </c>
      <c r="L570" s="366">
        <v>30</v>
      </c>
      <c r="M570" s="325"/>
      <c r="N570" s="367" t="s">
        <v>1387</v>
      </c>
      <c r="O570" s="367">
        <v>-60</v>
      </c>
      <c r="P570" s="367">
        <v>40</v>
      </c>
      <c r="Q570" s="327"/>
      <c r="R570" s="327"/>
    </row>
    <row r="571" spans="1:18" s="242" customFormat="1">
      <c r="A571" s="367">
        <v>39</v>
      </c>
      <c r="B571" s="366">
        <v>2.16</v>
      </c>
      <c r="C571" s="366"/>
      <c r="D571" s="369">
        <v>2.52</v>
      </c>
      <c r="E571" s="369">
        <v>0.81899999999999995</v>
      </c>
      <c r="F571" s="369">
        <v>2.85</v>
      </c>
      <c r="G571" s="369">
        <v>0.93</v>
      </c>
      <c r="H571" s="369">
        <v>3.48</v>
      </c>
      <c r="I571" s="369">
        <v>1.1539999999999999</v>
      </c>
      <c r="J571" s="369">
        <v>4.09</v>
      </c>
      <c r="K571" s="369">
        <v>1.3660000000000001</v>
      </c>
      <c r="L571" s="366">
        <v>40</v>
      </c>
      <c r="M571" s="325"/>
      <c r="N571" s="325"/>
      <c r="O571" s="325"/>
      <c r="P571" s="325"/>
      <c r="Q571" s="327"/>
      <c r="R571" s="327"/>
    </row>
    <row r="572" spans="1:18" s="242" customFormat="1">
      <c r="C572" s="322"/>
      <c r="D572" s="322"/>
      <c r="E572" s="322"/>
      <c r="F572" s="323"/>
      <c r="G572" s="324"/>
      <c r="H572" s="324"/>
      <c r="I572" s="324"/>
      <c r="J572" s="325"/>
      <c r="K572" s="325"/>
      <c r="L572" s="325"/>
      <c r="M572" s="325"/>
      <c r="N572" s="325"/>
      <c r="O572" s="325"/>
      <c r="P572" s="325"/>
      <c r="Q572" s="327"/>
      <c r="R572" s="327"/>
    </row>
    <row r="573" spans="1:18" s="242" customFormat="1">
      <c r="C573" s="322"/>
      <c r="D573" s="322"/>
      <c r="E573" s="322"/>
      <c r="F573" s="323"/>
      <c r="G573" s="324"/>
      <c r="H573" s="324"/>
      <c r="I573" s="324"/>
      <c r="J573" s="325"/>
      <c r="K573" s="325"/>
      <c r="L573" s="325"/>
      <c r="M573" s="325"/>
      <c r="N573" s="325"/>
      <c r="O573" s="325"/>
      <c r="P573" s="325"/>
      <c r="Q573" s="327"/>
      <c r="R573" s="327"/>
    </row>
    <row r="574" spans="1:18" s="242" customFormat="1">
      <c r="A574" s="242" t="s">
        <v>1388</v>
      </c>
      <c r="B574" s="242" t="s">
        <v>1389</v>
      </c>
      <c r="C574" s="322"/>
      <c r="D574" s="322"/>
      <c r="E574" s="322"/>
      <c r="F574" s="323"/>
      <c r="G574" s="324"/>
      <c r="H574" s="324"/>
      <c r="I574" s="324"/>
      <c r="J574" s="325"/>
      <c r="K574" s="325"/>
      <c r="L574" s="325"/>
      <c r="M574" s="325"/>
      <c r="N574" s="325"/>
      <c r="O574" s="325"/>
      <c r="P574" s="325"/>
      <c r="Q574" s="327"/>
      <c r="R574" s="327"/>
    </row>
    <row r="575" spans="1:18" s="242" customFormat="1">
      <c r="A575" s="242" t="str">
        <f>L567&amp;"-"&amp;B565</f>
        <v>20-0.6</v>
      </c>
      <c r="B575" s="366">
        <v>0.45</v>
      </c>
      <c r="C575" s="322"/>
      <c r="D575" s="322"/>
      <c r="E575" s="322"/>
      <c r="F575" s="323"/>
      <c r="G575" s="324"/>
      <c r="H575" s="324"/>
      <c r="I575" s="324"/>
      <c r="J575" s="325"/>
      <c r="K575" s="325"/>
      <c r="L575" s="325"/>
      <c r="M575" s="325"/>
      <c r="N575" s="325"/>
      <c r="O575" s="325"/>
      <c r="P575" s="325"/>
      <c r="Q575" s="327"/>
      <c r="R575" s="327"/>
    </row>
    <row r="576" spans="1:18" s="242" customFormat="1">
      <c r="A576" s="242" t="str">
        <f>L568&amp;"-"&amp;B565</f>
        <v>25-0.6</v>
      </c>
      <c r="B576" s="366">
        <v>0.54</v>
      </c>
      <c r="C576" s="322"/>
      <c r="D576" s="322"/>
      <c r="E576" s="322"/>
      <c r="F576" s="323"/>
      <c r="G576" s="324"/>
      <c r="H576" s="324"/>
      <c r="I576" s="324"/>
      <c r="J576" s="325"/>
      <c r="K576" s="325"/>
      <c r="L576" s="325"/>
      <c r="M576" s="325"/>
      <c r="N576" s="325"/>
      <c r="O576" s="325"/>
      <c r="P576" s="325"/>
      <c r="Q576" s="327"/>
      <c r="R576" s="327"/>
    </row>
    <row r="577" spans="1:18" s="242" customFormat="1">
      <c r="A577" s="242" t="str">
        <f>L569&amp;"-"&amp;B565</f>
        <v>28-0.6</v>
      </c>
      <c r="B577" s="366">
        <v>0.71</v>
      </c>
      <c r="C577" s="322"/>
      <c r="D577" s="322"/>
      <c r="E577" s="322"/>
      <c r="F577" s="323"/>
      <c r="G577" s="324"/>
      <c r="H577" s="324"/>
      <c r="I577" s="324"/>
      <c r="J577" s="325"/>
      <c r="K577" s="325"/>
      <c r="L577" s="325"/>
      <c r="M577" s="325"/>
      <c r="N577" s="325"/>
      <c r="O577" s="325"/>
      <c r="P577" s="325"/>
      <c r="Q577" s="327"/>
      <c r="R577" s="327"/>
    </row>
    <row r="578" spans="1:18" s="242" customFormat="1">
      <c r="A578" s="242" t="str">
        <f>L570&amp;"-"&amp;B565</f>
        <v>30-0.6</v>
      </c>
      <c r="B578" s="366">
        <v>0.84</v>
      </c>
      <c r="C578" s="322"/>
      <c r="D578" s="322"/>
      <c r="E578" s="322"/>
      <c r="F578" s="323"/>
      <c r="G578" s="324"/>
      <c r="H578" s="324"/>
      <c r="I578" s="324"/>
      <c r="J578" s="325"/>
      <c r="K578" s="325"/>
      <c r="L578" s="325"/>
      <c r="M578" s="325"/>
      <c r="N578" s="325"/>
      <c r="O578" s="325"/>
      <c r="P578" s="325"/>
      <c r="Q578" s="327"/>
      <c r="R578" s="327"/>
    </row>
    <row r="579" spans="1:18" s="242" customFormat="1">
      <c r="A579" s="242" t="str">
        <f>L571&amp;"-"&amp;B565</f>
        <v>40-0.6</v>
      </c>
      <c r="B579" s="366">
        <v>2.16</v>
      </c>
      <c r="C579" s="322"/>
      <c r="D579" s="322"/>
      <c r="E579" s="322"/>
      <c r="F579" s="323"/>
      <c r="G579" s="324"/>
      <c r="H579" s="324"/>
      <c r="I579" s="324"/>
      <c r="J579" s="325"/>
      <c r="K579" s="325"/>
      <c r="L579" s="325"/>
      <c r="M579" s="325"/>
      <c r="N579" s="325"/>
      <c r="O579" s="325"/>
      <c r="P579" s="325"/>
      <c r="Q579" s="327"/>
      <c r="R579" s="327"/>
    </row>
    <row r="580" spans="1:18" s="242" customFormat="1">
      <c r="A580" s="242" t="str">
        <f>L568&amp;"-"&amp;D565</f>
        <v>25-0.7</v>
      </c>
      <c r="B580" s="366">
        <v>0.63</v>
      </c>
      <c r="C580" s="366">
        <v>0.54</v>
      </c>
      <c r="D580" s="322"/>
      <c r="E580" s="322"/>
      <c r="F580" s="323"/>
      <c r="G580" s="324"/>
      <c r="H580" s="324"/>
      <c r="I580" s="324"/>
      <c r="J580" s="325"/>
      <c r="K580" s="325"/>
      <c r="L580" s="325"/>
      <c r="M580" s="325"/>
      <c r="N580" s="325"/>
      <c r="O580" s="325"/>
      <c r="P580" s="325"/>
      <c r="Q580" s="327"/>
      <c r="R580" s="327"/>
    </row>
    <row r="581" spans="1:18" s="242" customFormat="1">
      <c r="A581" s="242" t="str">
        <f>L569&amp;"-"&amp;D565</f>
        <v>28-0.7</v>
      </c>
      <c r="B581" s="366">
        <v>0.83</v>
      </c>
      <c r="C581" s="366">
        <v>0.57199999999999995</v>
      </c>
      <c r="D581" s="322"/>
      <c r="E581" s="322"/>
      <c r="F581" s="323"/>
      <c r="G581" s="324"/>
      <c r="H581" s="324"/>
      <c r="I581" s="324"/>
      <c r="J581" s="325"/>
      <c r="K581" s="325"/>
      <c r="L581" s="325"/>
      <c r="M581" s="325"/>
      <c r="N581" s="325"/>
      <c r="O581" s="325"/>
      <c r="P581" s="325"/>
      <c r="Q581" s="327"/>
      <c r="R581" s="327"/>
    </row>
    <row r="582" spans="1:18" s="242" customFormat="1">
      <c r="A582" s="242" t="str">
        <f>L570&amp;"-"&amp;D565</f>
        <v>30-0.7</v>
      </c>
      <c r="B582" s="366">
        <v>0.98</v>
      </c>
      <c r="C582" s="366">
        <v>0.59399999999999997</v>
      </c>
      <c r="D582" s="322"/>
      <c r="E582" s="322"/>
      <c r="F582" s="323"/>
      <c r="G582" s="324"/>
      <c r="H582" s="324"/>
      <c r="I582" s="324"/>
      <c r="J582" s="325"/>
      <c r="K582" s="325"/>
      <c r="L582" s="325"/>
      <c r="M582" s="325"/>
      <c r="N582" s="325"/>
      <c r="O582" s="325"/>
      <c r="P582" s="325"/>
      <c r="Q582" s="327"/>
      <c r="R582" s="327"/>
    </row>
    <row r="583" spans="1:18" s="242" customFormat="1">
      <c r="A583" s="242" t="str">
        <f>L571&amp;"-"&amp;D565</f>
        <v>40-0.7</v>
      </c>
      <c r="B583" s="366">
        <v>2.52</v>
      </c>
      <c r="C583" s="366">
        <v>0.81899999999999995</v>
      </c>
      <c r="D583" s="322"/>
      <c r="E583" s="322"/>
      <c r="F583" s="323"/>
      <c r="G583" s="324"/>
      <c r="H583" s="324"/>
      <c r="I583" s="324"/>
      <c r="J583" s="325"/>
      <c r="K583" s="325"/>
      <c r="L583" s="325"/>
      <c r="M583" s="325"/>
      <c r="N583" s="325"/>
      <c r="O583" s="325"/>
      <c r="P583" s="325"/>
      <c r="Q583" s="327"/>
      <c r="R583" s="327"/>
    </row>
    <row r="584" spans="1:18" s="242" customFormat="1">
      <c r="A584" s="242" t="str">
        <f>L567&amp;"-"&amp;F565</f>
        <v>20-0.8</v>
      </c>
      <c r="B584" s="366">
        <v>0.6</v>
      </c>
      <c r="C584" s="322"/>
      <c r="D584" s="322"/>
      <c r="E584" s="322"/>
      <c r="F584" s="323"/>
      <c r="G584" s="324"/>
      <c r="H584" s="324"/>
      <c r="I584" s="324"/>
      <c r="J584" s="325"/>
      <c r="K584" s="325"/>
      <c r="L584" s="325"/>
      <c r="M584" s="325"/>
      <c r="N584" s="325"/>
      <c r="O584" s="325"/>
      <c r="P584" s="325"/>
      <c r="Q584" s="327"/>
      <c r="R584" s="327"/>
    </row>
    <row r="585" spans="1:18" s="242" customFormat="1">
      <c r="A585" s="242" t="str">
        <f>L569&amp;"-"&amp;F565</f>
        <v>28-0.8</v>
      </c>
      <c r="B585" s="366">
        <v>0.94</v>
      </c>
      <c r="C585" s="366">
        <v>0.64700000000000002</v>
      </c>
      <c r="D585" s="322"/>
      <c r="E585" s="322"/>
      <c r="F585" s="323"/>
      <c r="G585" s="324"/>
      <c r="H585" s="324"/>
      <c r="I585" s="324"/>
      <c r="J585" s="325"/>
      <c r="K585" s="325"/>
      <c r="L585" s="325"/>
      <c r="M585" s="325"/>
      <c r="N585" s="325"/>
      <c r="O585" s="325"/>
      <c r="P585" s="325"/>
      <c r="Q585" s="327"/>
      <c r="R585" s="327"/>
    </row>
    <row r="586" spans="1:18" s="242" customFormat="1">
      <c r="A586" s="242" t="str">
        <f>L570&amp;"-"&amp;F565</f>
        <v>30-0.8</v>
      </c>
      <c r="B586" s="366">
        <v>1.1100000000000001</v>
      </c>
      <c r="C586" s="366">
        <v>0.67200000000000004</v>
      </c>
      <c r="D586" s="322"/>
      <c r="E586" s="322"/>
      <c r="F586" s="323"/>
      <c r="G586" s="324"/>
      <c r="H586" s="324"/>
      <c r="I586" s="324"/>
      <c r="J586" s="325"/>
      <c r="K586" s="325"/>
      <c r="L586" s="325"/>
      <c r="M586" s="325"/>
      <c r="N586" s="325"/>
      <c r="O586" s="325"/>
      <c r="P586" s="325"/>
      <c r="Q586" s="327"/>
      <c r="R586" s="327"/>
    </row>
    <row r="587" spans="1:18" s="242" customFormat="1">
      <c r="A587" s="242" t="str">
        <f>L571&amp;"-"&amp;F565</f>
        <v>40-0.8</v>
      </c>
      <c r="B587" s="366">
        <v>2.85</v>
      </c>
      <c r="C587" s="366">
        <v>0.93</v>
      </c>
      <c r="D587" s="322"/>
      <c r="E587" s="322"/>
      <c r="F587" s="323"/>
      <c r="G587" s="324"/>
      <c r="H587" s="324"/>
      <c r="I587" s="324"/>
      <c r="J587" s="325"/>
      <c r="K587" s="325"/>
      <c r="L587" s="325"/>
      <c r="M587" s="325"/>
      <c r="N587" s="325"/>
      <c r="O587" s="325"/>
      <c r="P587" s="325"/>
      <c r="Q587" s="327"/>
      <c r="R587" s="327"/>
    </row>
    <row r="588" spans="1:18" s="242" customFormat="1">
      <c r="A588" s="242" t="str">
        <f>L569&amp;"-"&amp;H565</f>
        <v>28-1</v>
      </c>
      <c r="B588" s="366">
        <v>1.1399999999999999</v>
      </c>
      <c r="C588" s="366">
        <v>0.80100000000000005</v>
      </c>
      <c r="D588" s="322"/>
      <c r="E588" s="322"/>
      <c r="F588" s="323"/>
      <c r="G588" s="324"/>
      <c r="H588" s="324"/>
      <c r="I588" s="324"/>
      <c r="J588" s="325"/>
      <c r="K588" s="325"/>
      <c r="L588" s="325"/>
      <c r="M588" s="325"/>
      <c r="N588" s="325"/>
      <c r="O588" s="325"/>
      <c r="P588" s="325"/>
      <c r="Q588" s="327"/>
      <c r="R588" s="327"/>
    </row>
    <row r="589" spans="1:18" s="242" customFormat="1">
      <c r="A589" s="242" t="str">
        <f>L570&amp;"-"&amp;H565</f>
        <v>30-1</v>
      </c>
      <c r="B589" s="366">
        <v>1.34</v>
      </c>
      <c r="C589" s="366">
        <v>0.83299999999999996</v>
      </c>
      <c r="D589" s="322"/>
      <c r="E589" s="322"/>
      <c r="F589" s="323"/>
      <c r="G589" s="324"/>
      <c r="H589" s="324"/>
      <c r="I589" s="324"/>
      <c r="J589" s="325"/>
      <c r="K589" s="325"/>
      <c r="L589" s="325"/>
      <c r="M589" s="325"/>
      <c r="N589" s="325"/>
      <c r="O589" s="325"/>
      <c r="P589" s="325"/>
      <c r="Q589" s="327"/>
      <c r="R589" s="327"/>
    </row>
    <row r="590" spans="1:18" s="242" customFormat="1">
      <c r="A590" s="242" t="str">
        <f>L571&amp;"-"&amp;H565</f>
        <v>40-1</v>
      </c>
      <c r="B590" s="366">
        <v>3.48</v>
      </c>
      <c r="C590" s="366">
        <v>1.1539999999999999</v>
      </c>
      <c r="D590" s="322"/>
      <c r="E590" s="322"/>
      <c r="F590" s="323"/>
      <c r="G590" s="324"/>
      <c r="H590" s="324"/>
      <c r="I590" s="324"/>
      <c r="J590" s="325"/>
      <c r="K590" s="325"/>
      <c r="L590" s="325"/>
      <c r="M590" s="325"/>
      <c r="N590" s="325"/>
      <c r="O590" s="325"/>
      <c r="P590" s="325"/>
      <c r="Q590" s="327"/>
      <c r="R590" s="327"/>
    </row>
    <row r="591" spans="1:18" s="242" customFormat="1">
      <c r="A591" s="242" t="str">
        <f>L569&amp;"-"&amp;J565</f>
        <v>28-1.2</v>
      </c>
      <c r="B591" s="366">
        <v>1.32</v>
      </c>
      <c r="C591" s="366">
        <v>0.94199999999999995</v>
      </c>
      <c r="D591" s="322"/>
      <c r="E591" s="322"/>
      <c r="F591" s="323"/>
      <c r="G591" s="324"/>
      <c r="H591" s="324"/>
      <c r="I591" s="324"/>
      <c r="J591" s="325"/>
      <c r="K591" s="325"/>
      <c r="L591" s="325"/>
      <c r="M591" s="325"/>
      <c r="N591" s="325"/>
      <c r="O591" s="325"/>
      <c r="P591" s="325"/>
      <c r="Q591" s="327"/>
      <c r="R591" s="327"/>
    </row>
    <row r="592" spans="1:18" s="242" customFormat="1">
      <c r="A592" s="242" t="str">
        <f>L570&amp;"-"&amp;J565</f>
        <v>30-1.2</v>
      </c>
      <c r="B592" s="366">
        <v>1.57</v>
      </c>
      <c r="C592" s="366">
        <v>0.98</v>
      </c>
      <c r="D592" s="322"/>
      <c r="E592" s="322"/>
      <c r="F592" s="323"/>
      <c r="G592" s="324"/>
      <c r="H592" s="324"/>
      <c r="I592" s="324"/>
      <c r="J592" s="325"/>
      <c r="K592" s="325"/>
      <c r="L592" s="325"/>
      <c r="M592" s="325"/>
      <c r="N592" s="325"/>
      <c r="O592" s="325"/>
      <c r="P592" s="325"/>
      <c r="Q592" s="327"/>
      <c r="R592" s="327"/>
    </row>
    <row r="593" spans="1:18" s="242" customFormat="1">
      <c r="A593" s="242" t="str">
        <f>L571&amp;"-"&amp;J565</f>
        <v>40-1.2</v>
      </c>
      <c r="B593" s="366">
        <v>4.09</v>
      </c>
      <c r="C593" s="366">
        <v>1.3660000000000001</v>
      </c>
      <c r="D593" s="322"/>
      <c r="E593" s="322"/>
      <c r="F593" s="323"/>
      <c r="G593" s="324"/>
      <c r="H593" s="324"/>
      <c r="I593" s="324"/>
      <c r="J593" s="325"/>
      <c r="K593" s="325"/>
      <c r="L593" s="325"/>
      <c r="M593" s="325"/>
      <c r="N593" s="325"/>
      <c r="O593" s="325"/>
      <c r="P593" s="325"/>
      <c r="Q593" s="327"/>
      <c r="R593" s="327"/>
    </row>
    <row r="594" spans="1:18" s="242" customFormat="1">
      <c r="C594" s="322"/>
      <c r="D594" s="322"/>
      <c r="E594" s="322"/>
      <c r="F594" s="323"/>
      <c r="G594" s="324"/>
      <c r="H594" s="324"/>
      <c r="I594" s="324"/>
      <c r="J594" s="325"/>
      <c r="K594" s="325"/>
      <c r="L594" s="325"/>
      <c r="M594" s="325"/>
      <c r="N594" s="325"/>
      <c r="O594" s="325"/>
      <c r="P594" s="325"/>
      <c r="Q594" s="327"/>
      <c r="R594" s="327"/>
    </row>
    <row r="595" spans="1:18" s="242" customFormat="1">
      <c r="C595" s="322"/>
      <c r="D595" s="322"/>
      <c r="E595" s="322"/>
      <c r="F595" s="323"/>
      <c r="G595" s="324"/>
      <c r="H595" s="324"/>
      <c r="I595" s="324"/>
      <c r="J595" s="325"/>
      <c r="K595" s="325"/>
      <c r="L595" s="325"/>
      <c r="M595" s="325"/>
      <c r="N595" s="325"/>
      <c r="O595" s="325"/>
      <c r="P595" s="325"/>
      <c r="Q595" s="327"/>
      <c r="R595" s="327"/>
    </row>
    <row r="596" spans="1:18" s="242" customFormat="1">
      <c r="A596" s="370" t="s">
        <v>1390</v>
      </c>
      <c r="B596" s="324"/>
      <c r="C596" s="324"/>
      <c r="D596" s="324"/>
      <c r="E596" s="324"/>
      <c r="F596" s="324"/>
      <c r="G596" s="324"/>
      <c r="H596" s="324"/>
      <c r="I596" s="324"/>
      <c r="J596" s="325"/>
      <c r="K596" s="325"/>
      <c r="L596" s="325"/>
      <c r="M596" s="325"/>
      <c r="N596" s="325"/>
      <c r="O596" s="325"/>
      <c r="P596" s="325"/>
      <c r="Q596" s="327"/>
      <c r="R596" s="327"/>
    </row>
    <row r="597" spans="1:18" s="242" customFormat="1">
      <c r="A597" s="370" t="s">
        <v>1391</v>
      </c>
      <c r="B597" s="324"/>
      <c r="C597" s="324"/>
      <c r="D597" s="322">
        <f t="shared" ref="D597:D615" si="118">(H597+I597)*2/1000</f>
        <v>0.12</v>
      </c>
      <c r="E597" s="324"/>
      <c r="F597" s="324"/>
      <c r="G597" s="371">
        <f>(H597)*4-F597*4</f>
        <v>120</v>
      </c>
      <c r="H597" s="324">
        <v>30</v>
      </c>
      <c r="I597" s="324">
        <v>30</v>
      </c>
      <c r="J597" s="325"/>
      <c r="K597" s="325"/>
      <c r="L597" s="325"/>
      <c r="M597" s="325"/>
      <c r="N597" s="325"/>
      <c r="O597" s="325"/>
      <c r="P597" s="325"/>
      <c r="Q597" s="327"/>
      <c r="R597" s="327"/>
    </row>
    <row r="598" spans="1:18" s="242" customFormat="1">
      <c r="A598" s="370" t="s">
        <v>1392</v>
      </c>
      <c r="B598" s="324"/>
      <c r="C598" s="324"/>
      <c r="D598" s="322">
        <f t="shared" si="118"/>
        <v>0.16</v>
      </c>
      <c r="E598" s="324"/>
      <c r="F598" s="324"/>
      <c r="G598" s="371">
        <f>(H598)*4-F598*4</f>
        <v>160</v>
      </c>
      <c r="H598" s="324">
        <v>40</v>
      </c>
      <c r="I598" s="324">
        <v>40</v>
      </c>
      <c r="J598" s="325"/>
      <c r="K598" s="325"/>
      <c r="L598" s="325"/>
      <c r="M598" s="325"/>
      <c r="N598" s="325"/>
      <c r="O598" s="325"/>
      <c r="P598" s="325"/>
      <c r="Q598" s="327"/>
      <c r="R598" s="327"/>
    </row>
    <row r="599" spans="1:18" s="242" customFormat="1">
      <c r="A599" s="372" t="s">
        <v>1393</v>
      </c>
      <c r="C599" s="373">
        <f t="shared" ref="C599:C615" si="119">F599*G599*7.85/1000</f>
        <v>9.1373999999999995</v>
      </c>
      <c r="D599" s="322">
        <f t="shared" si="118"/>
        <v>0.4</v>
      </c>
      <c r="E599" s="322"/>
      <c r="F599" s="374">
        <v>3</v>
      </c>
      <c r="G599" s="371">
        <f>(100)*4-F599*4</f>
        <v>388</v>
      </c>
      <c r="H599" s="324">
        <v>100</v>
      </c>
      <c r="I599" s="324">
        <v>100</v>
      </c>
      <c r="J599" s="325"/>
      <c r="K599" s="325"/>
      <c r="L599" s="325">
        <v>0.95</v>
      </c>
      <c r="M599" s="325">
        <v>2.2999999999999998</v>
      </c>
      <c r="N599" s="325"/>
      <c r="O599" s="325">
        <v>2.2000000000000002</v>
      </c>
      <c r="P599" s="325"/>
      <c r="Q599" s="327"/>
      <c r="R599" s="327"/>
    </row>
    <row r="600" spans="1:18" s="242" customFormat="1">
      <c r="A600" s="372" t="s">
        <v>1393</v>
      </c>
      <c r="C600" s="373">
        <f t="shared" si="119"/>
        <v>12.057600000000001</v>
      </c>
      <c r="D600" s="322">
        <f t="shared" si="118"/>
        <v>0.4</v>
      </c>
      <c r="E600" s="322"/>
      <c r="F600" s="374">
        <v>4</v>
      </c>
      <c r="G600" s="371">
        <f>(100)*4-F600*4</f>
        <v>384</v>
      </c>
      <c r="H600" s="324">
        <v>100</v>
      </c>
      <c r="I600" s="324">
        <v>100</v>
      </c>
      <c r="J600" s="325"/>
      <c r="K600" s="325"/>
      <c r="L600" s="325">
        <v>0.95</v>
      </c>
      <c r="M600" s="325">
        <v>2.2999999999999998</v>
      </c>
      <c r="N600" s="325"/>
      <c r="O600" s="325">
        <v>2.2000000000000002</v>
      </c>
      <c r="P600" s="325"/>
      <c r="Q600" s="327"/>
      <c r="R600" s="327"/>
    </row>
    <row r="601" spans="1:18" s="242" customFormat="1">
      <c r="A601" s="372" t="s">
        <v>1394</v>
      </c>
      <c r="C601" s="373">
        <f t="shared" si="119"/>
        <v>11.0214</v>
      </c>
      <c r="D601" s="322">
        <f t="shared" si="118"/>
        <v>0.48</v>
      </c>
      <c r="E601" s="322"/>
      <c r="F601" s="374">
        <v>3</v>
      </c>
      <c r="G601" s="371">
        <f>(120)*4-F601*4</f>
        <v>468</v>
      </c>
      <c r="H601" s="324">
        <v>120</v>
      </c>
      <c r="I601" s="324">
        <v>120</v>
      </c>
      <c r="J601" s="325"/>
      <c r="K601" s="325"/>
      <c r="L601" s="325">
        <v>0.95</v>
      </c>
      <c r="M601" s="325">
        <v>2.2999999999999998</v>
      </c>
      <c r="N601" s="325"/>
      <c r="O601" s="325">
        <v>2.2000000000000002</v>
      </c>
      <c r="P601" s="325"/>
      <c r="Q601" s="327"/>
      <c r="R601" s="327"/>
    </row>
    <row r="602" spans="1:18" s="242" customFormat="1">
      <c r="A602" s="372" t="s">
        <v>1394</v>
      </c>
      <c r="C602" s="373">
        <f t="shared" si="119"/>
        <v>14.569599999999999</v>
      </c>
      <c r="D602" s="322">
        <f t="shared" si="118"/>
        <v>0.48</v>
      </c>
      <c r="E602" s="322"/>
      <c r="F602" s="374">
        <v>4</v>
      </c>
      <c r="G602" s="371">
        <f>(120)*4-F602*4</f>
        <v>464</v>
      </c>
      <c r="H602" s="324">
        <v>120</v>
      </c>
      <c r="I602" s="324">
        <v>120</v>
      </c>
      <c r="J602" s="325"/>
      <c r="K602" s="325"/>
      <c r="L602" s="325">
        <v>0.95</v>
      </c>
      <c r="M602" s="325">
        <v>2.2999999999999998</v>
      </c>
      <c r="N602" s="325"/>
      <c r="O602" s="325">
        <v>2.2000000000000002</v>
      </c>
      <c r="P602" s="325"/>
      <c r="Q602" s="327"/>
      <c r="R602" s="327"/>
    </row>
    <row r="603" spans="1:18" s="242" customFormat="1">
      <c r="A603" s="372" t="s">
        <v>1395</v>
      </c>
      <c r="C603" s="373">
        <f t="shared" si="119"/>
        <v>18.337599999999998</v>
      </c>
      <c r="D603" s="322">
        <f t="shared" si="118"/>
        <v>0.6</v>
      </c>
      <c r="E603" s="322"/>
      <c r="F603" s="374">
        <v>4</v>
      </c>
      <c r="G603" s="371">
        <f>(150)*4-F603*4</f>
        <v>584</v>
      </c>
      <c r="H603" s="324">
        <v>150</v>
      </c>
      <c r="I603" s="324">
        <v>150</v>
      </c>
      <c r="J603" s="325"/>
      <c r="K603" s="325"/>
      <c r="L603" s="325">
        <v>0.95</v>
      </c>
      <c r="M603" s="325">
        <v>2.2999999999999998</v>
      </c>
      <c r="N603" s="325"/>
      <c r="O603" s="325">
        <v>2.2000000000000002</v>
      </c>
      <c r="P603" s="325"/>
      <c r="Q603" s="327"/>
      <c r="R603" s="327"/>
    </row>
    <row r="604" spans="1:18" s="242" customFormat="1">
      <c r="A604" s="372" t="s">
        <v>1395</v>
      </c>
      <c r="C604" s="373">
        <f t="shared" si="119"/>
        <v>22.765000000000001</v>
      </c>
      <c r="D604" s="322">
        <f t="shared" si="118"/>
        <v>0.6</v>
      </c>
      <c r="E604" s="322"/>
      <c r="F604" s="374">
        <v>5</v>
      </c>
      <c r="G604" s="371">
        <f>(150)*4-F604*4</f>
        <v>580</v>
      </c>
      <c r="H604" s="324">
        <v>150</v>
      </c>
      <c r="I604" s="324">
        <v>150</v>
      </c>
      <c r="J604" s="325"/>
      <c r="K604" s="325"/>
      <c r="L604" s="325">
        <v>0.95</v>
      </c>
      <c r="M604" s="325">
        <v>2.2999999999999998</v>
      </c>
      <c r="N604" s="325"/>
      <c r="O604" s="325">
        <v>2.2000000000000002</v>
      </c>
      <c r="P604" s="325"/>
      <c r="Q604" s="327"/>
      <c r="R604" s="327"/>
    </row>
    <row r="605" spans="1:18" s="242" customFormat="1">
      <c r="A605" s="372" t="s">
        <v>1396</v>
      </c>
      <c r="C605" s="373">
        <f t="shared" si="119"/>
        <v>22.105599999999999</v>
      </c>
      <c r="D605" s="322">
        <f t="shared" si="118"/>
        <v>0.72</v>
      </c>
      <c r="E605" s="322"/>
      <c r="F605" s="374">
        <v>4</v>
      </c>
      <c r="G605" s="371">
        <f>(180)*4-F605*4</f>
        <v>704</v>
      </c>
      <c r="H605" s="324">
        <v>180</v>
      </c>
      <c r="I605" s="324">
        <v>180</v>
      </c>
      <c r="J605" s="325"/>
      <c r="K605" s="325"/>
      <c r="L605" s="325">
        <v>0.95</v>
      </c>
      <c r="M605" s="325">
        <v>2.2999999999999998</v>
      </c>
      <c r="N605" s="325"/>
      <c r="O605" s="325">
        <v>2.2000000000000002</v>
      </c>
      <c r="P605" s="325"/>
      <c r="Q605" s="327"/>
      <c r="R605" s="327"/>
    </row>
    <row r="606" spans="1:18" s="242" customFormat="1">
      <c r="A606" s="372" t="s">
        <v>1396</v>
      </c>
      <c r="C606" s="373">
        <f t="shared" si="119"/>
        <v>27.475000000000001</v>
      </c>
      <c r="D606" s="322">
        <f t="shared" si="118"/>
        <v>0.72</v>
      </c>
      <c r="E606" s="322"/>
      <c r="F606" s="374">
        <v>5</v>
      </c>
      <c r="G606" s="371">
        <f>(180)*4-F606*4</f>
        <v>700</v>
      </c>
      <c r="H606" s="324">
        <v>180</v>
      </c>
      <c r="I606" s="324">
        <v>180</v>
      </c>
      <c r="J606" s="325"/>
      <c r="K606" s="325"/>
      <c r="L606" s="325">
        <v>0.95</v>
      </c>
      <c r="M606" s="325">
        <v>2.2999999999999998</v>
      </c>
      <c r="N606" s="325"/>
      <c r="O606" s="325">
        <v>2.2000000000000002</v>
      </c>
      <c r="P606" s="325"/>
      <c r="Q606" s="327"/>
      <c r="R606" s="327"/>
    </row>
    <row r="607" spans="1:18" s="242" customFormat="1">
      <c r="A607" s="372" t="s">
        <v>1397</v>
      </c>
      <c r="C607" s="373">
        <f t="shared" si="119"/>
        <v>24.617599999999999</v>
      </c>
      <c r="D607" s="322">
        <f t="shared" si="118"/>
        <v>0.8</v>
      </c>
      <c r="E607" s="322"/>
      <c r="F607" s="374">
        <v>4</v>
      </c>
      <c r="G607" s="371">
        <f>(200)*4-F607*4</f>
        <v>784</v>
      </c>
      <c r="H607" s="324">
        <v>200</v>
      </c>
      <c r="I607" s="324">
        <v>200</v>
      </c>
      <c r="J607" s="325"/>
      <c r="K607" s="325"/>
      <c r="L607" s="325">
        <v>0.95</v>
      </c>
      <c r="M607" s="325">
        <v>2.2999999999999998</v>
      </c>
      <c r="N607" s="325"/>
      <c r="O607" s="325">
        <v>2.2000000000000002</v>
      </c>
      <c r="P607" s="325"/>
      <c r="Q607" s="327"/>
      <c r="R607" s="327"/>
    </row>
    <row r="608" spans="1:18" s="242" customFormat="1">
      <c r="A608" s="372" t="s">
        <v>1397</v>
      </c>
      <c r="C608" s="373">
        <f t="shared" si="119"/>
        <v>30.614999999999998</v>
      </c>
      <c r="D608" s="322">
        <f t="shared" si="118"/>
        <v>0.8</v>
      </c>
      <c r="E608" s="322"/>
      <c r="F608" s="374">
        <v>5</v>
      </c>
      <c r="G608" s="371">
        <f>(200)*4-F608*4</f>
        <v>780</v>
      </c>
      <c r="H608" s="324">
        <v>200</v>
      </c>
      <c r="I608" s="324">
        <v>200</v>
      </c>
      <c r="J608" s="325"/>
      <c r="K608" s="325"/>
      <c r="L608" s="325">
        <v>0.95</v>
      </c>
      <c r="M608" s="325">
        <v>2.2999999999999998</v>
      </c>
      <c r="N608" s="325"/>
      <c r="O608" s="325">
        <v>2.2000000000000002</v>
      </c>
      <c r="P608" s="325"/>
      <c r="Q608" s="327"/>
      <c r="R608" s="327"/>
    </row>
    <row r="609" spans="1:18" s="242" customFormat="1">
      <c r="A609" s="372" t="s">
        <v>1397</v>
      </c>
      <c r="C609" s="373">
        <f t="shared" si="119"/>
        <v>36.549599999999998</v>
      </c>
      <c r="D609" s="322">
        <f t="shared" si="118"/>
        <v>0.8</v>
      </c>
      <c r="E609" s="322"/>
      <c r="F609" s="374">
        <v>6</v>
      </c>
      <c r="G609" s="371">
        <f>(200)*4-F609*4</f>
        <v>776</v>
      </c>
      <c r="H609" s="324">
        <v>200</v>
      </c>
      <c r="I609" s="324">
        <v>200</v>
      </c>
      <c r="J609" s="325"/>
      <c r="K609" s="325"/>
      <c r="L609" s="325">
        <v>0.95</v>
      </c>
      <c r="M609" s="325">
        <v>2.2999999999999998</v>
      </c>
      <c r="N609" s="325"/>
      <c r="O609" s="325">
        <v>2.2000000000000002</v>
      </c>
      <c r="P609" s="325"/>
      <c r="Q609" s="327"/>
      <c r="R609" s="327"/>
    </row>
    <row r="610" spans="1:18" s="242" customFormat="1">
      <c r="A610" s="372" t="s">
        <v>1398</v>
      </c>
      <c r="C610" s="373">
        <f t="shared" si="119"/>
        <v>30.897600000000001</v>
      </c>
      <c r="D610" s="322">
        <f t="shared" si="118"/>
        <v>1</v>
      </c>
      <c r="E610" s="322"/>
      <c r="F610" s="374">
        <v>4</v>
      </c>
      <c r="G610" s="371">
        <f>(250)*4-F610*4</f>
        <v>984</v>
      </c>
      <c r="H610" s="324">
        <v>250</v>
      </c>
      <c r="I610" s="324">
        <v>250</v>
      </c>
      <c r="J610" s="325"/>
      <c r="K610" s="325"/>
      <c r="L610" s="325">
        <v>0.95</v>
      </c>
      <c r="M610" s="325">
        <v>2.2999999999999998</v>
      </c>
      <c r="N610" s="325"/>
      <c r="O610" s="325">
        <v>2.2000000000000002</v>
      </c>
      <c r="P610" s="325"/>
      <c r="Q610" s="327"/>
      <c r="R610" s="327"/>
    </row>
    <row r="611" spans="1:18" s="242" customFormat="1">
      <c r="A611" s="372" t="s">
        <v>1398</v>
      </c>
      <c r="C611" s="373">
        <f t="shared" si="119"/>
        <v>38.465000000000003</v>
      </c>
      <c r="D611" s="322">
        <f t="shared" si="118"/>
        <v>1</v>
      </c>
      <c r="E611" s="322"/>
      <c r="F611" s="374">
        <v>5</v>
      </c>
      <c r="G611" s="371">
        <f>(250)*4-F611*4</f>
        <v>980</v>
      </c>
      <c r="H611" s="324">
        <v>250</v>
      </c>
      <c r="I611" s="324">
        <v>250</v>
      </c>
      <c r="J611" s="325"/>
      <c r="K611" s="325"/>
      <c r="L611" s="325">
        <v>0.95</v>
      </c>
      <c r="M611" s="325">
        <v>2.2999999999999998</v>
      </c>
      <c r="N611" s="325"/>
      <c r="O611" s="325">
        <v>2.2000000000000002</v>
      </c>
      <c r="P611" s="325"/>
      <c r="Q611" s="327"/>
      <c r="R611" s="327"/>
    </row>
    <row r="612" spans="1:18" s="242" customFormat="1">
      <c r="A612" s="372" t="s">
        <v>1398</v>
      </c>
      <c r="C612" s="373">
        <f t="shared" si="119"/>
        <v>45.9696</v>
      </c>
      <c r="D612" s="322">
        <f t="shared" si="118"/>
        <v>1</v>
      </c>
      <c r="E612" s="322"/>
      <c r="F612" s="374">
        <v>6</v>
      </c>
      <c r="G612" s="371">
        <f>(250)*4-F612*4</f>
        <v>976</v>
      </c>
      <c r="H612" s="324">
        <v>250</v>
      </c>
      <c r="I612" s="324">
        <v>250</v>
      </c>
      <c r="J612" s="325"/>
      <c r="K612" s="325"/>
      <c r="L612" s="325">
        <v>0.95</v>
      </c>
      <c r="M612" s="325">
        <v>2.2999999999999998</v>
      </c>
      <c r="N612" s="325"/>
      <c r="O612" s="325">
        <v>2.2000000000000002</v>
      </c>
      <c r="P612" s="325"/>
      <c r="Q612" s="327"/>
      <c r="R612" s="327"/>
    </row>
    <row r="613" spans="1:18" s="242" customFormat="1">
      <c r="A613" s="372" t="s">
        <v>1399</v>
      </c>
      <c r="C613" s="373">
        <f t="shared" si="119"/>
        <v>37.177599999999998</v>
      </c>
      <c r="D613" s="322">
        <f t="shared" si="118"/>
        <v>1.2</v>
      </c>
      <c r="E613" s="322"/>
      <c r="F613" s="374">
        <v>4</v>
      </c>
      <c r="G613" s="371">
        <f>(300)*4-F613*4</f>
        <v>1184</v>
      </c>
      <c r="H613" s="324">
        <v>300</v>
      </c>
      <c r="I613" s="324">
        <v>300</v>
      </c>
      <c r="J613" s="325"/>
      <c r="K613" s="325"/>
      <c r="L613" s="325">
        <v>0.95</v>
      </c>
      <c r="M613" s="325">
        <v>2.2999999999999998</v>
      </c>
      <c r="N613" s="325"/>
      <c r="O613" s="325">
        <v>2.2000000000000002</v>
      </c>
      <c r="P613" s="325"/>
      <c r="Q613" s="327"/>
      <c r="R613" s="327"/>
    </row>
    <row r="614" spans="1:18" s="242" customFormat="1">
      <c r="A614" s="372" t="s">
        <v>1399</v>
      </c>
      <c r="C614" s="373">
        <f t="shared" si="119"/>
        <v>46.314999999999998</v>
      </c>
      <c r="D614" s="322">
        <f t="shared" si="118"/>
        <v>1.2</v>
      </c>
      <c r="E614" s="322"/>
      <c r="F614" s="374">
        <v>5</v>
      </c>
      <c r="G614" s="371">
        <f>(300)*4-F614*4</f>
        <v>1180</v>
      </c>
      <c r="H614" s="324">
        <v>300</v>
      </c>
      <c r="I614" s="324">
        <v>300</v>
      </c>
      <c r="J614" s="325"/>
      <c r="K614" s="325"/>
      <c r="L614" s="325">
        <v>0.95</v>
      </c>
      <c r="M614" s="325">
        <v>2.2999999999999998</v>
      </c>
      <c r="N614" s="325"/>
      <c r="O614" s="325">
        <v>2.2000000000000002</v>
      </c>
      <c r="P614" s="325"/>
      <c r="Q614" s="327"/>
      <c r="R614" s="327"/>
    </row>
    <row r="615" spans="1:18" s="242" customFormat="1">
      <c r="A615" s="372" t="s">
        <v>1399</v>
      </c>
      <c r="C615" s="373">
        <f t="shared" si="119"/>
        <v>55.389600000000002</v>
      </c>
      <c r="D615" s="322">
        <f t="shared" si="118"/>
        <v>1.2</v>
      </c>
      <c r="E615" s="322"/>
      <c r="F615" s="374">
        <v>6</v>
      </c>
      <c r="G615" s="371">
        <f>(300)*4-F615*4</f>
        <v>1176</v>
      </c>
      <c r="H615" s="324">
        <v>300</v>
      </c>
      <c r="I615" s="324">
        <v>300</v>
      </c>
      <c r="J615" s="325"/>
      <c r="K615" s="325"/>
      <c r="L615" s="325">
        <v>0.95</v>
      </c>
      <c r="M615" s="325">
        <v>2.2999999999999998</v>
      </c>
      <c r="N615" s="325"/>
      <c r="O615" s="325">
        <v>2.2000000000000002</v>
      </c>
      <c r="P615" s="325"/>
      <c r="Q615" s="327"/>
      <c r="R615" s="327"/>
    </row>
    <row r="617" spans="1:18">
      <c r="A617" s="259" t="s">
        <v>788</v>
      </c>
    </row>
  </sheetData>
  <sheetProtection insertRows="0" selectLockedCells="1" sort="0" autoFilter="0"/>
  <autoFilter ref="A2:V348" xr:uid="{00000000-0009-0000-0000-000006000000}"/>
  <mergeCells count="4">
    <mergeCell ref="D565:E565"/>
    <mergeCell ref="F565:G565"/>
    <mergeCell ref="H565:I565"/>
    <mergeCell ref="J565:K565"/>
  </mergeCells>
  <phoneticPr fontId="120" type="noConversion"/>
  <pageMargins left="0.7" right="0.7" top="0.75" bottom="0.75" header="0.3" footer="0.3"/>
  <pageSetup paperSize="9" orientation="portrait"/>
  <ignoredErrors>
    <ignoredError sqref="J271" formula="1"/>
  </ignoredErrors>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2" id="{00000000-000E-0000-0600-000002000000}">
            <xm:f>Sheet1!$A$3&lt;&gt;1</xm:f>
            <x14:dxf>
              <font>
                <color theme="3" tint="0.79992065187536243"/>
              </font>
              <fill>
                <patternFill patternType="solid">
                  <bgColor theme="3" tint="0.79992065187536243"/>
                </patternFill>
              </fill>
            </x14:dxf>
          </x14:cfRule>
          <xm:sqref>A232:C232</xm:sqref>
        </x14:conditionalFormatting>
        <x14:conditionalFormatting xmlns:xm="http://schemas.microsoft.com/office/excel/2006/main">
          <x14:cfRule type="expression" priority="1" id="{00000000-000E-0000-0600-000001000000}">
            <xm:f>Sheet1!$A$3&lt;&gt;1</xm:f>
            <x14:dxf>
              <font>
                <color theme="3" tint="0.79992065187536243"/>
              </font>
              <fill>
                <patternFill patternType="solid">
                  <bgColor theme="3" tint="0.79992065187536243"/>
                </patternFill>
              </fill>
            </x14:dxf>
          </x14:cfRule>
          <xm:sqref>A233:A235</xm:sqref>
        </x14:conditionalFormatting>
        <x14:conditionalFormatting xmlns:xm="http://schemas.microsoft.com/office/excel/2006/main">
          <x14:cfRule type="expression" priority="4" id="{00000000-000E-0000-0600-000004000000}">
            <xm:f>Sheet1!$A$3&lt;&gt;1</xm:f>
            <x14:dxf>
              <font>
                <color theme="3" tint="0.79992065187536243"/>
              </font>
              <fill>
                <patternFill patternType="solid">
                  <bgColor theme="3" tint="0.79992065187536243"/>
                </patternFill>
              </fill>
            </x14:dxf>
          </x14:cfRule>
          <xm:sqref>E1:E1048576 J1:P1048576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dimension ref="A1:O3"/>
  <sheetViews>
    <sheetView workbookViewId="0">
      <selection activeCell="A2" sqref="A2"/>
    </sheetView>
  </sheetViews>
  <sheetFormatPr defaultColWidth="9" defaultRowHeight="14.25"/>
  <cols>
    <col min="1" max="2" width="12.25" customWidth="1"/>
  </cols>
  <sheetData>
    <row r="1" spans="1:15">
      <c r="A1" t="s">
        <v>1400</v>
      </c>
    </row>
    <row r="3" spans="1:15">
      <c r="A3">
        <v>1</v>
      </c>
      <c r="O3" t="s">
        <v>130</v>
      </c>
    </row>
  </sheetData>
  <phoneticPr fontId="12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B1:BY172"/>
  <sheetViews>
    <sheetView tabSelected="1" topLeftCell="N1" workbookViewId="0">
      <selection activeCell="P4" sqref="P4:P15"/>
    </sheetView>
  </sheetViews>
  <sheetFormatPr defaultColWidth="9" defaultRowHeight="14.25"/>
  <cols>
    <col min="2" max="5" width="9" hidden="1" customWidth="1"/>
    <col min="6" max="6" width="13" customWidth="1"/>
    <col min="7" max="7" width="13.5" customWidth="1"/>
    <col min="8" max="8" width="24.25" customWidth="1"/>
    <col min="9" max="9" width="12.875" customWidth="1"/>
    <col min="10" max="11" width="23.875" customWidth="1"/>
    <col min="12" max="12" width="12.875" style="112" customWidth="1"/>
    <col min="13" max="13" width="22" customWidth="1"/>
    <col min="14" max="14" width="15" customWidth="1"/>
    <col min="15" max="15" width="27.625" customWidth="1"/>
    <col min="16" max="16" width="21.125" customWidth="1"/>
    <col min="17" max="17" width="17.875" customWidth="1"/>
    <col min="18" max="18" width="13.375" customWidth="1"/>
    <col min="19" max="21" width="13.625" customWidth="1"/>
    <col min="22" max="23" width="15" customWidth="1"/>
    <col min="24" max="24" width="13.75" customWidth="1"/>
    <col min="25" max="25" width="16.125" customWidth="1"/>
    <col min="26" max="26" width="28.25" customWidth="1"/>
    <col min="27" max="27" width="15" customWidth="1"/>
    <col min="28" max="28" width="9.5" customWidth="1"/>
    <col min="29" max="29" width="15" customWidth="1"/>
    <col min="30" max="30" width="13.875" customWidth="1"/>
    <col min="31" max="31" width="16.125" customWidth="1"/>
    <col min="32" max="32" width="19.375" customWidth="1"/>
    <col min="35" max="35" width="14.5" customWidth="1"/>
    <col min="46" max="46" width="14" customWidth="1"/>
    <col min="47" max="47" width="20.625" customWidth="1"/>
    <col min="51" max="51" width="5.5" customWidth="1"/>
    <col min="52" max="52" width="18.375" customWidth="1"/>
    <col min="53" max="53" width="23.875" customWidth="1"/>
    <col min="54" max="55" width="22.375" customWidth="1"/>
    <col min="57" max="57" width="27.625" customWidth="1"/>
    <col min="70" max="70" width="81" bestFit="1" customWidth="1"/>
    <col min="71" max="71" width="69.375" bestFit="1" customWidth="1"/>
    <col min="72" max="75" width="11.625" customWidth="1"/>
    <col min="76" max="76" width="16.125" bestFit="1" customWidth="1"/>
    <col min="77" max="77" width="9.5" customWidth="1"/>
  </cols>
  <sheetData>
    <row r="1" spans="6:77" ht="27">
      <c r="F1" t="s">
        <v>263</v>
      </c>
      <c r="G1" t="s">
        <v>12</v>
      </c>
      <c r="H1" t="s">
        <v>459</v>
      </c>
      <c r="I1" s="240" t="s">
        <v>920</v>
      </c>
      <c r="J1" s="240" t="s">
        <v>1401</v>
      </c>
      <c r="K1" s="240" t="s">
        <v>1402</v>
      </c>
      <c r="L1" s="241" t="s">
        <v>1403</v>
      </c>
      <c r="M1" t="s">
        <v>362</v>
      </c>
      <c r="N1" s="240" t="s">
        <v>983</v>
      </c>
      <c r="O1" s="240" t="s">
        <v>1404</v>
      </c>
      <c r="P1" t="s">
        <v>155</v>
      </c>
      <c r="Q1" t="s">
        <v>1234</v>
      </c>
      <c r="R1" t="s">
        <v>543</v>
      </c>
      <c r="S1" t="s">
        <v>609</v>
      </c>
      <c r="T1" s="242" t="s">
        <v>1257</v>
      </c>
      <c r="U1" s="242" t="s">
        <v>626</v>
      </c>
      <c r="V1" t="s">
        <v>633</v>
      </c>
      <c r="W1" t="s">
        <v>635</v>
      </c>
      <c r="X1" t="s">
        <v>1405</v>
      </c>
      <c r="Y1" s="242" t="s">
        <v>1285</v>
      </c>
      <c r="Z1" s="242" t="s">
        <v>650</v>
      </c>
      <c r="AA1" s="242" t="s">
        <v>1324</v>
      </c>
      <c r="AB1" s="243" t="s">
        <v>652</v>
      </c>
      <c r="AC1" s="243" t="s">
        <v>654</v>
      </c>
      <c r="AD1" s="244" t="s">
        <v>656</v>
      </c>
      <c r="AE1" s="242" t="s">
        <v>658</v>
      </c>
      <c r="AF1" s="242" t="s">
        <v>1352</v>
      </c>
      <c r="AG1" s="242" t="s">
        <v>1362</v>
      </c>
      <c r="AI1" s="242" t="s">
        <v>509</v>
      </c>
      <c r="AL1" t="s">
        <v>564</v>
      </c>
      <c r="AR1" t="s">
        <v>1403</v>
      </c>
      <c r="AS1" t="s">
        <v>262</v>
      </c>
      <c r="AT1" t="s">
        <v>173</v>
      </c>
      <c r="AV1" t="s">
        <v>199</v>
      </c>
      <c r="AY1" t="s">
        <v>153</v>
      </c>
      <c r="AZ1" t="s">
        <v>94</v>
      </c>
      <c r="BA1" s="245" t="s">
        <v>175</v>
      </c>
      <c r="BB1" s="245" t="s">
        <v>176</v>
      </c>
      <c r="BC1" s="245" t="s">
        <v>177</v>
      </c>
      <c r="BE1" s="245" t="s">
        <v>1406</v>
      </c>
      <c r="BF1" s="245" t="s">
        <v>321</v>
      </c>
      <c r="BI1" t="s">
        <v>375</v>
      </c>
      <c r="BN1" t="s">
        <v>130</v>
      </c>
      <c r="BP1" t="s">
        <v>133</v>
      </c>
      <c r="BR1" t="s">
        <v>1407</v>
      </c>
    </row>
    <row r="2" spans="6:77" ht="15">
      <c r="F2" t="str">
        <f>常规材料表!A4</f>
        <v>L5547-15</v>
      </c>
      <c r="G2" s="246" t="str">
        <f>常规材料表!A66</f>
        <v>90.Br2435.14</v>
      </c>
      <c r="H2" t="str">
        <f>常规材料表!A288</f>
        <v>FP90M+bolt.set</v>
      </c>
      <c r="I2" s="247" t="str">
        <f>常规材料表!A89</f>
        <v>B8050.15</v>
      </c>
      <c r="J2" s="247" t="str" cm="1">
        <f t="array" ref="J2:J6">_xlfn._xlws.FILTER(下拉菜单!M1:M1000,下拉菜单!L1:L1000=报价辅助计算!E1,"无匹配")</f>
        <v>Bracket.DE75-2H+pin</v>
      </c>
      <c r="K2" s="247" t="str" cm="1">
        <f t="array" ref="K2:K9">_xlfn._xlws.FILTER(下拉菜单!M1:M1000,下拉菜单!L1:L1000=报价辅助计算!H1,"无匹配")</f>
        <v>Bracket.DE50-5H+pin</v>
      </c>
      <c r="L2" s="248">
        <v>50</v>
      </c>
      <c r="M2" s="242" t="str">
        <f>常规材料表!A265</f>
        <v>Bracket.DE50-5H+pin</v>
      </c>
      <c r="N2" s="247" t="s">
        <v>325</v>
      </c>
      <c r="O2" s="242" t="str">
        <f>常规材料表!A180</f>
        <v>Pallet Support HS5030.15</v>
      </c>
      <c r="P2" s="249" t="s">
        <v>396</v>
      </c>
      <c r="Q2" s="247" t="s">
        <v>1408</v>
      </c>
      <c r="R2" s="242" t="s">
        <v>1243</v>
      </c>
      <c r="S2" s="242" t="str">
        <f>常规材料表!A372</f>
        <v>C200×60×2.0t</v>
      </c>
      <c r="T2" s="242" t="str">
        <f>常规材料表!A387</f>
        <v>L419×H300×6t</v>
      </c>
      <c r="U2" s="242" t="str">
        <f>常规材料表!A396</f>
        <v>B200×60×2.0t</v>
      </c>
      <c r="V2" t="str">
        <f>常规材料表!A414</f>
        <v>L196/50×63×3.0t</v>
      </c>
      <c r="W2" t="str">
        <f>常规材料表!A423</f>
        <v>U203/20×297×3t</v>
      </c>
      <c r="X2" t="str">
        <f>常规材料表!A432</f>
        <v>180×90×1.0t</v>
      </c>
      <c r="Y2" t="str">
        <f>常规材料表!A444</f>
        <v>M16×100 8.8G</v>
      </c>
      <c r="Z2" t="str">
        <f>常规材料表!A468</f>
        <v>Mb120/5×0×W94×3t/25×15</v>
      </c>
      <c r="AA2" t="str">
        <f>常规材料表!A489</f>
        <v>H300-W90×5.0t</v>
      </c>
      <c r="AB2" t="str">
        <f>常规材料表!A498</f>
        <v>44×44×3t</v>
      </c>
      <c r="AC2" t="str">
        <f>常规材料表!A500</f>
        <v>U50/63×W86×3t</v>
      </c>
      <c r="AD2" t="str">
        <f>常规材料表!A515</f>
        <v>φ20×2t×L220</v>
      </c>
      <c r="AE2" t="str" cm="1">
        <f t="array" ref="AE2:AE6">常规材料表!A524:A528</f>
        <v>ø39(ø21)×3.0t</v>
      </c>
      <c r="AF2" t="str">
        <f>常规材料表!A533</f>
        <v>H Brace ø32×1.5t</v>
      </c>
      <c r="AG2" t="str">
        <f>常规材料表!A543</f>
        <v>L105/50×H150×3t</v>
      </c>
      <c r="AI2" t="str">
        <f>常规材料表!A550</f>
        <v>H305×4.5t P</v>
      </c>
      <c r="AL2" t="s">
        <v>1057</v>
      </c>
      <c r="AR2">
        <v>50</v>
      </c>
      <c r="AS2" t="s">
        <v>8</v>
      </c>
      <c r="AT2" t="s">
        <v>1409</v>
      </c>
      <c r="AU2" t="s">
        <v>218</v>
      </c>
      <c r="AV2" t="s">
        <v>314</v>
      </c>
      <c r="AZ2" t="s">
        <v>1410</v>
      </c>
      <c r="BA2" s="898" t="s">
        <v>2308</v>
      </c>
      <c r="BB2" t="s">
        <v>1411</v>
      </c>
      <c r="BC2" t="s">
        <v>1411</v>
      </c>
      <c r="BE2" s="188" t="s">
        <v>1412</v>
      </c>
      <c r="BF2">
        <v>1.3</v>
      </c>
      <c r="BI2" s="247" t="str">
        <f>常规材料表!A115</f>
        <v>P5030/25.12</v>
      </c>
      <c r="BP2" t="s">
        <v>1413</v>
      </c>
      <c r="BR2" t="s">
        <v>1414</v>
      </c>
    </row>
    <row r="3" spans="6:77" ht="15">
      <c r="F3" t="str">
        <f>常规材料表!A5</f>
        <v>L5547-18</v>
      </c>
      <c r="G3" s="246" t="str">
        <f>常规材料表!A67</f>
        <v>90.Br2440.12</v>
      </c>
      <c r="H3" t="str">
        <f>常规材料表!A289</f>
        <v>FP90H2.D50+bolt.set</v>
      </c>
      <c r="I3" s="247" t="str">
        <f>常规材料表!A90</f>
        <v>B9050.15</v>
      </c>
      <c r="J3" s="247" t="str">
        <v>Bracket.DE75-3H+pin</v>
      </c>
      <c r="K3" s="247" t="str">
        <v>Bracket.DE50-4H+pin</v>
      </c>
      <c r="L3" s="248">
        <v>50</v>
      </c>
      <c r="M3" s="242" t="str">
        <f>常规材料表!A266</f>
        <v>Bracket.DE50-4H+pin</v>
      </c>
      <c r="N3" s="247" t="str">
        <f>常规材料表!A154</f>
        <v>HS4040.15</v>
      </c>
      <c r="O3" s="242" t="str">
        <f>常规材料表!A181</f>
        <v>Pallet Support HS6040.15</v>
      </c>
      <c r="P3" s="249" t="s">
        <v>425</v>
      </c>
      <c r="Q3" s="247" t="s">
        <v>1415</v>
      </c>
      <c r="R3" s="242" t="s">
        <v>546</v>
      </c>
      <c r="S3" s="242" t="str">
        <f>常规材料表!A373</f>
        <v>C200×60×2.5t</v>
      </c>
      <c r="T3" s="242" t="str">
        <f>常规材料表!A388</f>
        <v>L469×H350×6t</v>
      </c>
      <c r="U3" s="242" t="str">
        <f>常规材料表!A397</f>
        <v>B200×60×2.5t</v>
      </c>
      <c r="V3" t="str">
        <f>常规材料表!A415</f>
        <v>U89/50×203×5t</v>
      </c>
      <c r="W3" t="str">
        <f>常规材料表!A424</f>
        <v>U204/20×348×3t</v>
      </c>
      <c r="X3" t="str">
        <f>常规材料表!A433</f>
        <v>180×90×3.0t</v>
      </c>
      <c r="Y3" t="str">
        <f>常规材料表!A445</f>
        <v>Anc.M12.L100</v>
      </c>
      <c r="Z3" t="str">
        <f>常规材料表!A469</f>
        <v>MC100/50×W60×3.0t</v>
      </c>
      <c r="AA3" t="str">
        <f>常规材料表!A490</f>
        <v>H185-W60×4.0t</v>
      </c>
      <c r="AB3" t="str">
        <f>常规材料表!A499</f>
        <v>U52/40/40×3.0t</v>
      </c>
      <c r="AC3" t="str">
        <f>常规材料表!A501</f>
        <v>U45/63×W52×3t</v>
      </c>
      <c r="AD3" t="str">
        <f>常规材料表!A516</f>
        <v>φ20×2t×L360</v>
      </c>
      <c r="AE3" t="str">
        <v>ø37(ø21)×3.0t</v>
      </c>
      <c r="AF3" t="str">
        <f>常规材料表!A534</f>
        <v>D brace ø32×1.5t</v>
      </c>
      <c r="AG3" t="str">
        <f>常规材料表!A544</f>
        <v>L50×4.0t×H150</v>
      </c>
      <c r="AI3" t="str">
        <f>常规材料表!A551</f>
        <v>H400×4.5t D</v>
      </c>
      <c r="AL3" t="s">
        <v>1059</v>
      </c>
      <c r="AR3">
        <v>75</v>
      </c>
      <c r="AS3" t="s">
        <v>7</v>
      </c>
      <c r="AT3" t="s">
        <v>178</v>
      </c>
      <c r="AU3" t="s">
        <v>300</v>
      </c>
      <c r="AV3" t="s">
        <v>342</v>
      </c>
      <c r="AZ3" t="s">
        <v>1410</v>
      </c>
      <c r="BA3" s="898" t="s">
        <v>2315</v>
      </c>
      <c r="BE3" s="188" t="s">
        <v>1416</v>
      </c>
      <c r="BF3">
        <v>1.5</v>
      </c>
      <c r="BI3" s="247" t="str">
        <f>常规材料表!A116</f>
        <v>P5030/25.15</v>
      </c>
      <c r="BP3" t="s">
        <v>1417</v>
      </c>
      <c r="BR3" t="s">
        <v>1418</v>
      </c>
    </row>
    <row r="4" spans="6:77" ht="15">
      <c r="F4" t="str">
        <f>常规材料表!A6</f>
        <v>L55C47RF-15</v>
      </c>
      <c r="G4" s="246" t="str">
        <f>常规材料表!A68</f>
        <v>90.Br2440.14</v>
      </c>
      <c r="H4" t="str">
        <f>常规材料表!A290</f>
        <v>FP90H2.D75+bolt.set</v>
      </c>
      <c r="I4" s="247" t="str">
        <f>常规材料表!A91</f>
        <v>B10050.15</v>
      </c>
      <c r="J4" s="247" t="str">
        <v>Bracket.DE75-4H+pin</v>
      </c>
      <c r="K4" s="247" t="str">
        <v>Bracket.DA50-5H+pin</v>
      </c>
      <c r="L4" s="248">
        <v>75</v>
      </c>
      <c r="M4" s="242" t="str">
        <f>常规材料表!A267</f>
        <v>Bracket.DE75-2H+pin</v>
      </c>
      <c r="N4" s="247" t="str">
        <f>常规材料表!A155</f>
        <v>HS5030.12</v>
      </c>
      <c r="O4" s="242" t="str">
        <f>常规材料表!A182</f>
        <v>Half Pallet Support HS6040.15</v>
      </c>
      <c r="P4" s="249" t="s">
        <v>1419</v>
      </c>
      <c r="Q4" s="247" t="s">
        <v>1420</v>
      </c>
      <c r="S4" s="242" t="str">
        <f>常规材料表!A374</f>
        <v>C200×60×3.0t</v>
      </c>
      <c r="T4" s="242" t="str">
        <f>常规材料表!A389</f>
        <v>L519×H400×6t</v>
      </c>
      <c r="U4" s="242" t="str">
        <f>常规材料表!A398</f>
        <v>B200×60×3.0t</v>
      </c>
      <c r="V4" t="str">
        <f>常规材料表!A416</f>
        <v>U102/90×297 ×3t</v>
      </c>
      <c r="W4">
        <f>常规材料表!A425</f>
        <v>0</v>
      </c>
      <c r="X4" t="str">
        <f>常规材料表!A434</f>
        <v>123×90×1.0t</v>
      </c>
      <c r="Y4" t="str">
        <f>常规材料表!A446</f>
        <v>M20×40 (8.8G)</v>
      </c>
      <c r="Z4" t="str">
        <f>常规材料表!A470</f>
        <v>Mb150/50×W94×3t/25×15</v>
      </c>
      <c r="AA4">
        <f>常规材料表!A491</f>
        <v>0</v>
      </c>
      <c r="AB4" t="str">
        <f>常规材料表!A500</f>
        <v>U50/63×W86×3t</v>
      </c>
      <c r="AC4" t="str">
        <f>常规材料表!A502</f>
        <v>118×86×3.0t</v>
      </c>
      <c r="AD4" t="str">
        <f>常规材料表!A517</f>
        <v>φ16×2.5t×L285</v>
      </c>
      <c r="AE4" t="str">
        <v>ø30(ø20)×3.0t</v>
      </c>
      <c r="AF4" t="str">
        <f>常规材料表!A535</f>
        <v>L50×4.0t</v>
      </c>
      <c r="AI4" t="str">
        <f>常规材料表!A552</f>
        <v>H600×4.5t D</v>
      </c>
      <c r="AL4" t="s">
        <v>1060</v>
      </c>
      <c r="AR4">
        <v>76.2</v>
      </c>
      <c r="AS4" t="s">
        <v>1421</v>
      </c>
      <c r="AT4" t="s">
        <v>201</v>
      </c>
      <c r="AU4" t="s">
        <v>303</v>
      </c>
      <c r="AV4" t="s">
        <v>347</v>
      </c>
      <c r="AZ4" t="s">
        <v>1410</v>
      </c>
      <c r="BA4" s="898" t="s">
        <v>2314</v>
      </c>
      <c r="BE4" s="188" t="s">
        <v>897</v>
      </c>
      <c r="BF4">
        <v>1.2</v>
      </c>
      <c r="BI4" s="247" t="str">
        <f>常规材料表!A117</f>
        <v>P6040/18.12</v>
      </c>
      <c r="BP4" t="s">
        <v>1422</v>
      </c>
      <c r="BR4" t="s">
        <v>1423</v>
      </c>
    </row>
    <row r="5" spans="6:77" ht="15">
      <c r="F5" t="str">
        <f>常规材料表!A7</f>
        <v>L55C47RF-18</v>
      </c>
      <c r="G5" s="246" t="str">
        <f>常规材料表!A69</f>
        <v>90.Br2440.15</v>
      </c>
      <c r="H5" t="str">
        <f>常规材料表!A291</f>
        <v>FP90H4.D50+bolt.set</v>
      </c>
      <c r="I5" s="247" t="str">
        <f>常规材料表!A92</f>
        <v>B11050.15</v>
      </c>
      <c r="J5" s="247" t="str">
        <v>Bracket.P&amp;D 75-4H+pin</v>
      </c>
      <c r="K5" s="247" t="str">
        <v>L55A-Brk+pin</v>
      </c>
      <c r="L5" s="248">
        <v>75</v>
      </c>
      <c r="M5" s="242" t="str">
        <f>常规材料表!A268</f>
        <v>Bracket.DE75-3H+pin</v>
      </c>
      <c r="N5" s="247" t="str">
        <f>常规材料表!A156</f>
        <v>HS5030.15</v>
      </c>
      <c r="O5" s="242" t="str">
        <f>常规材料表!A183</f>
        <v>单立柱隔撑连接</v>
      </c>
      <c r="P5" s="249" t="s">
        <v>1424</v>
      </c>
      <c r="Q5" s="247" t="s">
        <v>1425</v>
      </c>
      <c r="S5" s="242" t="str">
        <f>常规材料表!A375</f>
        <v>C215×90×3.0t</v>
      </c>
      <c r="T5" s="242"/>
      <c r="U5" s="242" t="str">
        <f>常规材料表!A399</f>
        <v>B215×90×3.0t</v>
      </c>
      <c r="V5" t="str">
        <f>常规材料表!A417</f>
        <v>C89/50×288×5t</v>
      </c>
      <c r="W5">
        <f>常规材料表!A426</f>
        <v>0</v>
      </c>
      <c r="X5" t="str">
        <f>常规材料表!A435</f>
        <v>123×90×3.0t</v>
      </c>
      <c r="Y5" t="str">
        <f>常规材料表!A447</f>
        <v>M16×35</v>
      </c>
      <c r="Z5" t="str">
        <f>常规材料表!A471</f>
        <v>140（70）×90×1.5t</v>
      </c>
      <c r="AA5">
        <f>常规材料表!A492</f>
        <v>0</v>
      </c>
      <c r="AB5" t="str">
        <f>常规材料表!A501</f>
        <v>U45/63×W52×3t</v>
      </c>
      <c r="AC5" t="str">
        <f>常规材料表!A503</f>
        <v>U30/63×150×5.0t</v>
      </c>
      <c r="AD5">
        <f>常规材料表!A518</f>
        <v>0</v>
      </c>
      <c r="AE5" t="str">
        <v>ø30(ø17)×3.0t</v>
      </c>
      <c r="AF5" t="str">
        <f>常规材料表!A536</f>
        <v>L40×4.0t</v>
      </c>
      <c r="AI5" t="str">
        <f>常规材料表!A553</f>
        <v>H500×5.0t W</v>
      </c>
      <c r="AL5" t="s">
        <v>578</v>
      </c>
      <c r="AS5" t="s">
        <v>1426</v>
      </c>
      <c r="AT5" t="s">
        <v>203</v>
      </c>
      <c r="AU5" t="s">
        <v>311</v>
      </c>
      <c r="AV5" t="s">
        <v>349</v>
      </c>
      <c r="AZ5" t="s">
        <v>1410</v>
      </c>
      <c r="BA5" t="s">
        <v>1430</v>
      </c>
      <c r="BE5" s="194" t="s">
        <v>895</v>
      </c>
      <c r="BF5">
        <v>1.4</v>
      </c>
      <c r="BI5" s="247" t="str">
        <f>常规材料表!A118</f>
        <v>P6040/28.15</v>
      </c>
      <c r="BP5" t="s">
        <v>1427</v>
      </c>
      <c r="BR5" t="s">
        <v>2321</v>
      </c>
    </row>
    <row r="6" spans="6:77" ht="15">
      <c r="F6" t="str">
        <f>常规材料表!A8</f>
        <v>L5549-15</v>
      </c>
      <c r="G6" s="246" t="str">
        <f>常规材料表!A70</f>
        <v>90.Br2440.18</v>
      </c>
      <c r="H6" t="str">
        <f>常规材料表!A292</f>
        <v>FP90H4.DE75+bolt.set</v>
      </c>
      <c r="I6" s="247" t="str">
        <f>常规材料表!A93</f>
        <v>B12050.15</v>
      </c>
      <c r="J6" s="247" t="str">
        <v>Bracket.DE75托盘后档</v>
      </c>
      <c r="K6" s="247" t="str">
        <v>L55B-Brk+pin</v>
      </c>
      <c r="L6" s="248">
        <v>76.2</v>
      </c>
      <c r="M6" s="242" t="str">
        <f>常规材料表!A269</f>
        <v>Bracket.NZ76-3H+pin</v>
      </c>
      <c r="N6" s="247" t="str">
        <f>常规材料表!A157</f>
        <v>HS5030.20</v>
      </c>
      <c r="O6" s="242" t="str">
        <f>常规材料表!A184</f>
        <v>Row.Spacer.End.Plate.Std.RAL</v>
      </c>
      <c r="P6" s="249" t="s">
        <v>1428</v>
      </c>
      <c r="Q6" s="240" t="s">
        <v>1429</v>
      </c>
      <c r="S6" s="242" t="str">
        <f>常规材料表!A376</f>
        <v>C300×90×3.0t</v>
      </c>
      <c r="U6" s="242" t="str">
        <f>常规材料表!A400</f>
        <v>B300×90×3.0t</v>
      </c>
      <c r="V6" t="str">
        <f>常规材料表!A418</f>
        <v>U104/342×105 ×5t</v>
      </c>
      <c r="X6" t="str">
        <f>常规材料表!A436</f>
        <v>189×89×1.0</v>
      </c>
      <c r="Y6" t="str">
        <f>常规材料表!A448</f>
        <v>Anc.M16.L100</v>
      </c>
      <c r="Z6" t="str">
        <f>常规材料表!A472</f>
        <v>140（70）×90×2.0t</v>
      </c>
      <c r="AA6">
        <f>常规材料表!A493</f>
        <v>0</v>
      </c>
      <c r="AB6" t="str">
        <f>常规材料表!A502</f>
        <v>118×86×3.0t</v>
      </c>
      <c r="AC6" t="str">
        <f>常规材料表!A504</f>
        <v>58×30×t3.0</v>
      </c>
      <c r="AD6">
        <f>常规材料表!A519</f>
        <v>0</v>
      </c>
      <c r="AE6">
        <v>0</v>
      </c>
      <c r="AI6" t="str">
        <f>常规材料表!A554</f>
        <v>H1068×4.5t L</v>
      </c>
      <c r="AL6" t="s">
        <v>1061</v>
      </c>
      <c r="AT6" t="s">
        <v>204</v>
      </c>
      <c r="AU6" t="s">
        <v>314</v>
      </c>
      <c r="AV6" t="s">
        <v>368</v>
      </c>
      <c r="AZ6" t="s">
        <v>1410</v>
      </c>
      <c r="BA6" t="s">
        <v>1435</v>
      </c>
      <c r="BE6" s="188" t="s">
        <v>818</v>
      </c>
      <c r="BF6">
        <v>1.5</v>
      </c>
      <c r="BI6" s="247" t="str">
        <f>常规材料表!A119</f>
        <v>P6040/18.20</v>
      </c>
      <c r="BP6" t="s">
        <v>1431</v>
      </c>
      <c r="BR6" t="s">
        <v>1432</v>
      </c>
    </row>
    <row r="7" spans="6:77" ht="15">
      <c r="F7" t="str">
        <f>常规材料表!A9</f>
        <v>L5550RF-15</v>
      </c>
      <c r="G7" s="246" t="str">
        <f>常规材料表!A71</f>
        <v>100.Br3040.12</v>
      </c>
      <c r="H7" t="str">
        <f>常规材料表!A293</f>
        <v>FP90/100H4.NZ76.2+bolt.set</v>
      </c>
      <c r="I7" s="247" t="str">
        <f>常规材料表!A94</f>
        <v>B13050.15</v>
      </c>
      <c r="J7" s="247"/>
      <c r="K7" s="247" t="str">
        <v>L55C-Brk+pin</v>
      </c>
      <c r="L7" s="248">
        <v>75</v>
      </c>
      <c r="M7" s="242" t="str">
        <f>常规材料表!A270</f>
        <v>Bracket.DE75-4H+pin</v>
      </c>
      <c r="N7" s="247" t="str">
        <f>常规材料表!A158</f>
        <v>HS6040.12</v>
      </c>
      <c r="O7" s="242" t="str">
        <f>常规材料表!A185</f>
        <v>Row.Spacer.End.Plate.Extra.RAL</v>
      </c>
      <c r="P7" s="249" t="s">
        <v>1433</v>
      </c>
      <c r="Q7" s="247" t="s">
        <v>1434</v>
      </c>
      <c r="S7" s="242" t="str">
        <f>常规材料表!A377</f>
        <v>C350×90×4.0t</v>
      </c>
      <c r="U7" s="242" t="str">
        <f>常规材料表!A401</f>
        <v>B350×90×4.0t</v>
      </c>
      <c r="X7" t="str">
        <f>常规材料表!A437</f>
        <v>189×89×3.0</v>
      </c>
      <c r="Y7" t="str">
        <f>常规材料表!A449</f>
        <v>ø20×120  8.8G</v>
      </c>
      <c r="Z7" t="str">
        <f>常规材料表!A473</f>
        <v>140（70）×90×2.5t</v>
      </c>
      <c r="AA7">
        <f>常规材料表!A494</f>
        <v>0</v>
      </c>
      <c r="AB7" t="str">
        <f>常规材料表!A503</f>
        <v>U30/63×150×5.0t</v>
      </c>
      <c r="AC7" t="str">
        <f>常规材料表!A505</f>
        <v>136×400×t2.0</v>
      </c>
      <c r="AD7">
        <f>常规材料表!A520</f>
        <v>0</v>
      </c>
      <c r="AI7" t="str">
        <f>常规材料表!A555</f>
        <v>H400×4.5t CPJA</v>
      </c>
      <c r="AL7" t="str">
        <f>常规材料表!A229</f>
        <v>镀锌穿梭车导轨（H163）208*70*2.75t（锌层120克）</v>
      </c>
      <c r="AT7" t="s">
        <v>202</v>
      </c>
      <c r="AU7" t="s">
        <v>350</v>
      </c>
      <c r="AV7" s="250" t="s">
        <v>375</v>
      </c>
      <c r="AZ7" t="s">
        <v>1410</v>
      </c>
      <c r="BE7" s="188" t="s">
        <v>821</v>
      </c>
      <c r="BF7">
        <v>1.8</v>
      </c>
      <c r="BI7" s="247" t="str">
        <f>常规材料表!A120</f>
        <v>P6040/28.20</v>
      </c>
      <c r="BP7" t="s">
        <v>1436</v>
      </c>
      <c r="BR7" t="s">
        <v>1437</v>
      </c>
    </row>
    <row r="8" spans="6:77" ht="15">
      <c r="F8" t="str">
        <f>常规材料表!A10</f>
        <v>L5550RF-18</v>
      </c>
      <c r="G8" s="246" t="str">
        <f>常规材料表!A72</f>
        <v>100.Br3040.14</v>
      </c>
      <c r="H8" t="str">
        <f>常规材料表!A295</f>
        <v>FP100H4.DE75+bolt.set</v>
      </c>
      <c r="I8" s="247" t="str">
        <f>常规材料表!A95</f>
        <v>B14050.15</v>
      </c>
      <c r="J8" s="247"/>
      <c r="K8" s="247" t="str">
        <v>L55B.Ex-Brk+pin</v>
      </c>
      <c r="L8" s="248">
        <v>75</v>
      </c>
      <c r="M8" s="242" t="str">
        <f>常规材料表!A271</f>
        <v>Bracket.P&amp;D 75-4H+pin</v>
      </c>
      <c r="N8" s="247" t="str">
        <f>常规材料表!A159</f>
        <v>HS6040.15</v>
      </c>
      <c r="O8" s="242" t="str">
        <f>常规材料表!A186</f>
        <v>Pallet Support Bracket 3.0t.RAL</v>
      </c>
      <c r="P8" s="249" t="s">
        <v>1438</v>
      </c>
      <c r="Q8" s="247" t="s">
        <v>460</v>
      </c>
      <c r="S8" s="242" t="str">
        <f>常规材料表!A378</f>
        <v>C400×90×4.0t</v>
      </c>
      <c r="U8" s="242" t="str">
        <f>常规材料表!A402</f>
        <v>B400×90×4.0t</v>
      </c>
      <c r="X8" t="str">
        <f>常规材料表!A438</f>
        <v>200×89×1.0t</v>
      </c>
      <c r="Y8" t="str">
        <f>常规材料表!A450</f>
        <v>ø3.5×76</v>
      </c>
      <c r="Z8" t="str">
        <f>常规材料表!A474</f>
        <v>140（70）×90×3.0t</v>
      </c>
      <c r="AB8" t="str">
        <f>常规材料表!A504</f>
        <v>58×30×t3.0</v>
      </c>
      <c r="AC8" t="str">
        <f>常规材料表!A506</f>
        <v>150×50×3.0t</v>
      </c>
      <c r="AI8" t="str">
        <f>常规材料表!A556</f>
        <v>H400×4.5t CPJB</v>
      </c>
      <c r="AL8" t="str">
        <f>常规材料表!A230</f>
        <v>镀锌穿梭车导轨（H163）208*70*2.75t（锌层180克）</v>
      </c>
      <c r="AT8" t="s">
        <v>1439</v>
      </c>
      <c r="AU8" t="s">
        <v>369</v>
      </c>
      <c r="AV8" t="s">
        <v>379</v>
      </c>
      <c r="AZ8" t="s">
        <v>1410</v>
      </c>
      <c r="BE8" s="188" t="s">
        <v>836</v>
      </c>
      <c r="BF8">
        <v>2</v>
      </c>
      <c r="BI8" s="247" t="str">
        <f>常规材料表!A121</f>
        <v>P8050/28.12</v>
      </c>
      <c r="BP8" t="s">
        <v>1440</v>
      </c>
      <c r="BS8" t="s">
        <v>1441</v>
      </c>
    </row>
    <row r="9" spans="6:77" ht="15">
      <c r="F9" t="str">
        <f>常规材料表!A11</f>
        <v>L6050-15</v>
      </c>
      <c r="G9" s="246" t="str">
        <f>常规材料表!A73</f>
        <v>100.Br3040.15</v>
      </c>
      <c r="H9" t="str">
        <f>常规材料表!A297</f>
        <v>FP120H4.D75+bolt.set</v>
      </c>
      <c r="I9" s="247" t="str">
        <f>常规材料表!A96</f>
        <v>B15050.15</v>
      </c>
      <c r="J9" s="247"/>
      <c r="K9" s="247" t="str">
        <v>L60 Brk+pin</v>
      </c>
      <c r="L9" s="248">
        <v>76.2</v>
      </c>
      <c r="M9" s="242" t="str">
        <f>常规材料表!A272</f>
        <v>Bracket.NZ76-4H+pin</v>
      </c>
      <c r="N9" s="247" t="str">
        <f>常规材料表!A160</f>
        <v>HS6040.20</v>
      </c>
      <c r="O9" s="242" t="str">
        <f>常规材料表!A187</f>
        <v>Pallet Support Bracket 4.0t.RAL</v>
      </c>
      <c r="P9" s="249" t="s">
        <v>216</v>
      </c>
      <c r="Q9" s="240" t="s">
        <v>1442</v>
      </c>
      <c r="S9" s="242" t="str">
        <f>常规材料表!A379</f>
        <v>C305×96×3.0t</v>
      </c>
      <c r="U9" s="242" t="str">
        <f>常规材料表!A403</f>
        <v>B305×96×3.0t</v>
      </c>
      <c r="X9" t="str">
        <f>常规材料表!A439</f>
        <v>200×89×3.0t</v>
      </c>
      <c r="Y9" t="str">
        <f>常规材料表!A451</f>
        <v>ø4.5×40</v>
      </c>
      <c r="Z9" t="str">
        <f>常规材料表!A475</f>
        <v>140×90×1.5t</v>
      </c>
      <c r="AB9" t="str">
        <f>常规材料表!A505</f>
        <v>136×400×t2.0</v>
      </c>
      <c r="AC9" t="str">
        <f>常规材料表!A507</f>
        <v>58×100×3.0t</v>
      </c>
      <c r="AI9" t="str">
        <f>常规材料表!A557</f>
        <v>H500×φ76×2.0</v>
      </c>
      <c r="AL9" t="str">
        <f>常规材料表!A231</f>
        <v>镀锌穿梭车导轨（H163）208*70*2.75t（锌层220克）</v>
      </c>
      <c r="AU9" t="s">
        <v>1443</v>
      </c>
      <c r="AV9" t="s">
        <v>384</v>
      </c>
      <c r="AZ9" t="s">
        <v>1410</v>
      </c>
      <c r="BE9" s="188" t="s">
        <v>843</v>
      </c>
      <c r="BF9">
        <v>2.2999999999999998</v>
      </c>
      <c r="BI9" s="247" t="str">
        <f>常规材料表!A122</f>
        <v>P8050/28.15</v>
      </c>
      <c r="BP9" t="s">
        <v>1444</v>
      </c>
      <c r="BR9" t="s">
        <v>133</v>
      </c>
      <c r="BS9" t="s">
        <v>134</v>
      </c>
      <c r="BT9" t="s">
        <v>137</v>
      </c>
      <c r="BU9" t="s">
        <v>138</v>
      </c>
      <c r="BV9" t="s">
        <v>139</v>
      </c>
      <c r="BW9" t="s">
        <v>140</v>
      </c>
      <c r="BX9" t="s">
        <v>135</v>
      </c>
      <c r="BY9" t="s">
        <v>136</v>
      </c>
    </row>
    <row r="10" spans="6:77" ht="15">
      <c r="F10" t="str">
        <f>常规材料表!A12</f>
        <v>L6050-18</v>
      </c>
      <c r="G10" s="246" t="str">
        <f>常规材料表!A74</f>
        <v>100.Br3040.18</v>
      </c>
      <c r="H10" t="str">
        <f>常规材料表!A296</f>
        <v>FP120H4.D50+bolt.set</v>
      </c>
      <c r="I10" s="247" t="str">
        <f>常规材料表!A97</f>
        <v>B15550.15</v>
      </c>
      <c r="J10" s="247"/>
      <c r="K10" s="247"/>
      <c r="L10" s="248">
        <v>50</v>
      </c>
      <c r="M10" s="242" t="str">
        <f>常规材料表!A273</f>
        <v>Bracket.DA50-5H+pin</v>
      </c>
      <c r="N10" s="247" t="str">
        <f>常规材料表!A161</f>
        <v>HS8040.15</v>
      </c>
      <c r="P10" s="249" t="s">
        <v>1445</v>
      </c>
      <c r="Q10" s="240" t="s">
        <v>1446</v>
      </c>
      <c r="S10" s="242" t="str">
        <f>常规材料表!A380</f>
        <v>C350×96×4.0t</v>
      </c>
      <c r="U10" s="242" t="str">
        <f>常规材料表!A404</f>
        <v>B350×96×4.0t</v>
      </c>
      <c r="X10">
        <f>常规材料表!A440</f>
        <v>0</v>
      </c>
      <c r="Y10" t="str">
        <f>常规材料表!A452</f>
        <v>M10×120 8.8G</v>
      </c>
      <c r="Z10" t="str">
        <f>常规材料表!A476</f>
        <v>140×90×2.5t</v>
      </c>
      <c r="AB10" t="str">
        <f>常规材料表!A506</f>
        <v>150×50×3.0t</v>
      </c>
      <c r="AC10" t="str">
        <f>常规材料表!A508</f>
        <v>H70×W86×2.5t</v>
      </c>
      <c r="AL10" t="str">
        <f>常规材料表!A232</f>
        <v>镀锌导向板：100*90*110*2.5t*1350</v>
      </c>
      <c r="AU10" t="s">
        <v>12</v>
      </c>
      <c r="AV10" t="s">
        <v>389</v>
      </c>
      <c r="AZ10" t="s">
        <v>1410</v>
      </c>
      <c r="BE10" s="188" t="s">
        <v>848</v>
      </c>
      <c r="BF10">
        <v>2.5</v>
      </c>
      <c r="BI10" s="247" t="str">
        <f>常规材料表!A123</f>
        <v>P8050/28.20</v>
      </c>
      <c r="BP10" t="s">
        <v>1447</v>
      </c>
      <c r="BR10" t="s">
        <v>1413</v>
      </c>
      <c r="BS10">
        <v>186.47</v>
      </c>
      <c r="BT10">
        <v>186.47</v>
      </c>
      <c r="BU10">
        <v>189.09</v>
      </c>
      <c r="BV10">
        <v>189.09</v>
      </c>
      <c r="BW10">
        <v>187.95</v>
      </c>
      <c r="BX10" s="251">
        <v>46087.687002314815</v>
      </c>
      <c r="BY10" s="252">
        <v>0.68700231481481477</v>
      </c>
    </row>
    <row r="11" spans="6:77" ht="15">
      <c r="G11" s="246" t="str">
        <f>常规材料表!A75</f>
        <v>120.Br4040.14</v>
      </c>
      <c r="H11" t="str">
        <f>常规材料表!A298</f>
        <v>FP120.95H4+bolt.set t4.5</v>
      </c>
      <c r="I11" s="247" t="str">
        <f>常规材料表!A98</f>
        <v>B16050.15</v>
      </c>
      <c r="J11" s="247"/>
      <c r="K11" s="247"/>
      <c r="L11" s="248">
        <v>76.2</v>
      </c>
      <c r="M11" s="242" t="str">
        <f>常规材料表!A274</f>
        <v>Bracket.DA76-3H+pin</v>
      </c>
      <c r="N11" s="247" t="str">
        <f>常规材料表!A162</f>
        <v>HS8040.20</v>
      </c>
      <c r="P11" s="249" t="s">
        <v>1448</v>
      </c>
      <c r="Q11" s="247" t="s">
        <v>1449</v>
      </c>
      <c r="S11" s="242" t="str">
        <f>常规材料表!A381</f>
        <v>CHN350×175×7×11</v>
      </c>
      <c r="U11" s="242" t="str">
        <f>常规材料表!A405</f>
        <v>BHN350×175×7×11</v>
      </c>
      <c r="X11">
        <f>常规材料表!A441</f>
        <v>0</v>
      </c>
      <c r="Y11" t="str">
        <f>常规材料表!A453</f>
        <v>M10×30  8.8G</v>
      </c>
      <c r="Z11" t="str">
        <f>常规材料表!A477</f>
        <v>140×90×3.0t</v>
      </c>
      <c r="AB11" t="str">
        <f>常规材料表!A507</f>
        <v>58×100×3.0t</v>
      </c>
      <c r="AC11" t="str">
        <f>常规材料表!A509</f>
        <v>u30/103×120×5.0t</v>
      </c>
      <c r="AL11" t="str">
        <f>常规材料表!A233</f>
        <v>镀锌导向板：100*90*110*2.0t*1350</v>
      </c>
      <c r="AU11" t="s">
        <v>484</v>
      </c>
      <c r="AV11" t="s">
        <v>393</v>
      </c>
      <c r="AZ11" t="s">
        <v>1410</v>
      </c>
      <c r="BE11" s="188" t="s">
        <v>852</v>
      </c>
      <c r="BF11">
        <v>2.75</v>
      </c>
      <c r="BI11" s="247" t="str">
        <f>常规材料表!A124</f>
        <v>P11050/28.15</v>
      </c>
      <c r="BP11" t="s">
        <v>1450</v>
      </c>
      <c r="BR11" t="s">
        <v>1417</v>
      </c>
      <c r="BS11">
        <v>483.53</v>
      </c>
      <c r="BT11">
        <v>483.53</v>
      </c>
      <c r="BU11">
        <v>487.37</v>
      </c>
      <c r="BV11">
        <v>487.37</v>
      </c>
      <c r="BW11">
        <v>484.15</v>
      </c>
      <c r="BX11" s="251">
        <v>46087.687002314815</v>
      </c>
      <c r="BY11" s="252">
        <v>0.68700231481481477</v>
      </c>
    </row>
    <row r="12" spans="6:77" ht="15">
      <c r="G12" s="246" t="str">
        <f>常规材料表!A76</f>
        <v>120.Br4040.15</v>
      </c>
      <c r="H12" t="str">
        <f>常规材料表!A299</f>
        <v>FP120.95H4+bolt.set t8</v>
      </c>
      <c r="I12" s="247" t="str">
        <f>常规材料表!A99</f>
        <v>B18050.15</v>
      </c>
      <c r="J12" s="247"/>
      <c r="K12" s="247"/>
      <c r="L12" s="248">
        <v>76.2</v>
      </c>
      <c r="M12" s="242" t="str">
        <f>常规材料表!A275</f>
        <v>Bracket.DA76-4H+pin</v>
      </c>
      <c r="N12" s="247" t="str">
        <f>常规材料表!A163</f>
        <v>HS8050.15</v>
      </c>
      <c r="P12" s="249" t="s">
        <v>1451</v>
      </c>
      <c r="Q12" s="240" t="s">
        <v>1452</v>
      </c>
      <c r="S12" s="242" t="str">
        <f>常规材料表!A382</f>
        <v>CHN446×199×8×12</v>
      </c>
      <c r="U12" s="242" t="str">
        <f>常规材料表!A406</f>
        <v>BHN446×199×8×12</v>
      </c>
      <c r="X12">
        <f>常规材料表!A442</f>
        <v>0</v>
      </c>
      <c r="Y12" t="str">
        <f>常规材料表!A454</f>
        <v>M10×80  8.8G</v>
      </c>
      <c r="Z12" t="str">
        <f>常规材料表!A478</f>
        <v>HS100×50×1.5t</v>
      </c>
      <c r="AB12" t="str">
        <f>常规材料表!A508</f>
        <v>H70×W86×2.5t</v>
      </c>
      <c r="AC12">
        <f>常规材料表!A510</f>
        <v>0</v>
      </c>
      <c r="AL12" t="str">
        <f>常规材料表!A234</f>
        <v>镀锌导向板：100*90*110*2.5t*1250</v>
      </c>
      <c r="AU12" t="s">
        <v>486</v>
      </c>
      <c r="AV12" t="s">
        <v>397</v>
      </c>
      <c r="AZ12" t="s">
        <v>1453</v>
      </c>
      <c r="BA12" t="s">
        <v>1454</v>
      </c>
      <c r="BE12" s="188" t="s">
        <v>865</v>
      </c>
      <c r="BF12">
        <v>3</v>
      </c>
      <c r="BI12" s="247" t="str">
        <f>常规材料表!A125</f>
        <v>P76×63.5/41.3-15</v>
      </c>
      <c r="BP12" t="s">
        <v>1455</v>
      </c>
      <c r="BR12" t="s">
        <v>1422</v>
      </c>
      <c r="BT12">
        <v>496.49</v>
      </c>
      <c r="BV12">
        <v>582.83000000000004</v>
      </c>
      <c r="BW12">
        <v>540.52</v>
      </c>
      <c r="BX12" s="251">
        <v>46087.687002314815</v>
      </c>
      <c r="BY12" s="252">
        <v>0.68700231481481477</v>
      </c>
    </row>
    <row r="13" spans="6:77" ht="15">
      <c r="F13" t="str">
        <f>常规材料表!A18</f>
        <v>重型立柱</v>
      </c>
      <c r="G13" s="246" t="str">
        <f>常规材料表!A77</f>
        <v>120.Br4040.12</v>
      </c>
      <c r="H13" t="str">
        <f>常规材料表!A300</f>
        <v>FP120.135H4+bolt.set t6.5</v>
      </c>
      <c r="I13" s="247" t="str">
        <f>常规材料表!A100</f>
        <v>B12050.18</v>
      </c>
      <c r="J13" s="247"/>
      <c r="K13" s="247"/>
      <c r="L13" s="248">
        <v>50</v>
      </c>
      <c r="M13" s="242" t="str">
        <f>常规材料表!A276</f>
        <v>L55A-Brk+pin</v>
      </c>
      <c r="N13" s="247" t="str">
        <f>常规材料表!A164</f>
        <v>HS8050.20</v>
      </c>
      <c r="P13" s="249" t="s">
        <v>1456</v>
      </c>
      <c r="Q13" s="247" t="s">
        <v>1457</v>
      </c>
      <c r="S13" s="242"/>
      <c r="U13" s="242">
        <f>常规材料表!A407</f>
        <v>0</v>
      </c>
      <c r="Y13" t="str">
        <f>常规材料表!A455</f>
        <v>ø16×84</v>
      </c>
      <c r="Z13" t="str">
        <f>常规材料表!A479</f>
        <v>HS100×50×2.0t</v>
      </c>
      <c r="AB13" t="str">
        <f>常规材料表!A509</f>
        <v>u30/103×120×5.0t</v>
      </c>
      <c r="AC13">
        <f>常规材料表!A511</f>
        <v>0</v>
      </c>
      <c r="AL13" t="str">
        <f>常规材料表!A235</f>
        <v>镀锌导向板：100*90*110*2.0t*1250</v>
      </c>
      <c r="AU13" t="s">
        <v>488</v>
      </c>
      <c r="AV13" t="s">
        <v>426</v>
      </c>
      <c r="AZ13" t="s">
        <v>1453</v>
      </c>
      <c r="BA13" t="s">
        <v>1458</v>
      </c>
      <c r="BE13" s="188" t="s">
        <v>1459</v>
      </c>
      <c r="BF13">
        <v>3.5</v>
      </c>
      <c r="BI13" s="247" t="str">
        <f>常规材料表!A126</f>
        <v>P76×63.5/41.3-18</v>
      </c>
      <c r="BP13" t="s">
        <v>1460</v>
      </c>
      <c r="BR13" t="s">
        <v>2325</v>
      </c>
      <c r="BT13">
        <v>124.6</v>
      </c>
      <c r="BV13">
        <v>138.88</v>
      </c>
      <c r="BW13">
        <v>131.32</v>
      </c>
      <c r="BX13" s="251">
        <v>46087.687002314815</v>
      </c>
      <c r="BY13" s="252">
        <v>0.68700231481481477</v>
      </c>
    </row>
    <row r="14" spans="6:77" ht="15">
      <c r="F14" t="str">
        <f>常规材料表!A19</f>
        <v>8060-20</v>
      </c>
      <c r="G14" s="246" t="str">
        <f>常规材料表!A78</f>
        <v>55.Br1830.12</v>
      </c>
      <c r="H14" t="str">
        <f>常规材料表!A301</f>
        <v>FP140.135H4+bolt.set t6.5</v>
      </c>
      <c r="I14" s="247" t="str">
        <f>常规材料表!A101</f>
        <v>B15550.18</v>
      </c>
      <c r="J14" s="247"/>
      <c r="K14" s="247"/>
      <c r="L14" s="248">
        <v>50</v>
      </c>
      <c r="M14" s="242" t="str">
        <f>常规材料表!A277</f>
        <v>L55B-Brk+pin</v>
      </c>
      <c r="N14" s="247" t="str">
        <f>常规材料表!A165</f>
        <v>HS10050.15</v>
      </c>
      <c r="O14" s="242">
        <f>常规材料表!A188</f>
        <v>0</v>
      </c>
      <c r="P14" s="249" t="s">
        <v>1461</v>
      </c>
      <c r="Q14" s="247" t="s">
        <v>1462</v>
      </c>
      <c r="S14" s="242"/>
      <c r="Y14" t="str">
        <f>常规材料表!A456</f>
        <v>M10×110  8.8G</v>
      </c>
      <c r="Z14" t="str">
        <f>常规材料表!A480</f>
        <v>H80(30)×W60×2.0t</v>
      </c>
      <c r="AB14">
        <f>常规材料表!A510</f>
        <v>0</v>
      </c>
      <c r="AL14" t="str">
        <f>常规材料表!A236</f>
        <v>前后挡板：216*125*3.5t</v>
      </c>
      <c r="AU14" t="s">
        <v>491</v>
      </c>
      <c r="AV14" t="s">
        <v>433</v>
      </c>
      <c r="AZ14" t="s">
        <v>1453</v>
      </c>
      <c r="BA14" t="s">
        <v>1463</v>
      </c>
      <c r="BE14" s="188" t="s">
        <v>1251</v>
      </c>
      <c r="BF14">
        <v>4</v>
      </c>
      <c r="BI14" s="247" t="str">
        <f>常规材料表!A127</f>
        <v>P88.9×63.5/41.3-18</v>
      </c>
      <c r="BP14" t="s">
        <v>1464</v>
      </c>
      <c r="BR14" t="s">
        <v>1431</v>
      </c>
      <c r="BS14">
        <v>503.56</v>
      </c>
      <c r="BT14">
        <v>503.56</v>
      </c>
      <c r="BU14">
        <v>507.51</v>
      </c>
      <c r="BV14">
        <v>507.51</v>
      </c>
      <c r="BW14">
        <v>504.94</v>
      </c>
      <c r="BX14" s="251">
        <v>46087.687002314815</v>
      </c>
      <c r="BY14" s="252">
        <v>0.68700231481481477</v>
      </c>
    </row>
    <row r="15" spans="6:77" ht="15">
      <c r="F15" t="str">
        <f>常规材料表!A20</f>
        <v>9068-18</v>
      </c>
      <c r="G15" s="246" t="str">
        <f>常规材料表!A79</f>
        <v>55.Br1830.13</v>
      </c>
      <c r="H15" t="str">
        <f>常规材料表!A302</f>
        <v>FP.L55A+M8.L45</v>
      </c>
      <c r="I15" s="247" t="str">
        <f>常规材料表!A102</f>
        <v>B16050.18</v>
      </c>
      <c r="J15" s="247"/>
      <c r="K15" s="247"/>
      <c r="L15" s="248">
        <v>50</v>
      </c>
      <c r="M15" s="242" t="str">
        <f>常规材料表!A278</f>
        <v>L55C-Brk+pin</v>
      </c>
      <c r="N15" s="247" t="str">
        <f>常规材料表!A166</f>
        <v>HS10050.20</v>
      </c>
      <c r="O15" s="242">
        <f>常规材料表!A189</f>
        <v>0</v>
      </c>
      <c r="P15" s="249" t="s">
        <v>1465</v>
      </c>
      <c r="Q15" s="242" t="s">
        <v>1237</v>
      </c>
      <c r="S15" s="242"/>
      <c r="Y15" t="str">
        <f>常规材料表!A457</f>
        <v>M10.L20</v>
      </c>
      <c r="Z15" t="str">
        <f>常规材料表!A481</f>
        <v>HN175×90×5×8</v>
      </c>
      <c r="AB15">
        <f>常规材料表!A511</f>
        <v>0</v>
      </c>
      <c r="AL15" t="str">
        <f>常规材料表!A237</f>
        <v>前后挡板：216*125*5t</v>
      </c>
      <c r="AU15" t="s">
        <v>494</v>
      </c>
      <c r="AV15" t="s">
        <v>439</v>
      </c>
      <c r="AZ15" t="s">
        <v>201</v>
      </c>
      <c r="BA15" t="s">
        <v>218</v>
      </c>
      <c r="BE15" s="188" t="s">
        <v>1466</v>
      </c>
      <c r="BF15">
        <v>4.5</v>
      </c>
      <c r="BI15" s="247" t="str">
        <f>常规材料表!A128</f>
        <v>P88.9×63.5/41.3-18</v>
      </c>
      <c r="BP15" t="s">
        <v>1467</v>
      </c>
      <c r="BR15" t="s">
        <v>1436</v>
      </c>
      <c r="BS15">
        <v>880.51</v>
      </c>
      <c r="BT15">
        <v>880.51</v>
      </c>
      <c r="BU15">
        <v>887.32</v>
      </c>
      <c r="BV15">
        <v>887.32</v>
      </c>
      <c r="BW15">
        <v>884.14</v>
      </c>
      <c r="BX15" s="251">
        <v>46087.687002314815</v>
      </c>
      <c r="BY15" s="252">
        <v>0.68700231481481477</v>
      </c>
    </row>
    <row r="16" spans="6:77" ht="30">
      <c r="F16" t="str">
        <f>常规材料表!A21</f>
        <v>9068-20</v>
      </c>
      <c r="G16" s="246" t="str">
        <f>常规材料表!A80</f>
        <v>55.Br2530.13</v>
      </c>
      <c r="H16" t="str">
        <f>常规材料表!A303</f>
        <v>FP.L55B+M8.L16</v>
      </c>
      <c r="I16" s="247" t="str">
        <f>常规材料表!A103</f>
        <v>B18050.18</v>
      </c>
      <c r="J16" s="247"/>
      <c r="K16" s="247"/>
      <c r="L16" s="248">
        <v>50</v>
      </c>
      <c r="M16" s="242" t="str">
        <f>常规材料表!A279</f>
        <v>L55B.Ex-Brk+pin</v>
      </c>
      <c r="N16" s="247" t="str">
        <f>常规材料表!A167</f>
        <v>HS10050.25</v>
      </c>
      <c r="P16" s="253" t="s">
        <v>1468</v>
      </c>
      <c r="Q16" s="242" t="s">
        <v>1241</v>
      </c>
      <c r="S16" s="242"/>
      <c r="Y16" t="str">
        <f>常规材料表!A458</f>
        <v>M10×25  8.8G</v>
      </c>
      <c r="Z16" t="str">
        <f>常规材料表!A482</f>
        <v>Arm180×90×3.0t</v>
      </c>
      <c r="AB16">
        <f>常规材料表!A512</f>
        <v>0</v>
      </c>
      <c r="AL16">
        <f>常规材料表!A238</f>
        <v>0</v>
      </c>
      <c r="AU16" t="s">
        <v>461</v>
      </c>
      <c r="AV16" t="s">
        <v>444</v>
      </c>
      <c r="AZ16" t="s">
        <v>201</v>
      </c>
      <c r="BA16" t="s">
        <v>303</v>
      </c>
      <c r="BE16" s="195" t="s">
        <v>822</v>
      </c>
      <c r="BF16">
        <v>1.8</v>
      </c>
      <c r="BI16" s="247" t="str">
        <f>常规材料表!A129</f>
        <v>P101.6×63.5/41.3-15</v>
      </c>
      <c r="BP16" t="s">
        <v>1469</v>
      </c>
      <c r="BR16" t="s">
        <v>1440</v>
      </c>
      <c r="BT16">
        <v>29.2</v>
      </c>
      <c r="BV16">
        <v>36.42</v>
      </c>
      <c r="BW16">
        <v>32.94</v>
      </c>
      <c r="BX16" s="251">
        <v>46087.687002314815</v>
      </c>
      <c r="BY16" s="252">
        <v>0.68700231481481477</v>
      </c>
    </row>
    <row r="17" spans="6:77" ht="30">
      <c r="F17" t="str">
        <f>常规材料表!A22</f>
        <v>9070-18</v>
      </c>
      <c r="G17" s="246" t="str">
        <f>常规材料表!A81</f>
        <v>60.Br1830.12</v>
      </c>
      <c r="H17" t="str">
        <f>常规材料表!A304</f>
        <v>FP.L55C</v>
      </c>
      <c r="I17" s="247" t="str">
        <f>常规材料表!A104</f>
        <v>B12050.20</v>
      </c>
      <c r="J17" s="247"/>
      <c r="K17" s="247"/>
      <c r="L17" s="248">
        <v>50</v>
      </c>
      <c r="M17" s="242" t="str">
        <f>常规材料表!A280</f>
        <v>L60 Brk+pin</v>
      </c>
      <c r="N17" s="247" t="str">
        <f>常规材料表!A169</f>
        <v>HS12060.25</v>
      </c>
      <c r="P17" s="253" t="s">
        <v>1470</v>
      </c>
      <c r="Q17" t="s">
        <v>1242</v>
      </c>
      <c r="S17" s="242"/>
      <c r="Y17">
        <f>常规材料表!A459</f>
        <v>0</v>
      </c>
      <c r="Z17" t="str">
        <f>常规材料表!A483</f>
        <v>Arm160×90×3.0t</v>
      </c>
      <c r="AB17">
        <f>常规材料表!A513</f>
        <v>0</v>
      </c>
      <c r="AU17" t="s">
        <v>464</v>
      </c>
      <c r="AV17" t="s">
        <v>12</v>
      </c>
      <c r="AZ17" t="s">
        <v>201</v>
      </c>
      <c r="BA17" t="s">
        <v>314</v>
      </c>
      <c r="BE17" s="195" t="s">
        <v>837</v>
      </c>
      <c r="BF17">
        <v>2</v>
      </c>
      <c r="BI17" s="247" t="str">
        <f>常规材料表!A130</f>
        <v>P101.6×63.5/41.3-18</v>
      </c>
      <c r="BP17" t="s">
        <v>1471</v>
      </c>
      <c r="BR17" t="s">
        <v>1444</v>
      </c>
      <c r="BS17">
        <v>106.71</v>
      </c>
      <c r="BT17">
        <v>106.71</v>
      </c>
      <c r="BU17">
        <v>107.57</v>
      </c>
      <c r="BV17">
        <v>107.57</v>
      </c>
      <c r="BW17">
        <v>107.25</v>
      </c>
      <c r="BX17" s="251">
        <v>46087.687002314815</v>
      </c>
      <c r="BY17" s="252">
        <v>0.68700231481481477</v>
      </c>
    </row>
    <row r="18" spans="6:77" ht="15">
      <c r="F18" t="str">
        <f>常规材料表!A23</f>
        <v>9070-20</v>
      </c>
      <c r="G18" s="246">
        <f>常规材料表!A82</f>
        <v>0</v>
      </c>
      <c r="H18" t="str">
        <f>常规材料表!A305</f>
        <v>FP.L60</v>
      </c>
      <c r="I18" s="247" t="str">
        <f>常规材料表!A105</f>
        <v>B16050.20</v>
      </c>
      <c r="J18" s="247"/>
      <c r="K18" s="247"/>
      <c r="L18" s="248">
        <v>75</v>
      </c>
      <c r="M18" s="242" t="str">
        <f>常规材料表!A281</f>
        <v>Bracket.DE75托盘后档</v>
      </c>
      <c r="N18" s="247" t="str">
        <f>常规材料表!A170</f>
        <v>HS12060.40</v>
      </c>
      <c r="P18" s="249" t="s">
        <v>1472</v>
      </c>
      <c r="Y18">
        <f>常规材料表!A460</f>
        <v>0</v>
      </c>
      <c r="Z18" t="str">
        <f>常规材料表!A484</f>
        <v>MC180(50)*100*3.5t</v>
      </c>
      <c r="AU18" t="s">
        <v>389</v>
      </c>
      <c r="AV18" t="s">
        <v>457</v>
      </c>
      <c r="AZ18" t="s">
        <v>201</v>
      </c>
      <c r="BA18" t="s">
        <v>478</v>
      </c>
      <c r="BE18" s="195" t="s">
        <v>860</v>
      </c>
      <c r="BF18">
        <v>2.2999999999999998</v>
      </c>
      <c r="BI18" s="247" t="str">
        <f>常规材料表!A131</f>
        <v>P114×63.5/41.3-15</v>
      </c>
      <c r="BP18" t="s">
        <v>1473</v>
      </c>
      <c r="BR18" t="s">
        <v>1447</v>
      </c>
      <c r="BS18">
        <v>797.54</v>
      </c>
      <c r="BT18">
        <v>797.54</v>
      </c>
      <c r="BU18">
        <v>803.38</v>
      </c>
      <c r="BV18">
        <v>803.38</v>
      </c>
      <c r="BW18">
        <v>801.32</v>
      </c>
      <c r="BX18" s="251">
        <v>46087.687002314815</v>
      </c>
      <c r="BY18" s="252">
        <v>0.68700231481481477</v>
      </c>
    </row>
    <row r="19" spans="6:77">
      <c r="F19" t="str">
        <f>常规材料表!A24</f>
        <v>9070-23</v>
      </c>
      <c r="G19" s="246">
        <f>常规材料表!A83</f>
        <v>0</v>
      </c>
      <c r="I19" s="247" t="str">
        <f>常规材料表!A106</f>
        <v>B18050.20</v>
      </c>
      <c r="J19" s="247"/>
      <c r="K19" s="247"/>
      <c r="L19" s="248"/>
      <c r="M19" s="242"/>
      <c r="AU19" t="s">
        <v>393</v>
      </c>
      <c r="AV19" t="s">
        <v>461</v>
      </c>
      <c r="AZ19" t="s">
        <v>201</v>
      </c>
      <c r="BA19" t="s">
        <v>482</v>
      </c>
      <c r="BE19" s="195" t="s">
        <v>849</v>
      </c>
      <c r="BF19">
        <v>2.5</v>
      </c>
      <c r="BI19" s="247" t="str">
        <f>常规材料表!A132</f>
        <v>P114×63.5/41.3-18</v>
      </c>
      <c r="BP19" t="s">
        <v>1474</v>
      </c>
      <c r="BR19" t="s">
        <v>1450</v>
      </c>
      <c r="BS19">
        <v>918.68</v>
      </c>
      <c r="BT19">
        <v>918.68</v>
      </c>
      <c r="BU19">
        <v>925.51</v>
      </c>
      <c r="BV19">
        <v>925.51</v>
      </c>
      <c r="BW19">
        <v>921.98</v>
      </c>
      <c r="BX19" s="251">
        <v>46087.687002314815</v>
      </c>
      <c r="BY19" s="252">
        <v>0.68700231481481477</v>
      </c>
    </row>
    <row r="20" spans="6:77">
      <c r="F20" t="str">
        <f>常规材料表!A25</f>
        <v>10070-20</v>
      </c>
      <c r="G20" s="246">
        <f>常规材料表!A84</f>
        <v>0</v>
      </c>
      <c r="I20" s="247" t="str">
        <f>常规材料表!A107</f>
        <v>B8050.14</v>
      </c>
      <c r="J20" s="247"/>
      <c r="K20" s="247"/>
      <c r="L20" s="248"/>
      <c r="M20" s="242"/>
      <c r="AU20" t="s">
        <v>397</v>
      </c>
      <c r="AV20" t="s">
        <v>464</v>
      </c>
      <c r="AZ20" t="s">
        <v>201</v>
      </c>
      <c r="BA20" t="s">
        <v>484</v>
      </c>
      <c r="BE20" s="195" t="s">
        <v>1475</v>
      </c>
      <c r="BF20">
        <v>1.8</v>
      </c>
      <c r="BI20" s="247" t="str">
        <f>常规材料表!A133</f>
        <v>P127×63.5/41.3-18</v>
      </c>
      <c r="BP20" t="s">
        <v>1476</v>
      </c>
      <c r="BR20" t="s">
        <v>1455</v>
      </c>
      <c r="BS20">
        <v>87.98</v>
      </c>
      <c r="BT20">
        <v>87.98</v>
      </c>
      <c r="BU20">
        <v>88.34</v>
      </c>
      <c r="BV20">
        <v>88.34</v>
      </c>
      <c r="BW20">
        <v>88.25</v>
      </c>
      <c r="BX20" s="251">
        <v>46087.687002314815</v>
      </c>
      <c r="BY20" s="252">
        <v>0.68700231481481477</v>
      </c>
    </row>
    <row r="21" spans="6:77">
      <c r="F21" t="str">
        <f>常规材料表!A26</f>
        <v>10070-23</v>
      </c>
      <c r="I21" s="247" t="str">
        <f>常规材料表!A108</f>
        <v>B10050.13</v>
      </c>
      <c r="J21" s="247"/>
      <c r="K21" s="247"/>
      <c r="L21" s="248"/>
      <c r="AU21" t="s">
        <v>684</v>
      </c>
      <c r="AV21" t="s">
        <v>467</v>
      </c>
      <c r="AZ21" t="s">
        <v>201</v>
      </c>
      <c r="BA21" t="s">
        <v>486</v>
      </c>
      <c r="BE21" s="195" t="s">
        <v>1477</v>
      </c>
      <c r="BF21">
        <v>2</v>
      </c>
      <c r="BI21" s="247" t="str">
        <f>常规材料表!A134</f>
        <v>P127×63.5/41.3-20</v>
      </c>
      <c r="BP21" t="s">
        <v>1478</v>
      </c>
      <c r="BR21" t="s">
        <v>1460</v>
      </c>
      <c r="BS21">
        <v>2.0390000000000001</v>
      </c>
      <c r="BT21">
        <v>2.0390000000000001</v>
      </c>
      <c r="BU21">
        <v>2.0802</v>
      </c>
      <c r="BV21">
        <v>2.0802</v>
      </c>
      <c r="BW21">
        <v>2.0672000000000001</v>
      </c>
      <c r="BX21" s="251">
        <v>46087.687002314815</v>
      </c>
      <c r="BY21" s="252">
        <v>0.68700231481481477</v>
      </c>
    </row>
    <row r="22" spans="6:77">
      <c r="F22" t="str">
        <f>常规材料表!A27</f>
        <v>10070-25</v>
      </c>
      <c r="I22" s="247">
        <f>常规材料表!A109</f>
        <v>0</v>
      </c>
      <c r="J22" s="247"/>
      <c r="K22" s="247"/>
      <c r="L22" s="248"/>
      <c r="AU22" t="s">
        <v>426</v>
      </c>
      <c r="AV22" t="s">
        <v>684</v>
      </c>
      <c r="AZ22" t="s">
        <v>201</v>
      </c>
      <c r="BA22" t="s">
        <v>488</v>
      </c>
      <c r="BE22" s="195" t="s">
        <v>1479</v>
      </c>
      <c r="BF22">
        <v>2.2999999999999998</v>
      </c>
      <c r="BI22" s="247" t="str">
        <f>常规材料表!A136</f>
        <v>P139.7×63.5/41.3-18</v>
      </c>
      <c r="BP22" t="s">
        <v>1480</v>
      </c>
      <c r="BR22" t="s">
        <v>1464</v>
      </c>
      <c r="BS22">
        <v>4.0300000000000002E-2</v>
      </c>
      <c r="BT22">
        <v>4.0300000000000002E-2</v>
      </c>
      <c r="BU22">
        <v>4.1300000000000003E-2</v>
      </c>
      <c r="BV22">
        <v>4.1300000000000003E-2</v>
      </c>
      <c r="BW22">
        <v>4.1000000000000002E-2</v>
      </c>
      <c r="BX22" s="251">
        <v>46087.687002314815</v>
      </c>
      <c r="BY22" s="252">
        <v>0.68700231481481477</v>
      </c>
    </row>
    <row r="23" spans="6:77">
      <c r="F23" t="str">
        <f>常规材料表!A28</f>
        <v>10070-275</v>
      </c>
      <c r="I23" s="247">
        <f>常规材料表!A110</f>
        <v>0</v>
      </c>
      <c r="J23" s="247"/>
      <c r="K23" s="247"/>
      <c r="L23" s="248"/>
      <c r="AU23" t="s">
        <v>685</v>
      </c>
      <c r="AV23" t="s">
        <v>685</v>
      </c>
      <c r="AZ23" t="s">
        <v>201</v>
      </c>
      <c r="BA23" t="s">
        <v>491</v>
      </c>
      <c r="BE23" s="195" t="s">
        <v>1481</v>
      </c>
      <c r="BF23">
        <v>2.5</v>
      </c>
      <c r="BI23" s="247" t="str">
        <f>常规材料表!A137</f>
        <v>P139.7×63.5/41.3-20</v>
      </c>
      <c r="BP23" t="s">
        <v>1482</v>
      </c>
      <c r="BR23" t="s">
        <v>1467</v>
      </c>
      <c r="BT23">
        <v>201.49</v>
      </c>
      <c r="BV23">
        <v>246.27</v>
      </c>
      <c r="BW23">
        <v>223.8</v>
      </c>
      <c r="BX23" s="251">
        <v>46087.687002314815</v>
      </c>
      <c r="BY23" s="252">
        <v>0.68700231481481477</v>
      </c>
    </row>
    <row r="24" spans="6:77">
      <c r="F24" t="str">
        <f>常规材料表!A29</f>
        <v>10075-20</v>
      </c>
      <c r="AU24" t="s">
        <v>433</v>
      </c>
      <c r="AV24" t="s">
        <v>694</v>
      </c>
      <c r="AZ24" t="s">
        <v>201</v>
      </c>
      <c r="BA24" t="s">
        <v>494</v>
      </c>
      <c r="BE24" s="188" t="s">
        <v>1483</v>
      </c>
      <c r="BF24">
        <v>0.8</v>
      </c>
      <c r="BI24" s="247" t="str">
        <f>常规材料表!A139</f>
        <v>P152×64/41.3-18</v>
      </c>
      <c r="BP24" t="s">
        <v>1484</v>
      </c>
      <c r="BR24" t="s">
        <v>1469</v>
      </c>
      <c r="BT24">
        <v>7.1315</v>
      </c>
      <c r="BV24">
        <v>7.9515000000000002</v>
      </c>
      <c r="BW24">
        <v>7.5422000000000002</v>
      </c>
      <c r="BX24" s="251">
        <v>46087.687002314815</v>
      </c>
      <c r="BY24" s="252">
        <v>0.68700231481481477</v>
      </c>
    </row>
    <row r="25" spans="6:77">
      <c r="F25" t="str">
        <f>常规材料表!A30</f>
        <v>10075-23</v>
      </c>
      <c r="AU25" t="s">
        <v>687</v>
      </c>
      <c r="AV25" t="s">
        <v>697</v>
      </c>
      <c r="AZ25" t="s">
        <v>201</v>
      </c>
      <c r="BA25" t="s">
        <v>499</v>
      </c>
      <c r="BE25" s="188" t="s">
        <v>1485</v>
      </c>
      <c r="BF25">
        <v>1</v>
      </c>
      <c r="BI25" s="247" t="str">
        <f>常规材料表!A140</f>
        <v>P152×64/41.3-20</v>
      </c>
      <c r="BP25" t="s">
        <v>1486</v>
      </c>
      <c r="BR25" t="s">
        <v>1471</v>
      </c>
      <c r="BS25">
        <v>4.3597999999999999</v>
      </c>
      <c r="BT25">
        <v>4.3597999999999999</v>
      </c>
      <c r="BU25">
        <v>4.3935000000000004</v>
      </c>
      <c r="BV25">
        <v>4.3935000000000004</v>
      </c>
      <c r="BW25">
        <v>4.3814000000000002</v>
      </c>
      <c r="BX25" s="251">
        <v>46087.687002314815</v>
      </c>
      <c r="BY25" s="252">
        <v>0.68700231481481477</v>
      </c>
    </row>
    <row r="26" spans="6:77">
      <c r="F26" t="str">
        <f>常规材料表!A31</f>
        <v>10075-25</v>
      </c>
      <c r="AU26" t="s">
        <v>697</v>
      </c>
      <c r="AV26" t="s">
        <v>706</v>
      </c>
      <c r="AZ26" t="s">
        <v>201</v>
      </c>
      <c r="BA26" t="s">
        <v>503</v>
      </c>
      <c r="BE26" s="188" t="s">
        <v>1487</v>
      </c>
      <c r="BF26">
        <v>1.3</v>
      </c>
      <c r="BP26" t="s">
        <v>1488</v>
      </c>
      <c r="BR26" t="s">
        <v>1473</v>
      </c>
      <c r="BT26">
        <v>0.15260000000000001</v>
      </c>
      <c r="BV26">
        <v>0.1908</v>
      </c>
      <c r="BW26">
        <v>0.17249999999999999</v>
      </c>
      <c r="BX26" s="251">
        <v>46087.687002314815</v>
      </c>
      <c r="BY26" s="252">
        <v>0.68700231481481477</v>
      </c>
    </row>
    <row r="27" spans="6:77">
      <c r="F27" t="str">
        <f>常规材料表!A32</f>
        <v>10095-20</v>
      </c>
      <c r="AU27" t="s">
        <v>543</v>
      </c>
      <c r="AV27" t="s">
        <v>704</v>
      </c>
      <c r="AZ27" t="s">
        <v>201</v>
      </c>
      <c r="BA27" t="s">
        <v>506</v>
      </c>
      <c r="BE27" s="188" t="s">
        <v>1489</v>
      </c>
      <c r="BF27">
        <v>1.5</v>
      </c>
      <c r="BP27" t="s">
        <v>1490</v>
      </c>
      <c r="BR27" t="s">
        <v>1474</v>
      </c>
      <c r="BS27">
        <v>0.46460000000000001</v>
      </c>
      <c r="BT27">
        <v>0.46460000000000001</v>
      </c>
      <c r="BU27">
        <v>0.47439999999999999</v>
      </c>
      <c r="BV27">
        <v>0.47439999999999999</v>
      </c>
      <c r="BW27">
        <v>0.4662</v>
      </c>
      <c r="BX27" s="251">
        <v>46087.687002314815</v>
      </c>
      <c r="BY27" s="252">
        <v>0.68700231481481477</v>
      </c>
    </row>
    <row r="28" spans="6:77">
      <c r="F28" t="str">
        <f>常规材料表!A33</f>
        <v>10095-23</v>
      </c>
      <c r="AU28" t="s">
        <v>547</v>
      </c>
      <c r="AV28" t="s">
        <v>702</v>
      </c>
      <c r="AZ28" t="s">
        <v>201</v>
      </c>
      <c r="BA28" t="s">
        <v>588</v>
      </c>
      <c r="BE28" s="188" t="s">
        <v>1491</v>
      </c>
      <c r="BF28">
        <v>1.8</v>
      </c>
      <c r="BP28" t="s">
        <v>1492</v>
      </c>
      <c r="BR28" t="s">
        <v>1476</v>
      </c>
      <c r="BT28">
        <v>2004.8</v>
      </c>
      <c r="BV28">
        <v>2500.36</v>
      </c>
      <c r="BW28">
        <v>2257.77</v>
      </c>
      <c r="BX28" s="251">
        <v>46087.687002314815</v>
      </c>
      <c r="BY28" s="252">
        <v>0.68700231481481477</v>
      </c>
    </row>
    <row r="29" spans="6:77">
      <c r="F29" t="str">
        <f>常规材料表!A34</f>
        <v>10095-25</v>
      </c>
      <c r="AU29" t="s">
        <v>553</v>
      </c>
      <c r="AV29" t="s">
        <v>533</v>
      </c>
      <c r="AZ29" t="s">
        <v>201</v>
      </c>
      <c r="BE29" s="188" t="s">
        <v>1493</v>
      </c>
      <c r="BF29">
        <v>2</v>
      </c>
      <c r="BP29" t="s">
        <v>1494</v>
      </c>
      <c r="BR29" t="s">
        <v>1478</v>
      </c>
      <c r="BS29">
        <v>0.17979999999999999</v>
      </c>
      <c r="BT29">
        <v>0.17979999999999999</v>
      </c>
      <c r="BU29">
        <v>0.20680000000000001</v>
      </c>
      <c r="BV29">
        <v>0.20680000000000001</v>
      </c>
      <c r="BW29">
        <v>0.1938</v>
      </c>
      <c r="BX29" s="251">
        <v>46087.687002314815</v>
      </c>
      <c r="BY29" s="252">
        <v>0.68700231481481477</v>
      </c>
    </row>
    <row r="30" spans="6:77">
      <c r="F30" t="str">
        <f>常规材料表!A35</f>
        <v>10095-275</v>
      </c>
      <c r="AU30" t="s">
        <v>555</v>
      </c>
      <c r="AZ30" t="s">
        <v>201</v>
      </c>
      <c r="BE30" s="188" t="s">
        <v>1495</v>
      </c>
      <c r="BF30">
        <v>2.2999999999999998</v>
      </c>
      <c r="BP30" t="s">
        <v>1496</v>
      </c>
      <c r="BR30" t="s">
        <v>1480</v>
      </c>
      <c r="BS30">
        <v>85.42</v>
      </c>
      <c r="BT30">
        <v>85.42</v>
      </c>
      <c r="BU30">
        <v>85.81</v>
      </c>
      <c r="BV30">
        <v>85.81</v>
      </c>
      <c r="BW30">
        <v>85.64</v>
      </c>
      <c r="BX30" s="251">
        <v>46087.687002314815</v>
      </c>
      <c r="BY30" s="252">
        <v>0.68700231481481477</v>
      </c>
    </row>
    <row r="31" spans="6:77">
      <c r="F31" t="str">
        <f>常规材料表!A36</f>
        <v>10095-30</v>
      </c>
      <c r="AU31" t="s">
        <v>556</v>
      </c>
      <c r="AZ31" t="s">
        <v>1409</v>
      </c>
      <c r="BA31" t="s">
        <v>293</v>
      </c>
      <c r="BE31" s="188" t="s">
        <v>1497</v>
      </c>
      <c r="BF31">
        <v>2.5</v>
      </c>
      <c r="BI31" s="247"/>
      <c r="BP31" t="s">
        <v>1498</v>
      </c>
      <c r="BR31" t="s">
        <v>1482</v>
      </c>
      <c r="BS31">
        <v>38.61</v>
      </c>
      <c r="BT31">
        <v>38.61</v>
      </c>
      <c r="BU31">
        <v>39.39</v>
      </c>
      <c r="BV31">
        <v>39.39</v>
      </c>
      <c r="BW31">
        <v>38.99</v>
      </c>
      <c r="BX31" s="251">
        <v>46087.687002314815</v>
      </c>
      <c r="BY31" s="252">
        <v>0.68700231481481477</v>
      </c>
    </row>
    <row r="32" spans="6:77">
      <c r="F32" t="str">
        <f>常规材料表!A37</f>
        <v>100135-23</v>
      </c>
      <c r="AU32" t="s">
        <v>562</v>
      </c>
      <c r="AZ32" t="s">
        <v>1409</v>
      </c>
      <c r="BA32" t="s">
        <v>310</v>
      </c>
      <c r="BE32" s="188" t="s">
        <v>1499</v>
      </c>
      <c r="BF32">
        <v>2.75</v>
      </c>
      <c r="BP32" t="s">
        <v>1500</v>
      </c>
      <c r="BR32" t="s">
        <v>1484</v>
      </c>
      <c r="BS32">
        <v>174.12</v>
      </c>
      <c r="BU32">
        <v>175.69</v>
      </c>
      <c r="BW32">
        <v>174.99</v>
      </c>
      <c r="BX32" s="251">
        <v>46087.687002314815</v>
      </c>
      <c r="BY32" s="252">
        <v>0.68700231481481477</v>
      </c>
    </row>
    <row r="33" spans="6:77">
      <c r="F33" t="str">
        <f>常规材料表!A38</f>
        <v>100135-25</v>
      </c>
      <c r="AU33" t="s">
        <v>518</v>
      </c>
      <c r="AZ33" t="s">
        <v>1409</v>
      </c>
      <c r="BA33" s="250" t="s">
        <v>378</v>
      </c>
      <c r="BE33" s="188" t="s">
        <v>1501</v>
      </c>
      <c r="BF33">
        <v>3</v>
      </c>
      <c r="BI33" s="247"/>
      <c r="BP33" t="s">
        <v>1502</v>
      </c>
      <c r="BR33" t="s">
        <v>1486</v>
      </c>
      <c r="BS33">
        <v>71.180000000000007</v>
      </c>
      <c r="BT33">
        <v>71.180000000000007</v>
      </c>
      <c r="BU33">
        <v>71.760000000000005</v>
      </c>
      <c r="BV33">
        <v>71.760000000000005</v>
      </c>
      <c r="BW33">
        <v>71.34</v>
      </c>
      <c r="BX33" s="251">
        <v>46087.687002314815</v>
      </c>
      <c r="BY33" s="252">
        <v>0.68700231481481477</v>
      </c>
    </row>
    <row r="34" spans="6:77">
      <c r="F34" t="str">
        <f>常规材料表!A39</f>
        <v>100135-275</v>
      </c>
      <c r="AU34" t="s">
        <v>523</v>
      </c>
      <c r="AZ34" t="s">
        <v>1409</v>
      </c>
      <c r="BA34" s="250" t="s">
        <v>373</v>
      </c>
      <c r="BE34" s="188" t="s">
        <v>896</v>
      </c>
      <c r="BF34">
        <v>1.2</v>
      </c>
      <c r="BI34" s="247"/>
      <c r="BP34" t="s">
        <v>1503</v>
      </c>
      <c r="BR34" t="s">
        <v>1488</v>
      </c>
      <c r="BT34">
        <v>3.8407</v>
      </c>
      <c r="BV34">
        <v>5.4599000000000002</v>
      </c>
      <c r="BW34">
        <v>4.7290000000000001</v>
      </c>
      <c r="BX34" s="251">
        <v>46087.687002314815</v>
      </c>
      <c r="BY34" s="252">
        <v>0.68700231481481477</v>
      </c>
    </row>
    <row r="35" spans="6:77">
      <c r="F35" t="str">
        <f>常规材料表!A40</f>
        <v>100135-30</v>
      </c>
      <c r="AU35" t="s">
        <v>533</v>
      </c>
      <c r="AZ35" t="s">
        <v>1409</v>
      </c>
      <c r="BA35" t="s">
        <v>426</v>
      </c>
      <c r="BE35" s="188" t="s">
        <v>915</v>
      </c>
      <c r="BF35">
        <v>1.3</v>
      </c>
      <c r="BI35" s="247"/>
      <c r="BP35" t="s">
        <v>1504</v>
      </c>
      <c r="BR35" t="s">
        <v>1490</v>
      </c>
      <c r="BS35">
        <v>405.92</v>
      </c>
      <c r="BT35">
        <v>405.92</v>
      </c>
      <c r="BU35">
        <v>408.98</v>
      </c>
      <c r="BV35">
        <v>408.98</v>
      </c>
      <c r="BW35">
        <v>407.21</v>
      </c>
      <c r="BX35" s="251">
        <v>46087.687002314815</v>
      </c>
      <c r="BY35" s="252">
        <v>0.68700231481481477</v>
      </c>
    </row>
    <row r="36" spans="6:77">
      <c r="F36" t="str">
        <f>常规材料表!A41</f>
        <v>12070-20</v>
      </c>
      <c r="AU36" t="s">
        <v>565</v>
      </c>
      <c r="AZ36" t="s">
        <v>1409</v>
      </c>
      <c r="BA36" t="s">
        <v>397</v>
      </c>
      <c r="BE36" s="188" t="s">
        <v>1505</v>
      </c>
      <c r="BF36">
        <v>1.35</v>
      </c>
      <c r="BI36" s="247"/>
      <c r="BP36" t="s">
        <v>1506</v>
      </c>
      <c r="BR36" t="s">
        <v>1492</v>
      </c>
      <c r="BS36">
        <v>11.56</v>
      </c>
      <c r="BT36">
        <v>11.56</v>
      </c>
      <c r="BU36">
        <v>11.8</v>
      </c>
      <c r="BV36">
        <v>11.8</v>
      </c>
      <c r="BW36">
        <v>11.75</v>
      </c>
      <c r="BX36" s="251">
        <v>46087.687002314815</v>
      </c>
      <c r="BY36" s="252">
        <v>0.68700231481481477</v>
      </c>
    </row>
    <row r="37" spans="6:77">
      <c r="F37" t="str">
        <f>常规材料表!A42</f>
        <v>12070-23</v>
      </c>
      <c r="AU37" t="s">
        <v>568</v>
      </c>
      <c r="AZ37" t="s">
        <v>1409</v>
      </c>
      <c r="BA37" t="s">
        <v>389</v>
      </c>
      <c r="BE37" s="188" t="s">
        <v>894</v>
      </c>
      <c r="BF37">
        <v>1.4</v>
      </c>
      <c r="BI37" s="247"/>
      <c r="BP37" t="s">
        <v>1507</v>
      </c>
      <c r="BR37" t="s">
        <v>1494</v>
      </c>
      <c r="BT37">
        <v>2.0247999999999999</v>
      </c>
      <c r="BV37">
        <v>2.9138000000000002</v>
      </c>
      <c r="BW37">
        <v>2.4748000000000001</v>
      </c>
      <c r="BX37" s="251">
        <v>46087.687002314815</v>
      </c>
      <c r="BY37" s="252">
        <v>0.68700231481481477</v>
      </c>
    </row>
    <row r="38" spans="6:77">
      <c r="F38" t="str">
        <f>常规材料表!A43</f>
        <v>12070-25</v>
      </c>
      <c r="AU38" t="s">
        <v>570</v>
      </c>
      <c r="AZ38" t="s">
        <v>1409</v>
      </c>
      <c r="BA38" t="s">
        <v>474</v>
      </c>
      <c r="BE38" s="188" t="s">
        <v>817</v>
      </c>
      <c r="BF38">
        <v>1.5</v>
      </c>
      <c r="BI38" s="247"/>
      <c r="BP38" t="s">
        <v>1508</v>
      </c>
      <c r="BR38" t="s">
        <v>1496</v>
      </c>
      <c r="BT38">
        <v>168.3</v>
      </c>
      <c r="BV38">
        <v>209.9</v>
      </c>
      <c r="BW38">
        <v>189.54</v>
      </c>
      <c r="BX38" s="251">
        <v>46087.687002314815</v>
      </c>
      <c r="BY38" s="252">
        <v>0.68700231481481477</v>
      </c>
    </row>
    <row r="39" spans="6:77">
      <c r="F39" t="str">
        <f>常规材料表!A44</f>
        <v>12070-275</v>
      </c>
      <c r="AU39" t="s">
        <v>575</v>
      </c>
      <c r="AZ39" t="s">
        <v>1409</v>
      </c>
      <c r="BA39" t="s">
        <v>388</v>
      </c>
      <c r="BE39" s="188" t="s">
        <v>820</v>
      </c>
      <c r="BF39">
        <v>1.8</v>
      </c>
      <c r="BI39" s="247"/>
      <c r="BP39" t="s">
        <v>141</v>
      </c>
      <c r="BR39" t="s">
        <v>1498</v>
      </c>
      <c r="BS39">
        <v>6.7468000000000004</v>
      </c>
      <c r="BU39">
        <v>6.883</v>
      </c>
      <c r="BW39">
        <v>6.8373999999999997</v>
      </c>
      <c r="BX39" s="251">
        <v>46087.687002314815</v>
      </c>
      <c r="BY39" s="252">
        <v>0.68700231481481477</v>
      </c>
    </row>
    <row r="40" spans="6:77">
      <c r="F40" t="str">
        <f>常规材料表!A45</f>
        <v>12070-30</v>
      </c>
      <c r="AU40" t="s">
        <v>576</v>
      </c>
      <c r="AZ40" t="s">
        <v>1409</v>
      </c>
      <c r="BA40" s="250" t="s">
        <v>340</v>
      </c>
      <c r="BE40" s="188" t="s">
        <v>835</v>
      </c>
      <c r="BF40">
        <v>2</v>
      </c>
      <c r="BI40" s="247"/>
      <c r="BP40" t="s">
        <v>1509</v>
      </c>
      <c r="BR40" t="s">
        <v>1500</v>
      </c>
      <c r="BS40">
        <v>8.39</v>
      </c>
      <c r="BT40">
        <v>8.39</v>
      </c>
      <c r="BU40">
        <v>8.82</v>
      </c>
      <c r="BV40">
        <v>8.82</v>
      </c>
      <c r="BW40">
        <v>8.7799999999999994</v>
      </c>
      <c r="BX40" s="251">
        <v>46087.687002314815</v>
      </c>
      <c r="BY40" s="252">
        <v>0.68700231481481477</v>
      </c>
    </row>
    <row r="41" spans="6:77">
      <c r="F41" t="str">
        <f>常规材料表!A46</f>
        <v>12075-20</v>
      </c>
      <c r="AU41" t="s">
        <v>583</v>
      </c>
      <c r="BE41" s="188" t="s">
        <v>842</v>
      </c>
      <c r="BF41">
        <v>2.2999999999999998</v>
      </c>
      <c r="BI41" s="247"/>
      <c r="BP41" t="s">
        <v>1510</v>
      </c>
      <c r="BR41" t="s">
        <v>1502</v>
      </c>
      <c r="BS41">
        <v>182.47</v>
      </c>
      <c r="BT41">
        <v>182.47</v>
      </c>
      <c r="BU41">
        <v>185.05</v>
      </c>
      <c r="BV41">
        <v>185.05</v>
      </c>
      <c r="BW41">
        <v>183.92</v>
      </c>
      <c r="BX41" s="251">
        <v>46087.687002314815</v>
      </c>
      <c r="BY41" s="252">
        <v>0.68700231481481477</v>
      </c>
    </row>
    <row r="42" spans="6:77">
      <c r="F42" t="str">
        <f>常规材料表!A47</f>
        <v>12075-23</v>
      </c>
      <c r="AU42" t="s">
        <v>588</v>
      </c>
      <c r="BE42" s="188" t="s">
        <v>847</v>
      </c>
      <c r="BF42">
        <v>2.5</v>
      </c>
      <c r="BI42" s="247"/>
      <c r="BR42" t="s">
        <v>1503</v>
      </c>
      <c r="BS42">
        <v>74.56</v>
      </c>
      <c r="BT42">
        <v>74.56</v>
      </c>
      <c r="BU42">
        <v>75.16</v>
      </c>
      <c r="BV42">
        <v>75.16</v>
      </c>
      <c r="BW42">
        <v>74.83</v>
      </c>
      <c r="BX42" s="251">
        <v>46087.687002314815</v>
      </c>
      <c r="BY42" s="252">
        <v>0.68700231481481477</v>
      </c>
    </row>
    <row r="43" spans="6:77">
      <c r="F43" t="str">
        <f>常规材料表!A48</f>
        <v>12075-25</v>
      </c>
      <c r="AU43" t="s">
        <v>591</v>
      </c>
      <c r="BE43" s="188" t="s">
        <v>851</v>
      </c>
      <c r="BF43">
        <v>2.75</v>
      </c>
      <c r="BI43" s="247"/>
      <c r="BR43" t="s">
        <v>1504</v>
      </c>
      <c r="BS43">
        <v>537.72</v>
      </c>
      <c r="BT43">
        <v>537.72</v>
      </c>
      <c r="BU43">
        <v>541.77</v>
      </c>
      <c r="BV43">
        <v>541.77</v>
      </c>
      <c r="BW43">
        <v>539.07000000000005</v>
      </c>
      <c r="BX43" s="251">
        <v>46087.687002314815</v>
      </c>
      <c r="BY43" s="252">
        <v>0.68700231481481477</v>
      </c>
    </row>
    <row r="44" spans="6:77">
      <c r="F44" t="str">
        <f>常规材料表!A49</f>
        <v>12095-23</v>
      </c>
      <c r="AU44" t="s">
        <v>594</v>
      </c>
      <c r="AZ44" t="s">
        <v>204</v>
      </c>
      <c r="BA44" t="s">
        <v>609</v>
      </c>
      <c r="BE44" s="188" t="s">
        <v>864</v>
      </c>
      <c r="BF44">
        <v>3</v>
      </c>
      <c r="BI44" s="247"/>
      <c r="BR44" t="s">
        <v>1506</v>
      </c>
      <c r="BS44">
        <v>21.63</v>
      </c>
      <c r="BT44">
        <v>21.63</v>
      </c>
      <c r="BU44">
        <v>21.81</v>
      </c>
      <c r="BV44">
        <v>21.81</v>
      </c>
      <c r="BW44">
        <v>21.75</v>
      </c>
      <c r="BX44" s="251">
        <v>46087.687002314815</v>
      </c>
      <c r="BY44" s="252">
        <v>0.68700231481481477</v>
      </c>
    </row>
    <row r="45" spans="6:77">
      <c r="F45" t="str">
        <f>常规材料表!A50</f>
        <v>12095-25</v>
      </c>
      <c r="AU45" t="s">
        <v>474</v>
      </c>
      <c r="AZ45" t="s">
        <v>204</v>
      </c>
      <c r="BA45" t="s">
        <v>625</v>
      </c>
      <c r="BE45" s="188" t="s">
        <v>1511</v>
      </c>
      <c r="BF45">
        <v>3.5</v>
      </c>
      <c r="BI45" s="247"/>
      <c r="BR45" t="s">
        <v>1507</v>
      </c>
      <c r="BS45">
        <v>14.55</v>
      </c>
      <c r="BT45">
        <v>14.55</v>
      </c>
      <c r="BU45">
        <v>16.75</v>
      </c>
      <c r="BV45">
        <v>16.75</v>
      </c>
      <c r="BW45">
        <v>15.67</v>
      </c>
      <c r="BX45" s="251">
        <v>46087.687002314815</v>
      </c>
      <c r="BY45" s="252">
        <v>0.68700231481481477</v>
      </c>
    </row>
    <row r="46" spans="6:77">
      <c r="F46" t="str">
        <f>常规材料表!A51</f>
        <v>12095-275</v>
      </c>
      <c r="AU46" t="s">
        <v>599</v>
      </c>
      <c r="AZ46" t="s">
        <v>204</v>
      </c>
      <c r="BA46" t="s">
        <v>646</v>
      </c>
      <c r="BE46" s="188" t="s">
        <v>1250</v>
      </c>
      <c r="BF46">
        <v>4</v>
      </c>
      <c r="BI46" s="247"/>
      <c r="BR46" t="s">
        <v>1508</v>
      </c>
      <c r="BT46">
        <v>20.86</v>
      </c>
      <c r="BV46">
        <v>22.85</v>
      </c>
      <c r="BW46">
        <v>21.75</v>
      </c>
      <c r="BX46" s="251">
        <v>46087.687002314815</v>
      </c>
      <c r="BY46" s="252">
        <v>0.68700231481481477</v>
      </c>
    </row>
    <row r="47" spans="6:77">
      <c r="F47" t="str">
        <f>常规材料表!A52</f>
        <v>12095-30</v>
      </c>
      <c r="AU47" t="s">
        <v>601</v>
      </c>
      <c r="AZ47" t="s">
        <v>204</v>
      </c>
      <c r="BA47" t="s">
        <v>661</v>
      </c>
      <c r="BE47" s="188" t="s">
        <v>1512</v>
      </c>
      <c r="BF47">
        <v>4.5</v>
      </c>
      <c r="BI47" s="247"/>
      <c r="BR47" t="s">
        <v>141</v>
      </c>
      <c r="BS47">
        <v>688.59</v>
      </c>
      <c r="BT47">
        <v>688.59</v>
      </c>
      <c r="BU47">
        <v>691.49</v>
      </c>
      <c r="BV47">
        <v>691.49</v>
      </c>
      <c r="BW47">
        <v>690.25</v>
      </c>
      <c r="BX47" s="251">
        <v>46087.687002314815</v>
      </c>
      <c r="BY47" s="252">
        <v>0.68700231481481477</v>
      </c>
    </row>
    <row r="48" spans="6:77">
      <c r="F48" t="str">
        <f>常规材料表!A53</f>
        <v>120135-23</v>
      </c>
      <c r="AU48" t="s">
        <v>604</v>
      </c>
      <c r="AZ48" t="s">
        <v>204</v>
      </c>
      <c r="BA48" t="s">
        <v>461</v>
      </c>
      <c r="BE48" s="188" t="s">
        <v>1513</v>
      </c>
      <c r="BF48">
        <v>0.6</v>
      </c>
      <c r="BI48" s="247"/>
      <c r="BR48" t="s">
        <v>1509</v>
      </c>
      <c r="BT48">
        <v>2.5000000000000001E-2</v>
      </c>
      <c r="BV48">
        <v>2.76E-2</v>
      </c>
      <c r="BW48">
        <v>2.64E-2</v>
      </c>
      <c r="BX48" s="251">
        <v>46087.687002314815</v>
      </c>
      <c r="BY48" s="252">
        <v>0.68700231481481477</v>
      </c>
    </row>
    <row r="49" spans="6:77">
      <c r="F49" t="str">
        <f>常规材料表!A54</f>
        <v>120135-25</v>
      </c>
      <c r="AU49" t="s">
        <v>606</v>
      </c>
      <c r="AZ49" t="s">
        <v>204</v>
      </c>
      <c r="BA49" t="s">
        <v>464</v>
      </c>
      <c r="BE49" s="188" t="s">
        <v>1514</v>
      </c>
      <c r="BF49">
        <v>1.2</v>
      </c>
      <c r="BI49" s="247"/>
      <c r="BR49" t="s">
        <v>1510</v>
      </c>
      <c r="BS49">
        <v>41.27</v>
      </c>
      <c r="BT49">
        <v>41.27</v>
      </c>
      <c r="BU49">
        <v>41.75</v>
      </c>
      <c r="BV49">
        <v>41.75</v>
      </c>
      <c r="BW49">
        <v>41.44</v>
      </c>
      <c r="BX49" s="251">
        <v>46087.687002314815</v>
      </c>
      <c r="BY49" s="252">
        <v>0.68700231481481477</v>
      </c>
    </row>
    <row r="50" spans="6:77">
      <c r="F50" t="str">
        <f>常规材料表!A55</f>
        <v>120135-275</v>
      </c>
      <c r="AU50" t="s">
        <v>1515</v>
      </c>
      <c r="AZ50" t="s">
        <v>204</v>
      </c>
      <c r="BE50" s="188" t="s">
        <v>1309</v>
      </c>
      <c r="BF50">
        <v>1.5</v>
      </c>
      <c r="BI50" s="247"/>
      <c r="BR50" t="s">
        <v>1516</v>
      </c>
      <c r="BX50" s="251"/>
      <c r="BY50" s="252"/>
    </row>
    <row r="51" spans="6:77">
      <c r="F51" t="str">
        <f>常规材料表!A56</f>
        <v>120135-30</v>
      </c>
      <c r="AU51" t="s">
        <v>439</v>
      </c>
      <c r="BE51" s="188" t="s">
        <v>1517</v>
      </c>
      <c r="BF51">
        <v>1.8</v>
      </c>
      <c r="BI51" s="247"/>
      <c r="BR51" t="s">
        <v>1518</v>
      </c>
      <c r="BX51" s="251"/>
      <c r="BY51" s="252"/>
    </row>
    <row r="52" spans="6:77">
      <c r="F52" t="str">
        <f>常规材料表!A57</f>
        <v>140135-23</v>
      </c>
      <c r="AU52" t="s">
        <v>444</v>
      </c>
      <c r="BE52" s="188" t="s">
        <v>1311</v>
      </c>
      <c r="BF52">
        <v>2</v>
      </c>
      <c r="BI52" s="247"/>
      <c r="BR52" t="s">
        <v>1519</v>
      </c>
      <c r="BX52" s="251"/>
      <c r="BY52" s="252"/>
    </row>
    <row r="53" spans="6:77">
      <c r="F53" t="str">
        <f>常规材料表!A58</f>
        <v>140135-25</v>
      </c>
      <c r="BE53" s="188" t="s">
        <v>1520</v>
      </c>
      <c r="BF53">
        <v>2.2999999999999998</v>
      </c>
      <c r="BI53" s="247"/>
      <c r="BR53" t="s">
        <v>1521</v>
      </c>
    </row>
    <row r="54" spans="6:77">
      <c r="F54" t="str">
        <f>常规材料表!A59</f>
        <v>140135-275</v>
      </c>
      <c r="BE54" s="188" t="s">
        <v>1007</v>
      </c>
      <c r="BF54">
        <v>2.5</v>
      </c>
      <c r="BI54" s="247"/>
      <c r="BR54" t="s">
        <v>1522</v>
      </c>
    </row>
    <row r="55" spans="6:77">
      <c r="F55" t="str">
        <f>常规材料表!A60</f>
        <v>140135-30</v>
      </c>
      <c r="BE55" s="188" t="s">
        <v>1523</v>
      </c>
      <c r="BF55">
        <v>2.75</v>
      </c>
      <c r="BI55" s="247"/>
      <c r="BR55" t="s">
        <v>1524</v>
      </c>
    </row>
    <row r="56" spans="6:77">
      <c r="F56">
        <f>常规材料表!A61</f>
        <v>0</v>
      </c>
      <c r="BE56" s="188" t="s">
        <v>1305</v>
      </c>
      <c r="BF56">
        <v>3</v>
      </c>
    </row>
    <row r="57" spans="6:77">
      <c r="F57">
        <f>常规材料表!A62</f>
        <v>0</v>
      </c>
      <c r="BE57" s="188" t="s">
        <v>1323</v>
      </c>
      <c r="BF57">
        <v>3.5</v>
      </c>
    </row>
    <row r="58" spans="6:77">
      <c r="F58">
        <f>常规材料表!A63</f>
        <v>0</v>
      </c>
      <c r="BE58" s="188" t="s">
        <v>1005</v>
      </c>
      <c r="BF58">
        <v>4</v>
      </c>
    </row>
    <row r="59" spans="6:77">
      <c r="F59">
        <f>常规材料表!A64</f>
        <v>0</v>
      </c>
      <c r="AZ59" t="s">
        <v>202</v>
      </c>
      <c r="BA59" t="s">
        <v>218</v>
      </c>
      <c r="BE59" s="188" t="s">
        <v>1525</v>
      </c>
      <c r="BF59">
        <v>4.5</v>
      </c>
    </row>
    <row r="60" spans="6:77">
      <c r="AZ60" t="s">
        <v>202</v>
      </c>
      <c r="BA60" t="s">
        <v>303</v>
      </c>
      <c r="BE60" s="188" t="s">
        <v>391</v>
      </c>
      <c r="BF60">
        <v>5</v>
      </c>
    </row>
    <row r="61" spans="6:77">
      <c r="AZ61" t="s">
        <v>202</v>
      </c>
      <c r="BA61" t="s">
        <v>311</v>
      </c>
      <c r="BE61" s="188" t="s">
        <v>1526</v>
      </c>
      <c r="BF61">
        <v>5.5</v>
      </c>
    </row>
    <row r="62" spans="6:77">
      <c r="AZ62" t="s">
        <v>202</v>
      </c>
      <c r="BA62" t="s">
        <v>314</v>
      </c>
      <c r="BE62" s="188" t="s">
        <v>1527</v>
      </c>
      <c r="BF62">
        <v>6</v>
      </c>
    </row>
    <row r="63" spans="6:77">
      <c r="AZ63" t="s">
        <v>202</v>
      </c>
      <c r="BA63" t="s">
        <v>342</v>
      </c>
      <c r="BE63" s="188" t="s">
        <v>1528</v>
      </c>
      <c r="BF63">
        <v>8</v>
      </c>
    </row>
    <row r="64" spans="6:77">
      <c r="AZ64" t="s">
        <v>202</v>
      </c>
      <c r="BA64" t="s">
        <v>349</v>
      </c>
      <c r="BE64" s="188" t="s">
        <v>1529</v>
      </c>
      <c r="BF64">
        <v>2.5</v>
      </c>
    </row>
    <row r="65" spans="14:58">
      <c r="AZ65" t="s">
        <v>202</v>
      </c>
      <c r="BA65" t="s">
        <v>368</v>
      </c>
      <c r="BE65" s="188" t="s">
        <v>1530</v>
      </c>
      <c r="BF65">
        <v>3</v>
      </c>
    </row>
    <row r="66" spans="14:58">
      <c r="AZ66" t="s">
        <v>202</v>
      </c>
      <c r="BA66" s="250" t="s">
        <v>375</v>
      </c>
      <c r="BE66" s="188" t="s">
        <v>1531</v>
      </c>
      <c r="BF66">
        <v>1.5</v>
      </c>
    </row>
    <row r="67" spans="14:58">
      <c r="AZ67" t="s">
        <v>202</v>
      </c>
      <c r="BA67" s="254" t="s">
        <v>379</v>
      </c>
      <c r="BE67" s="188" t="s">
        <v>1532</v>
      </c>
      <c r="BF67">
        <v>2</v>
      </c>
    </row>
    <row r="68" spans="14:58">
      <c r="AZ68" t="s">
        <v>202</v>
      </c>
      <c r="BA68" t="s">
        <v>397</v>
      </c>
      <c r="BE68" s="188" t="s">
        <v>987</v>
      </c>
      <c r="BF68">
        <v>1.2</v>
      </c>
    </row>
    <row r="69" spans="14:58">
      <c r="AZ69" t="s">
        <v>202</v>
      </c>
      <c r="BA69" t="s">
        <v>426</v>
      </c>
      <c r="BE69" s="188" t="s">
        <v>985</v>
      </c>
      <c r="BF69">
        <v>1.5</v>
      </c>
    </row>
    <row r="70" spans="14:58">
      <c r="AZ70" t="s">
        <v>202</v>
      </c>
      <c r="BA70" t="s">
        <v>511</v>
      </c>
      <c r="BE70" s="188" t="s">
        <v>1533</v>
      </c>
      <c r="BF70">
        <v>1.8</v>
      </c>
    </row>
    <row r="71" spans="14:58">
      <c r="N71" s="247" t="s">
        <v>1534</v>
      </c>
      <c r="AZ71" t="s">
        <v>202</v>
      </c>
      <c r="BA71" t="s">
        <v>518</v>
      </c>
      <c r="BE71" s="188" t="s">
        <v>989</v>
      </c>
      <c r="BF71">
        <v>2</v>
      </c>
    </row>
    <row r="72" spans="14:58">
      <c r="N72" s="247" t="s">
        <v>906</v>
      </c>
      <c r="AZ72" t="s">
        <v>202</v>
      </c>
      <c r="BA72" t="s">
        <v>523</v>
      </c>
      <c r="BE72" s="188" t="s">
        <v>1535</v>
      </c>
      <c r="BF72">
        <v>2.2999999999999998</v>
      </c>
    </row>
    <row r="73" spans="14:58">
      <c r="N73" s="247" t="s">
        <v>1536</v>
      </c>
      <c r="AZ73" t="s">
        <v>202</v>
      </c>
      <c r="BA73" t="s">
        <v>533</v>
      </c>
      <c r="BE73" s="188" t="s">
        <v>998</v>
      </c>
      <c r="BF73">
        <v>2.5</v>
      </c>
    </row>
    <row r="74" spans="14:58">
      <c r="N74" s="247" t="s">
        <v>1078</v>
      </c>
      <c r="AZ74" t="s">
        <v>202</v>
      </c>
      <c r="BA74" t="s">
        <v>543</v>
      </c>
      <c r="BE74" s="188" t="s">
        <v>1537</v>
      </c>
      <c r="BF74">
        <v>3</v>
      </c>
    </row>
    <row r="75" spans="14:58">
      <c r="N75" s="247" t="s">
        <v>1004</v>
      </c>
      <c r="AZ75" t="s">
        <v>202</v>
      </c>
      <c r="BA75" t="s">
        <v>547</v>
      </c>
      <c r="BE75" s="188" t="s">
        <v>1002</v>
      </c>
      <c r="BF75">
        <v>4</v>
      </c>
    </row>
    <row r="76" spans="14:58">
      <c r="N76" s="247" t="s">
        <v>1079</v>
      </c>
      <c r="AZ76" t="s">
        <v>202</v>
      </c>
      <c r="BA76" t="s">
        <v>553</v>
      </c>
      <c r="BE76" s="188" t="s">
        <v>1538</v>
      </c>
      <c r="BF76">
        <v>6</v>
      </c>
    </row>
    <row r="77" spans="14:58">
      <c r="N77" s="247" t="s">
        <v>1006</v>
      </c>
      <c r="AZ77" t="s">
        <v>202</v>
      </c>
      <c r="BA77" t="s">
        <v>555</v>
      </c>
      <c r="BE77" s="188" t="s">
        <v>1539</v>
      </c>
      <c r="BF77">
        <v>8</v>
      </c>
    </row>
    <row r="78" spans="14:58">
      <c r="N78" s="70" t="s">
        <v>1080</v>
      </c>
      <c r="AZ78" t="s">
        <v>202</v>
      </c>
      <c r="BA78" t="s">
        <v>556</v>
      </c>
      <c r="BE78" s="188" t="s">
        <v>1540</v>
      </c>
      <c r="BF78">
        <v>10</v>
      </c>
    </row>
    <row r="79" spans="14:58">
      <c r="AZ79" t="s">
        <v>202</v>
      </c>
      <c r="BA79" t="s">
        <v>562</v>
      </c>
      <c r="BE79" s="204" t="s">
        <v>1541</v>
      </c>
      <c r="BF79">
        <v>1.5</v>
      </c>
    </row>
    <row r="80" spans="14:58">
      <c r="AZ80" t="s">
        <v>202</v>
      </c>
      <c r="BA80" s="250" t="s">
        <v>382</v>
      </c>
      <c r="BE80" s="204" t="s">
        <v>1542</v>
      </c>
      <c r="BF80">
        <v>1.8</v>
      </c>
    </row>
    <row r="81" spans="52:58">
      <c r="AZ81" t="s">
        <v>202</v>
      </c>
      <c r="BA81" t="s">
        <v>474</v>
      </c>
      <c r="BE81" s="204" t="s">
        <v>1543</v>
      </c>
      <c r="BF81">
        <v>2</v>
      </c>
    </row>
    <row r="82" spans="52:58">
      <c r="AZ82" t="s">
        <v>202</v>
      </c>
      <c r="BA82" t="s">
        <v>293</v>
      </c>
      <c r="BE82" s="188" t="s">
        <v>943</v>
      </c>
      <c r="BF82">
        <v>1.2</v>
      </c>
    </row>
    <row r="83" spans="52:58">
      <c r="AZ83" t="s">
        <v>202</v>
      </c>
      <c r="BA83" t="s">
        <v>310</v>
      </c>
      <c r="BE83" s="188" t="s">
        <v>944</v>
      </c>
      <c r="BF83">
        <v>1.5</v>
      </c>
    </row>
    <row r="84" spans="52:58">
      <c r="AZ84" t="s">
        <v>202</v>
      </c>
      <c r="BA84" s="250" t="s">
        <v>378</v>
      </c>
      <c r="BE84" s="188" t="s">
        <v>1544</v>
      </c>
      <c r="BF84">
        <v>1.8</v>
      </c>
    </row>
    <row r="85" spans="52:58">
      <c r="AZ85" t="s">
        <v>202</v>
      </c>
      <c r="BA85" s="250" t="s">
        <v>373</v>
      </c>
      <c r="BE85" s="188" t="s">
        <v>948</v>
      </c>
      <c r="BF85">
        <v>2</v>
      </c>
    </row>
    <row r="86" spans="52:58">
      <c r="AZ86" t="s">
        <v>202</v>
      </c>
      <c r="BE86" s="188" t="s">
        <v>497</v>
      </c>
      <c r="BF86">
        <v>2</v>
      </c>
    </row>
    <row r="87" spans="52:58">
      <c r="BE87" s="188" t="s">
        <v>1545</v>
      </c>
      <c r="BF87">
        <v>2.2999999999999998</v>
      </c>
    </row>
    <row r="88" spans="52:58">
      <c r="BE88" s="206" t="s">
        <v>1348</v>
      </c>
      <c r="BF88">
        <v>2.5</v>
      </c>
    </row>
    <row r="89" spans="52:58">
      <c r="AZ89" t="s">
        <v>203</v>
      </c>
      <c r="BA89" t="s">
        <v>300</v>
      </c>
      <c r="BE89" s="188" t="s">
        <v>1345</v>
      </c>
      <c r="BF89">
        <v>2</v>
      </c>
    </row>
    <row r="90" spans="52:58">
      <c r="AZ90" t="s">
        <v>203</v>
      </c>
      <c r="BA90" t="s">
        <v>311</v>
      </c>
      <c r="BE90" s="188" t="s">
        <v>1546</v>
      </c>
      <c r="BF90">
        <v>2</v>
      </c>
    </row>
    <row r="91" spans="52:58">
      <c r="AZ91" t="s">
        <v>203</v>
      </c>
      <c r="BA91" t="s">
        <v>314</v>
      </c>
      <c r="BE91" s="208" t="s">
        <v>1356</v>
      </c>
      <c r="BF91">
        <v>1.5</v>
      </c>
    </row>
    <row r="92" spans="52:58">
      <c r="AZ92" t="s">
        <v>203</v>
      </c>
      <c r="BA92" t="s">
        <v>565</v>
      </c>
      <c r="BE92" s="188" t="s">
        <v>1547</v>
      </c>
      <c r="BF92">
        <v>2</v>
      </c>
    </row>
    <row r="93" spans="52:58">
      <c r="AZ93" t="s">
        <v>203</v>
      </c>
      <c r="BA93" t="s">
        <v>568</v>
      </c>
      <c r="BE93" s="188" t="s">
        <v>1548</v>
      </c>
      <c r="BF93">
        <v>2.8</v>
      </c>
    </row>
    <row r="94" spans="52:58">
      <c r="AZ94" t="s">
        <v>203</v>
      </c>
      <c r="BA94" t="s">
        <v>570</v>
      </c>
      <c r="BE94" s="188" t="s">
        <v>1549</v>
      </c>
    </row>
    <row r="95" spans="52:58">
      <c r="AZ95" t="s">
        <v>203</v>
      </c>
      <c r="BA95" t="s">
        <v>575</v>
      </c>
      <c r="BE95" s="188" t="s">
        <v>1550</v>
      </c>
      <c r="BF95">
        <v>3</v>
      </c>
    </row>
    <row r="96" spans="52:58">
      <c r="AZ96" t="s">
        <v>203</v>
      </c>
      <c r="BA96" t="s">
        <v>576</v>
      </c>
      <c r="BE96" s="188" t="s">
        <v>1551</v>
      </c>
      <c r="BF96">
        <v>0.6</v>
      </c>
    </row>
    <row r="97" spans="48:58">
      <c r="AZ97" t="s">
        <v>203</v>
      </c>
      <c r="BA97" t="s">
        <v>583</v>
      </c>
      <c r="BE97" s="188" t="s">
        <v>1552</v>
      </c>
      <c r="BF97">
        <v>0.8</v>
      </c>
    </row>
    <row r="98" spans="48:58">
      <c r="AZ98" t="s">
        <v>203</v>
      </c>
      <c r="BA98" t="s">
        <v>588</v>
      </c>
      <c r="BE98" s="188" t="s">
        <v>1553</v>
      </c>
      <c r="BF98">
        <v>0.8</v>
      </c>
    </row>
    <row r="99" spans="48:58">
      <c r="AZ99" t="s">
        <v>203</v>
      </c>
      <c r="BA99" t="s">
        <v>591</v>
      </c>
      <c r="BE99" s="188" t="s">
        <v>1012</v>
      </c>
      <c r="BF99">
        <v>3</v>
      </c>
    </row>
    <row r="100" spans="48:58">
      <c r="AZ100" t="s">
        <v>203</v>
      </c>
      <c r="BA100" t="s">
        <v>594</v>
      </c>
      <c r="BE100" s="188" t="s">
        <v>1360</v>
      </c>
      <c r="BF100">
        <v>4</v>
      </c>
    </row>
    <row r="101" spans="48:58">
      <c r="AZ101" t="s">
        <v>203</v>
      </c>
      <c r="BA101" t="s">
        <v>474</v>
      </c>
      <c r="BE101" s="188" t="s">
        <v>1358</v>
      </c>
      <c r="BF101">
        <v>4</v>
      </c>
    </row>
    <row r="102" spans="48:58">
      <c r="AZ102" t="s">
        <v>203</v>
      </c>
      <c r="BA102" t="s">
        <v>599</v>
      </c>
      <c r="BE102" s="211" t="s">
        <v>1236</v>
      </c>
      <c r="BF102">
        <v>6</v>
      </c>
    </row>
    <row r="103" spans="48:58">
      <c r="AZ103" t="s">
        <v>203</v>
      </c>
      <c r="BA103" t="s">
        <v>601</v>
      </c>
      <c r="BE103" s="212" t="s">
        <v>1554</v>
      </c>
      <c r="BF103">
        <v>5.5</v>
      </c>
    </row>
    <row r="104" spans="48:58">
      <c r="AZ104" t="s">
        <v>203</v>
      </c>
      <c r="BA104" t="s">
        <v>604</v>
      </c>
      <c r="BE104" s="213" t="s">
        <v>1240</v>
      </c>
      <c r="BF104">
        <v>8</v>
      </c>
    </row>
    <row r="105" spans="48:58">
      <c r="AZ105" t="s">
        <v>203</v>
      </c>
      <c r="BA105" t="s">
        <v>606</v>
      </c>
      <c r="BE105" s="211" t="s">
        <v>1555</v>
      </c>
      <c r="BF105">
        <v>7.5</v>
      </c>
    </row>
    <row r="106" spans="48:58">
      <c r="AZ106" t="s">
        <v>203</v>
      </c>
      <c r="BA106" t="s">
        <v>432</v>
      </c>
      <c r="BE106" s="211" t="s">
        <v>1556</v>
      </c>
      <c r="BF106">
        <v>10</v>
      </c>
    </row>
    <row r="107" spans="48:58">
      <c r="AZ107" t="s">
        <v>203</v>
      </c>
      <c r="BA107" t="s">
        <v>482</v>
      </c>
      <c r="BE107" s="206" t="s">
        <v>1557</v>
      </c>
      <c r="BF107">
        <v>6</v>
      </c>
    </row>
    <row r="108" spans="48:58">
      <c r="AZ108" t="s">
        <v>203</v>
      </c>
      <c r="BE108" s="211" t="s">
        <v>1558</v>
      </c>
      <c r="BF108">
        <v>7</v>
      </c>
    </row>
    <row r="109" spans="48:58">
      <c r="AV109" s="255"/>
      <c r="BE109" s="188" t="s">
        <v>1361</v>
      </c>
      <c r="BF109">
        <v>4</v>
      </c>
    </row>
    <row r="110" spans="48:58">
      <c r="AV110" s="255"/>
      <c r="BE110" s="188" t="s">
        <v>1359</v>
      </c>
      <c r="BF110">
        <v>4</v>
      </c>
    </row>
    <row r="111" spans="48:58">
      <c r="BE111" s="204" t="s">
        <v>1559</v>
      </c>
    </row>
    <row r="112" spans="48:58">
      <c r="BE112" s="188" t="s">
        <v>1560</v>
      </c>
    </row>
    <row r="113" spans="52:58">
      <c r="BE113" s="188" t="s">
        <v>1561</v>
      </c>
    </row>
    <row r="114" spans="52:58">
      <c r="AZ114" t="s">
        <v>178</v>
      </c>
      <c r="BA114" t="s">
        <v>218</v>
      </c>
      <c r="BE114" s="188" t="s">
        <v>1562</v>
      </c>
    </row>
    <row r="115" spans="52:58">
      <c r="AZ115" t="s">
        <v>178</v>
      </c>
      <c r="BA115" t="s">
        <v>300</v>
      </c>
      <c r="BE115" s="188" t="s">
        <v>1563</v>
      </c>
    </row>
    <row r="116" spans="52:58">
      <c r="AZ116" t="s">
        <v>178</v>
      </c>
      <c r="BA116" t="s">
        <v>303</v>
      </c>
      <c r="BE116" s="188" t="s">
        <v>1564</v>
      </c>
    </row>
    <row r="117" spans="52:58">
      <c r="AZ117" t="s">
        <v>178</v>
      </c>
      <c r="BA117" t="s">
        <v>311</v>
      </c>
      <c r="BE117" s="206" t="s">
        <v>1565</v>
      </c>
    </row>
    <row r="118" spans="52:58">
      <c r="AZ118" t="s">
        <v>178</v>
      </c>
      <c r="BA118" t="s">
        <v>314</v>
      </c>
      <c r="BE118" s="206" t="s">
        <v>1566</v>
      </c>
    </row>
    <row r="119" spans="52:58">
      <c r="AZ119" t="s">
        <v>178</v>
      </c>
      <c r="BA119" t="s">
        <v>342</v>
      </c>
      <c r="BE119" s="188" t="s">
        <v>1567</v>
      </c>
    </row>
    <row r="120" spans="52:58">
      <c r="AZ120" t="s">
        <v>178</v>
      </c>
      <c r="BA120" t="s">
        <v>347</v>
      </c>
      <c r="BE120" s="214" t="s">
        <v>1568</v>
      </c>
    </row>
    <row r="121" spans="52:58">
      <c r="AZ121" t="s">
        <v>178</v>
      </c>
      <c r="BA121" t="s">
        <v>349</v>
      </c>
      <c r="BE121" s="215" t="s">
        <v>1569</v>
      </c>
      <c r="BF121">
        <v>2.2999999999999998</v>
      </c>
    </row>
    <row r="122" spans="52:58">
      <c r="AZ122" t="s">
        <v>178</v>
      </c>
      <c r="BA122" t="s">
        <v>368</v>
      </c>
      <c r="BE122" s="215" t="s">
        <v>1570</v>
      </c>
      <c r="BF122">
        <v>2.5</v>
      </c>
    </row>
    <row r="123" spans="52:58">
      <c r="AZ123" t="s">
        <v>178</v>
      </c>
      <c r="BA123" t="s">
        <v>375</v>
      </c>
      <c r="BE123" s="215" t="s">
        <v>1571</v>
      </c>
      <c r="BF123">
        <v>3.5</v>
      </c>
    </row>
    <row r="124" spans="52:58">
      <c r="AZ124" t="s">
        <v>178</v>
      </c>
      <c r="BA124" t="s">
        <v>379</v>
      </c>
      <c r="BE124" s="215" t="s">
        <v>1572</v>
      </c>
      <c r="BF124">
        <v>4</v>
      </c>
    </row>
    <row r="125" spans="52:58">
      <c r="AZ125" t="s">
        <v>178</v>
      </c>
      <c r="BA125" t="s">
        <v>384</v>
      </c>
      <c r="BE125" s="204" t="s">
        <v>1220</v>
      </c>
      <c r="BF125">
        <v>4.8</v>
      </c>
    </row>
    <row r="126" spans="52:58">
      <c r="AZ126" t="s">
        <v>178</v>
      </c>
      <c r="BA126" t="s">
        <v>389</v>
      </c>
      <c r="BE126" s="215" t="s">
        <v>1218</v>
      </c>
      <c r="BF126">
        <v>4.5</v>
      </c>
    </row>
    <row r="127" spans="52:58">
      <c r="AZ127" t="s">
        <v>178</v>
      </c>
      <c r="BA127" t="s">
        <v>393</v>
      </c>
      <c r="BE127" s="215" t="s">
        <v>1216</v>
      </c>
      <c r="BF127">
        <v>4</v>
      </c>
    </row>
    <row r="128" spans="52:58">
      <c r="AZ128" t="s">
        <v>178</v>
      </c>
      <c r="BA128" t="s">
        <v>397</v>
      </c>
      <c r="BE128" s="222" t="s">
        <v>1573</v>
      </c>
      <c r="BF128">
        <v>4</v>
      </c>
    </row>
    <row r="129" spans="52:58">
      <c r="AZ129" t="s">
        <v>178</v>
      </c>
      <c r="BA129" t="s">
        <v>426</v>
      </c>
      <c r="BE129" s="215" t="s">
        <v>1574</v>
      </c>
      <c r="BF129">
        <v>3</v>
      </c>
    </row>
    <row r="130" spans="52:58">
      <c r="AZ130" t="s">
        <v>178</v>
      </c>
      <c r="BA130" t="s">
        <v>432</v>
      </c>
      <c r="BE130" s="215" t="s">
        <v>1575</v>
      </c>
      <c r="BF130">
        <v>3</v>
      </c>
    </row>
    <row r="131" spans="52:58">
      <c r="AZ131" t="s">
        <v>178</v>
      </c>
      <c r="BA131" t="s">
        <v>439</v>
      </c>
      <c r="BE131" s="227" t="s">
        <v>1576</v>
      </c>
      <c r="BF131">
        <v>2.5</v>
      </c>
    </row>
    <row r="132" spans="52:58">
      <c r="AZ132" t="s">
        <v>178</v>
      </c>
      <c r="BA132" t="s">
        <v>444</v>
      </c>
      <c r="BE132" s="227" t="s">
        <v>1577</v>
      </c>
      <c r="BF132">
        <v>3</v>
      </c>
    </row>
    <row r="133" spans="52:58">
      <c r="AZ133" t="s">
        <v>178</v>
      </c>
      <c r="BA133" t="s">
        <v>1443</v>
      </c>
      <c r="BE133" s="227" t="s">
        <v>1243</v>
      </c>
    </row>
    <row r="134" spans="52:58">
      <c r="AZ134" t="s">
        <v>178</v>
      </c>
      <c r="BA134" t="s">
        <v>1578</v>
      </c>
      <c r="BE134" s="227" t="s">
        <v>546</v>
      </c>
    </row>
    <row r="135" spans="52:58">
      <c r="AZ135" t="s">
        <v>178</v>
      </c>
      <c r="BA135" t="s">
        <v>12</v>
      </c>
      <c r="BE135" s="227" t="s">
        <v>1579</v>
      </c>
      <c r="BF135">
        <v>3</v>
      </c>
    </row>
    <row r="136" spans="52:58">
      <c r="AZ136" t="s">
        <v>178</v>
      </c>
      <c r="BA136" t="s">
        <v>457</v>
      </c>
      <c r="BE136" s="227" t="s">
        <v>1580</v>
      </c>
      <c r="BF136">
        <v>3</v>
      </c>
    </row>
    <row r="137" spans="52:58">
      <c r="AZ137" t="s">
        <v>178</v>
      </c>
      <c r="BA137" t="s">
        <v>461</v>
      </c>
      <c r="BE137" s="227" t="s">
        <v>1581</v>
      </c>
      <c r="BF137">
        <v>4</v>
      </c>
    </row>
    <row r="138" spans="52:58">
      <c r="AZ138" t="s">
        <v>178</v>
      </c>
      <c r="BA138" t="s">
        <v>464</v>
      </c>
      <c r="BE138" s="227" t="s">
        <v>1582</v>
      </c>
      <c r="BF138">
        <v>3</v>
      </c>
    </row>
    <row r="139" spans="52:58">
      <c r="AZ139" t="s">
        <v>178</v>
      </c>
      <c r="BA139" t="s">
        <v>467</v>
      </c>
      <c r="BE139" s="227" t="s">
        <v>1583</v>
      </c>
      <c r="BF139">
        <v>5</v>
      </c>
    </row>
    <row r="140" spans="52:58">
      <c r="AZ140" t="s">
        <v>178</v>
      </c>
      <c r="BA140" t="s">
        <v>474</v>
      </c>
      <c r="BE140" s="227" t="s">
        <v>1584</v>
      </c>
      <c r="BF140">
        <v>5</v>
      </c>
    </row>
    <row r="141" spans="52:58">
      <c r="AZ141" t="s">
        <v>178</v>
      </c>
      <c r="BA141" t="s">
        <v>506</v>
      </c>
      <c r="BE141" s="227" t="s">
        <v>1585</v>
      </c>
    </row>
    <row r="142" spans="52:58">
      <c r="AZ142" t="s">
        <v>178</v>
      </c>
      <c r="BA142" t="s">
        <v>388</v>
      </c>
      <c r="BE142" s="227" t="s">
        <v>1586</v>
      </c>
    </row>
    <row r="143" spans="52:58">
      <c r="AZ143" t="s">
        <v>178</v>
      </c>
      <c r="BA143" s="250" t="s">
        <v>471</v>
      </c>
    </row>
    <row r="144" spans="52:58">
      <c r="AZ144" t="s">
        <v>178</v>
      </c>
    </row>
    <row r="146" spans="52:53">
      <c r="AZ146" t="s">
        <v>1587</v>
      </c>
      <c r="BA146" t="s">
        <v>673</v>
      </c>
    </row>
    <row r="147" spans="52:53">
      <c r="AZ147" t="s">
        <v>1587</v>
      </c>
      <c r="BA147" t="s">
        <v>771</v>
      </c>
    </row>
    <row r="148" spans="52:53">
      <c r="AZ148" t="s">
        <v>1587</v>
      </c>
      <c r="BA148" t="s">
        <v>768</v>
      </c>
    </row>
    <row r="149" spans="52:53">
      <c r="AZ149" t="s">
        <v>1587</v>
      </c>
      <c r="BA149" t="s">
        <v>767</v>
      </c>
    </row>
    <row r="150" spans="52:53">
      <c r="AZ150" t="s">
        <v>1587</v>
      </c>
      <c r="BA150" t="s">
        <v>766</v>
      </c>
    </row>
    <row r="151" spans="52:53">
      <c r="AZ151" t="s">
        <v>1587</v>
      </c>
      <c r="BA151" t="s">
        <v>762</v>
      </c>
    </row>
    <row r="152" spans="52:53">
      <c r="AZ152" t="s">
        <v>1587</v>
      </c>
      <c r="BA152" t="s">
        <v>757</v>
      </c>
    </row>
    <row r="153" spans="52:53">
      <c r="AZ153" t="s">
        <v>1587</v>
      </c>
      <c r="BA153" t="s">
        <v>756</v>
      </c>
    </row>
    <row r="154" spans="52:53">
      <c r="AZ154" t="s">
        <v>1587</v>
      </c>
      <c r="BA154" t="s">
        <v>751</v>
      </c>
    </row>
    <row r="155" spans="52:53">
      <c r="AZ155" t="s">
        <v>1587</v>
      </c>
      <c r="BA155" s="256" t="s">
        <v>749</v>
      </c>
    </row>
    <row r="156" spans="52:53">
      <c r="AZ156" t="s">
        <v>1587</v>
      </c>
      <c r="BA156" s="256" t="s">
        <v>742</v>
      </c>
    </row>
    <row r="157" spans="52:53">
      <c r="AZ157" t="s">
        <v>1587</v>
      </c>
      <c r="BA157" s="256" t="s">
        <v>741</v>
      </c>
    </row>
    <row r="158" spans="52:53">
      <c r="AZ158" t="s">
        <v>1587</v>
      </c>
      <c r="BA158" s="256" t="s">
        <v>739</v>
      </c>
    </row>
    <row r="159" spans="52:53">
      <c r="AZ159" t="s">
        <v>1587</v>
      </c>
      <c r="BA159" s="256" t="s">
        <v>735</v>
      </c>
    </row>
    <row r="160" spans="52:53">
      <c r="AZ160" t="s">
        <v>1587</v>
      </c>
      <c r="BA160" s="256" t="s">
        <v>734</v>
      </c>
    </row>
    <row r="161" spans="52:53">
      <c r="AZ161" t="s">
        <v>1587</v>
      </c>
      <c r="BA161" s="256" t="s">
        <v>732</v>
      </c>
    </row>
    <row r="162" spans="52:53">
      <c r="AZ162" t="s">
        <v>1587</v>
      </c>
      <c r="BA162" s="256" t="s">
        <v>729</v>
      </c>
    </row>
    <row r="163" spans="52:53">
      <c r="AZ163" t="s">
        <v>1587</v>
      </c>
      <c r="BA163" s="256" t="s">
        <v>726</v>
      </c>
    </row>
    <row r="164" spans="52:53">
      <c r="AZ164" t="s">
        <v>1587</v>
      </c>
      <c r="BA164" s="256" t="s">
        <v>725</v>
      </c>
    </row>
    <row r="165" spans="52:53">
      <c r="AZ165" t="s">
        <v>1587</v>
      </c>
      <c r="BA165" t="s">
        <v>723</v>
      </c>
    </row>
    <row r="166" spans="52:53">
      <c r="AZ166" t="s">
        <v>1587</v>
      </c>
      <c r="BA166" t="s">
        <v>721</v>
      </c>
    </row>
    <row r="167" spans="52:53">
      <c r="AZ167" t="s">
        <v>1587</v>
      </c>
      <c r="BA167" t="s">
        <v>713</v>
      </c>
    </row>
    <row r="168" spans="52:53">
      <c r="AZ168" t="s">
        <v>1587</v>
      </c>
      <c r="BA168" s="256" t="s">
        <v>709</v>
      </c>
    </row>
    <row r="169" spans="52:53">
      <c r="AZ169" t="s">
        <v>1587</v>
      </c>
      <c r="BA169" s="257" t="s">
        <v>772</v>
      </c>
    </row>
    <row r="170" spans="52:53">
      <c r="AZ170" t="s">
        <v>1587</v>
      </c>
      <c r="BA170" s="257" t="s">
        <v>784</v>
      </c>
    </row>
    <row r="171" spans="52:53">
      <c r="AZ171" t="s">
        <v>1588</v>
      </c>
      <c r="BA171" t="s">
        <v>785</v>
      </c>
    </row>
    <row r="172" spans="52:53">
      <c r="AZ172" t="s">
        <v>1588</v>
      </c>
      <c r="BA172" t="s">
        <v>787</v>
      </c>
    </row>
  </sheetData>
  <phoneticPr fontId="120" type="noConversion"/>
  <conditionalFormatting sqref="BA15">
    <cfRule type="cellIs" dxfId="74" priority="32" operator="equal">
      <formula>0</formula>
    </cfRule>
  </conditionalFormatting>
  <conditionalFormatting sqref="BA16">
    <cfRule type="cellIs" dxfId="73" priority="31" operator="equal">
      <formula>0</formula>
    </cfRule>
  </conditionalFormatting>
  <conditionalFormatting sqref="BA17">
    <cfRule type="cellIs" dxfId="72" priority="30" operator="equal">
      <formula>0</formula>
    </cfRule>
  </conditionalFormatting>
  <conditionalFormatting sqref="BA28">
    <cfRule type="cellIs" dxfId="71" priority="22" operator="equal">
      <formula>0</formula>
    </cfRule>
  </conditionalFormatting>
  <conditionalFormatting sqref="AV29">
    <cfRule type="cellIs" dxfId="70" priority="12" operator="equal">
      <formula>0</formula>
    </cfRule>
  </conditionalFormatting>
  <conditionalFormatting sqref="BA31">
    <cfRule type="cellIs" dxfId="69" priority="54" operator="equal">
      <formula>0</formula>
    </cfRule>
  </conditionalFormatting>
  <conditionalFormatting sqref="BA32:BB32">
    <cfRule type="cellIs" dxfId="68" priority="15" operator="equal">
      <formula>0</formula>
    </cfRule>
  </conditionalFormatting>
  <conditionalFormatting sqref="BA34">
    <cfRule type="containsErrors" dxfId="67" priority="13">
      <formula>ISERROR(BA34)</formula>
    </cfRule>
    <cfRule type="containsText" dxfId="66" priority="14" operator="containsText" text="#REF!">
      <formula>NOT(ISERROR(SEARCH("#REF!",BA34)))</formula>
    </cfRule>
  </conditionalFormatting>
  <conditionalFormatting sqref="BA40">
    <cfRule type="containsErrors" dxfId="65" priority="3">
      <formula>ISERROR(BA40)</formula>
    </cfRule>
    <cfRule type="containsText" dxfId="64" priority="4" operator="containsText" text="#REF!">
      <formula>NOT(ISERROR(SEARCH("#REF!",BA40)))</formula>
    </cfRule>
  </conditionalFormatting>
  <conditionalFormatting sqref="BA59">
    <cfRule type="cellIs" dxfId="63" priority="45" operator="equal">
      <formula>0</formula>
    </cfRule>
  </conditionalFormatting>
  <conditionalFormatting sqref="BA60">
    <cfRule type="cellIs" dxfId="62" priority="44" operator="equal">
      <formula>0</formula>
    </cfRule>
  </conditionalFormatting>
  <conditionalFormatting sqref="BA61">
    <cfRule type="cellIs" dxfId="61" priority="43" operator="equal">
      <formula>0</formula>
    </cfRule>
  </conditionalFormatting>
  <conditionalFormatting sqref="BA62">
    <cfRule type="cellIs" dxfId="60" priority="42" operator="equal">
      <formula>0</formula>
    </cfRule>
  </conditionalFormatting>
  <conditionalFormatting sqref="BA80">
    <cfRule type="containsErrors" dxfId="59" priority="23">
      <formula>ISERROR(BA80)</formula>
    </cfRule>
    <cfRule type="containsText" dxfId="58" priority="24" operator="containsText" text="#REF!">
      <formula>NOT(ISERROR(SEARCH("#REF!",BA80)))</formula>
    </cfRule>
  </conditionalFormatting>
  <conditionalFormatting sqref="BA81">
    <cfRule type="cellIs" dxfId="57" priority="20" operator="equal">
      <formula>0</formula>
    </cfRule>
  </conditionalFormatting>
  <conditionalFormatting sqref="BA82">
    <cfRule type="cellIs" dxfId="56" priority="9" operator="equal">
      <formula>0</formula>
    </cfRule>
  </conditionalFormatting>
  <conditionalFormatting sqref="BA83">
    <cfRule type="cellIs" dxfId="55" priority="7" operator="equal">
      <formula>0</formula>
    </cfRule>
  </conditionalFormatting>
  <conditionalFormatting sqref="BA84">
    <cfRule type="cellIs" dxfId="54" priority="8" operator="equal">
      <formula>0</formula>
    </cfRule>
  </conditionalFormatting>
  <conditionalFormatting sqref="BA85">
    <cfRule type="containsErrors" dxfId="53" priority="5">
      <formula>ISERROR(BA85)</formula>
    </cfRule>
    <cfRule type="containsText" dxfId="52" priority="6" operator="containsText" text="#REF!">
      <formula>NOT(ISERROR(SEARCH("#REF!",BA85)))</formula>
    </cfRule>
  </conditionalFormatting>
  <conditionalFormatting sqref="BA89">
    <cfRule type="cellIs" dxfId="51" priority="38" operator="equal">
      <formula>0</formula>
    </cfRule>
  </conditionalFormatting>
  <conditionalFormatting sqref="BA90">
    <cfRule type="cellIs" dxfId="50" priority="37" operator="equal">
      <formula>0</formula>
    </cfRule>
  </conditionalFormatting>
  <conditionalFormatting sqref="BA91">
    <cfRule type="cellIs" dxfId="49" priority="36" operator="equal">
      <formula>0</formula>
    </cfRule>
  </conditionalFormatting>
  <conditionalFormatting sqref="BA107">
    <cfRule type="cellIs" dxfId="48" priority="10" operator="equal">
      <formula>0</formula>
    </cfRule>
  </conditionalFormatting>
  <conditionalFormatting sqref="BA140">
    <cfRule type="cellIs" dxfId="47" priority="25" operator="equal">
      <formula>0</formula>
    </cfRule>
  </conditionalFormatting>
  <conditionalFormatting sqref="BA141">
    <cfRule type="cellIs" dxfId="46" priority="19" operator="equal">
      <formula>0</formula>
    </cfRule>
  </conditionalFormatting>
  <conditionalFormatting sqref="BA143">
    <cfRule type="containsErrors" dxfId="45" priority="17">
      <formula>ISERROR(BA143)</formula>
    </cfRule>
    <cfRule type="containsText" dxfId="44" priority="18" operator="containsText" text="#REF!">
      <formula>NOT(ISERROR(SEARCH("#REF!",BA143)))</formula>
    </cfRule>
  </conditionalFormatting>
  <conditionalFormatting sqref="BA171">
    <cfRule type="containsErrors" dxfId="43" priority="28">
      <formula>ISERROR(BA171)</formula>
    </cfRule>
    <cfRule type="containsText" dxfId="42" priority="29" operator="containsText" text="#REF!">
      <formula>NOT(ISERROR(SEARCH("#REF!",BA171)))</formula>
    </cfRule>
  </conditionalFormatting>
  <conditionalFormatting sqref="BA172">
    <cfRule type="containsErrors" dxfId="41" priority="26">
      <formula>ISERROR(BA172)</formula>
    </cfRule>
    <cfRule type="containsText" dxfId="40" priority="27" operator="containsText" text="#REF!">
      <formula>NOT(ISERROR(SEARCH("#REF!",BA172)))</formula>
    </cfRule>
  </conditionalFormatting>
  <conditionalFormatting sqref="BA18:BA27">
    <cfRule type="cellIs" dxfId="39" priority="48" operator="equal">
      <formula>0</formula>
    </cfRule>
  </conditionalFormatting>
  <conditionalFormatting sqref="BA35:BA36">
    <cfRule type="cellIs" dxfId="38" priority="52" operator="equal">
      <formula>0</formula>
    </cfRule>
  </conditionalFormatting>
  <conditionalFormatting sqref="BA35:BA37">
    <cfRule type="cellIs" dxfId="37" priority="47" operator="equal">
      <formula>0</formula>
    </cfRule>
  </conditionalFormatting>
  <conditionalFormatting sqref="BA36:BA38">
    <cfRule type="cellIs" dxfId="36" priority="21" operator="equal">
      <formula>0</formula>
    </cfRule>
  </conditionalFormatting>
  <conditionalFormatting sqref="BA38:BA39">
    <cfRule type="cellIs" dxfId="35" priority="16" operator="equal">
      <formula>0</formula>
    </cfRule>
  </conditionalFormatting>
  <conditionalFormatting sqref="BA48:BA49">
    <cfRule type="cellIs" dxfId="34" priority="34" operator="equal">
      <formula>0</formula>
    </cfRule>
  </conditionalFormatting>
  <conditionalFormatting sqref="BA68:BA69">
    <cfRule type="cellIs" dxfId="33" priority="40" operator="equal">
      <formula>0</formula>
    </cfRule>
  </conditionalFormatting>
  <conditionalFormatting sqref="BA70:BA79">
    <cfRule type="cellIs" dxfId="32" priority="39" operator="equal">
      <formula>0</formula>
    </cfRule>
  </conditionalFormatting>
  <conditionalFormatting sqref="BA1:BC1 BE1:BF1">
    <cfRule type="cellIs" dxfId="31" priority="55" operator="equal">
      <formula>0</formula>
    </cfRule>
  </conditionalFormatting>
  <conditionalFormatting sqref="AV4 AV64:AV65 BA92:BA105 AV34:AV44 AV10:AV26 AV2">
    <cfRule type="cellIs" dxfId="30" priority="56" operator="equal">
      <formula>0</formula>
    </cfRule>
  </conditionalFormatting>
  <conditionalFormatting sqref="BA33 BA35">
    <cfRule type="cellIs" dxfId="29" priority="53" operator="equal">
      <formula>0</formula>
    </cfRule>
  </conditionalFormatting>
  <conditionalFormatting sqref="BA4">
    <cfRule type="containsText" dxfId="28" priority="2" operator="containsText" text="#REF!">
      <formula>NOT(ISERROR(SEARCH("#REF!",BA4)))</formula>
    </cfRule>
  </conditionalFormatting>
  <conditionalFormatting sqref="BA4">
    <cfRule type="containsErrors" dxfId="27" priority="1">
      <formula>ISERROR(BA4)</formula>
    </cfRule>
  </conditionalFormatting>
  <pageMargins left="0.7" right="0.7" top="0.75" bottom="0.75" header="0.3" footer="0.3"/>
  <pageSetup paperSize="9" orientation="portrait" horizontalDpi="1200" verticalDpi="1200"/>
  <legacyDrawing r:id="rId1"/>
  <extLst>
    <ext xmlns:x14="http://schemas.microsoft.com/office/spreadsheetml/2009/9/main" uri="{78C0D931-6437-407d-A8EE-F0AAD7539E65}">
      <x14:conditionalFormattings>
        <x14:conditionalFormatting xmlns:xm="http://schemas.microsoft.com/office/excel/2006/main">
          <x14:cfRule type="expression" priority="33" id="{00000000-000E-0000-0800-00001F000000}">
            <xm:f>Sheet1!$A$3&lt;&gt;1</xm:f>
            <x14:dxf>
              <font>
                <color theme="3" tint="0.79992065187536243"/>
              </font>
              <fill>
                <patternFill patternType="solid">
                  <bgColor theme="3" tint="0.79992065187536243"/>
                </patternFill>
              </fill>
            </x14:dxf>
          </x14:cfRule>
          <xm:sqref>BE2:BE142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1:O169"/>
  <sheetViews>
    <sheetView zoomScale="90" zoomScaleNormal="90" workbookViewId="0">
      <selection sqref="A1:XFD1048576"/>
    </sheetView>
  </sheetViews>
  <sheetFormatPr defaultColWidth="8.625" defaultRowHeight="13.5"/>
  <cols>
    <col min="1" max="1" width="4.625" style="174" customWidth="1"/>
    <col min="2" max="2" width="25.75" style="175" customWidth="1"/>
    <col min="3" max="3" width="11.625" style="176" customWidth="1"/>
    <col min="4" max="4" width="19.75" style="175" customWidth="1"/>
    <col min="5" max="5" width="11.75" style="177" customWidth="1"/>
    <col min="6" max="6" width="50.875" style="177" customWidth="1"/>
    <col min="7" max="7" width="12.375" style="175" customWidth="1"/>
    <col min="8" max="8" width="17.875" style="178" customWidth="1"/>
    <col min="9" max="9" width="9.25" style="175" customWidth="1"/>
    <col min="10" max="10" width="9.75" style="175" customWidth="1"/>
    <col min="11" max="11" width="10.25" style="175" customWidth="1"/>
    <col min="12" max="12" width="10" style="175" customWidth="1"/>
    <col min="13" max="13" width="11.75" style="175" customWidth="1"/>
    <col min="14" max="14" width="13.25" style="175" customWidth="1"/>
    <col min="15" max="16384" width="8.625" style="175"/>
  </cols>
  <sheetData>
    <row r="1" spans="1:10">
      <c r="B1" s="179" t="s">
        <v>1589</v>
      </c>
    </row>
    <row r="2" spans="1:10">
      <c r="B2" s="175" t="s">
        <v>1590</v>
      </c>
    </row>
    <row r="3" spans="1:10">
      <c r="A3" s="174">
        <v>1</v>
      </c>
      <c r="B3" s="180" t="s">
        <v>1591</v>
      </c>
    </row>
    <row r="4" spans="1:10">
      <c r="A4" s="174">
        <v>2</v>
      </c>
      <c r="B4" s="180" t="s">
        <v>1592</v>
      </c>
    </row>
    <row r="5" spans="1:10">
      <c r="A5" s="174">
        <v>3</v>
      </c>
      <c r="B5" s="180" t="s">
        <v>1593</v>
      </c>
    </row>
    <row r="6" spans="1:10">
      <c r="B6" s="181" t="s">
        <v>1594</v>
      </c>
      <c r="C6" s="916">
        <v>46083</v>
      </c>
      <c r="D6" s="183"/>
      <c r="E6" s="184"/>
      <c r="F6" s="181" t="s">
        <v>1595</v>
      </c>
    </row>
    <row r="7" spans="1:10" s="172" customFormat="1">
      <c r="A7" s="185" t="s">
        <v>153</v>
      </c>
      <c r="B7" s="860" t="s">
        <v>1596</v>
      </c>
      <c r="C7" s="861" t="s">
        <v>1597</v>
      </c>
      <c r="D7" s="860" t="s">
        <v>1598</v>
      </c>
      <c r="E7" s="860" t="s">
        <v>1599</v>
      </c>
      <c r="F7" s="860" t="s">
        <v>104</v>
      </c>
      <c r="G7" s="182" t="s">
        <v>2336</v>
      </c>
      <c r="H7" s="186" t="s">
        <v>104</v>
      </c>
    </row>
    <row r="8" spans="1:10">
      <c r="A8" s="187">
        <v>1</v>
      </c>
      <c r="B8" s="188" t="s">
        <v>1412</v>
      </c>
      <c r="C8" s="862">
        <v>4.0999999999999996</v>
      </c>
      <c r="D8" s="863" t="s">
        <v>1600</v>
      </c>
      <c r="E8" s="864"/>
      <c r="F8" s="864" t="s">
        <v>1601</v>
      </c>
      <c r="G8" s="189"/>
      <c r="H8" s="190"/>
    </row>
    <row r="9" spans="1:10">
      <c r="A9" s="187">
        <v>2</v>
      </c>
      <c r="B9" s="188" t="s">
        <v>1416</v>
      </c>
      <c r="C9" s="862">
        <v>4.0999999999999996</v>
      </c>
      <c r="D9" s="863" t="s">
        <v>1600</v>
      </c>
      <c r="E9" s="864"/>
      <c r="F9" s="864"/>
      <c r="G9" s="189"/>
      <c r="H9" s="191"/>
    </row>
    <row r="10" spans="1:10">
      <c r="A10" s="187">
        <v>3</v>
      </c>
      <c r="B10" s="188" t="s">
        <v>897</v>
      </c>
      <c r="C10" s="865">
        <v>4.21</v>
      </c>
      <c r="D10" s="866" t="s">
        <v>2343</v>
      </c>
      <c r="E10" s="864"/>
      <c r="F10" s="192" t="s">
        <v>2344</v>
      </c>
      <c r="G10" s="193">
        <v>4.25</v>
      </c>
      <c r="H10" s="191"/>
      <c r="I10" s="953" t="s">
        <v>1602</v>
      </c>
      <c r="J10" s="954"/>
    </row>
    <row r="11" spans="1:10">
      <c r="A11" s="187">
        <v>4</v>
      </c>
      <c r="B11" s="194" t="s">
        <v>895</v>
      </c>
      <c r="C11" s="865">
        <v>4.08</v>
      </c>
      <c r="D11" s="866" t="s">
        <v>2343</v>
      </c>
      <c r="E11" s="867"/>
      <c r="F11" s="192" t="s">
        <v>2345</v>
      </c>
      <c r="G11" s="193">
        <v>4.12</v>
      </c>
      <c r="H11" s="191"/>
      <c r="I11" s="955"/>
      <c r="J11" s="956"/>
    </row>
    <row r="12" spans="1:10">
      <c r="A12" s="187">
        <v>5</v>
      </c>
      <c r="B12" s="188" t="s">
        <v>818</v>
      </c>
      <c r="C12" s="865">
        <v>4.07</v>
      </c>
      <c r="D12" s="866" t="s">
        <v>2343</v>
      </c>
      <c r="E12" s="867"/>
      <c r="F12" s="192" t="s">
        <v>2345</v>
      </c>
      <c r="G12" s="193">
        <v>4.1100000000000003</v>
      </c>
      <c r="H12" s="191"/>
      <c r="I12" s="955"/>
      <c r="J12" s="956"/>
    </row>
    <row r="13" spans="1:10">
      <c r="A13" s="187">
        <v>6</v>
      </c>
      <c r="B13" s="188" t="s">
        <v>821</v>
      </c>
      <c r="C13" s="865">
        <v>3.99</v>
      </c>
      <c r="D13" s="866" t="s">
        <v>2343</v>
      </c>
      <c r="E13" s="867"/>
      <c r="F13" s="192" t="s">
        <v>2346</v>
      </c>
      <c r="G13" s="193">
        <v>4.03</v>
      </c>
      <c r="H13" s="191"/>
      <c r="I13" s="955"/>
      <c r="J13" s="956"/>
    </row>
    <row r="14" spans="1:10">
      <c r="A14" s="187">
        <v>7</v>
      </c>
      <c r="B14" s="188" t="s">
        <v>836</v>
      </c>
      <c r="C14" s="865">
        <v>3.96</v>
      </c>
      <c r="D14" s="866" t="s">
        <v>2343</v>
      </c>
      <c r="E14" s="867"/>
      <c r="F14" s="192" t="s">
        <v>2347</v>
      </c>
      <c r="G14" s="193">
        <v>4</v>
      </c>
      <c r="H14" s="191"/>
      <c r="I14" s="957"/>
      <c r="J14" s="958"/>
    </row>
    <row r="15" spans="1:10">
      <c r="A15" s="187">
        <v>8</v>
      </c>
      <c r="B15" s="188" t="s">
        <v>843</v>
      </c>
      <c r="C15" s="865">
        <v>3.96</v>
      </c>
      <c r="D15" s="866" t="s">
        <v>2343</v>
      </c>
      <c r="E15" s="867"/>
      <c r="F15" s="192" t="s">
        <v>2347</v>
      </c>
      <c r="G15" s="193">
        <v>4</v>
      </c>
    </row>
    <row r="16" spans="1:10">
      <c r="A16" s="187">
        <v>9</v>
      </c>
      <c r="B16" s="188" t="s">
        <v>848</v>
      </c>
      <c r="C16" s="865">
        <v>3.96</v>
      </c>
      <c r="D16" s="866" t="s">
        <v>2343</v>
      </c>
      <c r="E16" s="867"/>
      <c r="F16" s="192" t="s">
        <v>2347</v>
      </c>
      <c r="G16" s="193">
        <v>4</v>
      </c>
    </row>
    <row r="17" spans="1:7">
      <c r="A17" s="187">
        <v>10</v>
      </c>
      <c r="B17" s="188" t="s">
        <v>852</v>
      </c>
      <c r="C17" s="865">
        <v>3.96</v>
      </c>
      <c r="D17" s="866" t="s">
        <v>2343</v>
      </c>
      <c r="E17" s="867"/>
      <c r="F17" s="192" t="s">
        <v>2347</v>
      </c>
      <c r="G17" s="193">
        <v>4</v>
      </c>
    </row>
    <row r="18" spans="1:7">
      <c r="A18" s="187">
        <v>11</v>
      </c>
      <c r="B18" s="188" t="s">
        <v>865</v>
      </c>
      <c r="C18" s="865">
        <v>3.96</v>
      </c>
      <c r="D18" s="866" t="s">
        <v>2343</v>
      </c>
      <c r="E18" s="867"/>
      <c r="F18" s="192" t="s">
        <v>2347</v>
      </c>
      <c r="G18" s="193">
        <v>4</v>
      </c>
    </row>
    <row r="19" spans="1:7">
      <c r="A19" s="187">
        <v>12</v>
      </c>
      <c r="B19" s="188" t="s">
        <v>1459</v>
      </c>
      <c r="C19" s="865">
        <v>4.79</v>
      </c>
      <c r="D19" s="866" t="s">
        <v>2348</v>
      </c>
      <c r="E19" s="867"/>
      <c r="F19" s="868"/>
      <c r="G19" s="193">
        <v>4.79</v>
      </c>
    </row>
    <row r="20" spans="1:7">
      <c r="A20" s="187">
        <v>13</v>
      </c>
      <c r="B20" s="188" t="s">
        <v>1251</v>
      </c>
      <c r="C20" s="865">
        <v>4.79</v>
      </c>
      <c r="D20" s="866" t="s">
        <v>2348</v>
      </c>
      <c r="E20" s="867"/>
      <c r="F20" s="868"/>
      <c r="G20" s="193">
        <v>4.79</v>
      </c>
    </row>
    <row r="21" spans="1:7">
      <c r="A21" s="187">
        <v>14</v>
      </c>
      <c r="B21" s="188" t="s">
        <v>1466</v>
      </c>
      <c r="C21" s="862"/>
      <c r="D21" s="869"/>
      <c r="E21" s="867"/>
      <c r="F21" s="870" t="s">
        <v>1603</v>
      </c>
      <c r="G21" s="189"/>
    </row>
    <row r="22" spans="1:7">
      <c r="A22" s="187">
        <v>15</v>
      </c>
      <c r="B22" s="871" t="s">
        <v>822</v>
      </c>
      <c r="C22" s="865"/>
      <c r="D22" s="866"/>
      <c r="E22" s="867"/>
      <c r="F22" s="872" t="s">
        <v>1604</v>
      </c>
      <c r="G22" s="193"/>
    </row>
    <row r="23" spans="1:7">
      <c r="A23" s="187">
        <v>16</v>
      </c>
      <c r="B23" s="871" t="s">
        <v>837</v>
      </c>
      <c r="C23" s="865"/>
      <c r="D23" s="866"/>
      <c r="E23" s="867"/>
      <c r="F23" s="872" t="s">
        <v>1605</v>
      </c>
      <c r="G23" s="193"/>
    </row>
    <row r="24" spans="1:7">
      <c r="A24" s="187">
        <v>17</v>
      </c>
      <c r="B24" s="871" t="s">
        <v>860</v>
      </c>
      <c r="C24" s="865"/>
      <c r="D24" s="866"/>
      <c r="E24" s="867"/>
      <c r="F24" s="872" t="s">
        <v>1606</v>
      </c>
      <c r="G24" s="193"/>
    </row>
    <row r="25" spans="1:7">
      <c r="A25" s="187">
        <v>18</v>
      </c>
      <c r="B25" s="871" t="s">
        <v>849</v>
      </c>
      <c r="C25" s="865"/>
      <c r="D25" s="866"/>
      <c r="E25" s="867"/>
      <c r="F25" s="873" t="s">
        <v>1607</v>
      </c>
      <c r="G25" s="193"/>
    </row>
    <row r="26" spans="1:7">
      <c r="A26" s="187">
        <v>19</v>
      </c>
      <c r="B26" s="871" t="s">
        <v>1475</v>
      </c>
      <c r="C26" s="196"/>
      <c r="D26" s="869" t="s">
        <v>2349</v>
      </c>
      <c r="E26" s="867"/>
      <c r="F26" s="874" t="s">
        <v>2350</v>
      </c>
      <c r="G26" s="189"/>
    </row>
    <row r="27" spans="1:7">
      <c r="A27" s="187">
        <v>20</v>
      </c>
      <c r="B27" s="871" t="s">
        <v>1477</v>
      </c>
      <c r="C27" s="196"/>
      <c r="D27" s="869" t="s">
        <v>2349</v>
      </c>
      <c r="E27" s="867"/>
      <c r="F27" s="874" t="s">
        <v>2351</v>
      </c>
      <c r="G27" s="189"/>
    </row>
    <row r="28" spans="1:7">
      <c r="A28" s="187">
        <v>21</v>
      </c>
      <c r="B28" s="871" t="s">
        <v>1479</v>
      </c>
      <c r="C28" s="196"/>
      <c r="D28" s="869" t="s">
        <v>2349</v>
      </c>
      <c r="E28" s="867"/>
      <c r="F28" s="874" t="s">
        <v>2352</v>
      </c>
      <c r="G28" s="189"/>
    </row>
    <row r="29" spans="1:7">
      <c r="A29" s="187">
        <v>22</v>
      </c>
      <c r="B29" s="871" t="s">
        <v>1481</v>
      </c>
      <c r="C29" s="196"/>
      <c r="D29" s="869"/>
      <c r="E29" s="867"/>
      <c r="F29" s="874"/>
      <c r="G29" s="189"/>
    </row>
    <row r="30" spans="1:7">
      <c r="A30" s="187">
        <v>23</v>
      </c>
      <c r="B30" s="188" t="s">
        <v>1483</v>
      </c>
      <c r="C30" s="193">
        <v>4.2300000000000004</v>
      </c>
      <c r="D30" s="869" t="s">
        <v>2353</v>
      </c>
      <c r="E30" s="867"/>
      <c r="F30" s="869" t="s">
        <v>2316</v>
      </c>
      <c r="G30" s="193">
        <v>4.2300000000000004</v>
      </c>
    </row>
    <row r="31" spans="1:7">
      <c r="A31" s="187">
        <v>24</v>
      </c>
      <c r="B31" s="188" t="s">
        <v>1485</v>
      </c>
      <c r="C31" s="193">
        <v>4.2300000000000004</v>
      </c>
      <c r="D31" s="869" t="s">
        <v>2353</v>
      </c>
      <c r="E31" s="867"/>
      <c r="F31" s="869"/>
      <c r="G31" s="193">
        <v>4.2300000000000004</v>
      </c>
    </row>
    <row r="32" spans="1:7">
      <c r="A32" s="187">
        <v>25</v>
      </c>
      <c r="B32" s="188" t="s">
        <v>1487</v>
      </c>
      <c r="C32" s="193"/>
      <c r="D32" s="869"/>
      <c r="E32" s="867"/>
      <c r="F32" s="869"/>
      <c r="G32" s="193"/>
    </row>
    <row r="33" spans="1:7">
      <c r="A33" s="187">
        <v>26</v>
      </c>
      <c r="B33" s="188" t="s">
        <v>1489</v>
      </c>
      <c r="C33" s="193">
        <v>4.18</v>
      </c>
      <c r="D33" s="869" t="s">
        <v>2353</v>
      </c>
      <c r="E33" s="867"/>
      <c r="F33" s="869"/>
      <c r="G33" s="193">
        <v>4.18</v>
      </c>
    </row>
    <row r="34" spans="1:7">
      <c r="A34" s="187">
        <v>27</v>
      </c>
      <c r="B34" s="188" t="s">
        <v>1491</v>
      </c>
      <c r="C34" s="193">
        <v>4.18</v>
      </c>
      <c r="D34" s="869" t="s">
        <v>2353</v>
      </c>
      <c r="E34" s="867"/>
      <c r="F34" s="869"/>
      <c r="G34" s="193">
        <v>4.18</v>
      </c>
    </row>
    <row r="35" spans="1:7">
      <c r="A35" s="187">
        <v>28</v>
      </c>
      <c r="B35" s="188" t="s">
        <v>1493</v>
      </c>
      <c r="C35" s="193">
        <v>4.18</v>
      </c>
      <c r="D35" s="869" t="s">
        <v>2353</v>
      </c>
      <c r="E35" s="867"/>
      <c r="F35" s="869"/>
      <c r="G35" s="193">
        <v>4.18</v>
      </c>
    </row>
    <row r="36" spans="1:7">
      <c r="A36" s="187">
        <v>29</v>
      </c>
      <c r="B36" s="188" t="s">
        <v>1495</v>
      </c>
      <c r="C36" s="193">
        <v>4.18</v>
      </c>
      <c r="D36" s="869" t="s">
        <v>2353</v>
      </c>
      <c r="E36" s="867"/>
      <c r="F36" s="869"/>
      <c r="G36" s="193">
        <v>4.18</v>
      </c>
    </row>
    <row r="37" spans="1:7">
      <c r="A37" s="187">
        <v>30</v>
      </c>
      <c r="B37" s="188" t="s">
        <v>1497</v>
      </c>
      <c r="C37" s="193">
        <v>4.18</v>
      </c>
      <c r="D37" s="869" t="s">
        <v>2353</v>
      </c>
      <c r="E37" s="867"/>
      <c r="F37" s="869"/>
      <c r="G37" s="193">
        <v>4.18</v>
      </c>
    </row>
    <row r="38" spans="1:7">
      <c r="A38" s="187">
        <v>31</v>
      </c>
      <c r="B38" s="188" t="s">
        <v>1499</v>
      </c>
      <c r="C38" s="193">
        <v>4.18</v>
      </c>
      <c r="D38" s="869" t="s">
        <v>2353</v>
      </c>
      <c r="E38" s="867"/>
      <c r="F38" s="869"/>
      <c r="G38" s="193">
        <v>4.18</v>
      </c>
    </row>
    <row r="39" spans="1:7">
      <c r="A39" s="187">
        <v>32</v>
      </c>
      <c r="B39" s="188" t="s">
        <v>1501</v>
      </c>
      <c r="C39" s="193">
        <v>4.28</v>
      </c>
      <c r="D39" s="869" t="s">
        <v>2353</v>
      </c>
      <c r="E39" s="197"/>
      <c r="F39" s="869"/>
      <c r="G39" s="193">
        <v>4.28</v>
      </c>
    </row>
    <row r="40" spans="1:7">
      <c r="A40" s="187">
        <v>33</v>
      </c>
      <c r="B40" s="188" t="s">
        <v>896</v>
      </c>
      <c r="C40" s="875">
        <v>3.74</v>
      </c>
      <c r="D40" s="869" t="s">
        <v>2349</v>
      </c>
      <c r="E40" s="198"/>
      <c r="G40" s="193">
        <v>3.78</v>
      </c>
    </row>
    <row r="41" spans="1:7">
      <c r="A41" s="187">
        <v>34</v>
      </c>
      <c r="B41" s="188" t="s">
        <v>915</v>
      </c>
      <c r="C41" s="875"/>
      <c r="D41" s="869"/>
      <c r="E41" s="867"/>
      <c r="F41" s="874"/>
      <c r="G41" s="193"/>
    </row>
    <row r="42" spans="1:7">
      <c r="A42" s="187">
        <v>35</v>
      </c>
      <c r="B42" s="188" t="s">
        <v>1505</v>
      </c>
      <c r="C42" s="875"/>
      <c r="D42" s="869"/>
      <c r="E42" s="867"/>
      <c r="F42" s="867"/>
      <c r="G42" s="193"/>
    </row>
    <row r="43" spans="1:7">
      <c r="A43" s="187">
        <v>36</v>
      </c>
      <c r="B43" s="188" t="s">
        <v>894</v>
      </c>
      <c r="C43" s="875">
        <v>3.69</v>
      </c>
      <c r="D43" s="869" t="s">
        <v>2349</v>
      </c>
      <c r="E43" s="867"/>
      <c r="F43" s="874" t="s">
        <v>2326</v>
      </c>
      <c r="G43" s="193">
        <v>3.74</v>
      </c>
    </row>
    <row r="44" spans="1:7">
      <c r="A44" s="187">
        <v>37</v>
      </c>
      <c r="B44" s="188" t="s">
        <v>817</v>
      </c>
      <c r="C44" s="875">
        <v>3.69</v>
      </c>
      <c r="D44" s="869" t="s">
        <v>2349</v>
      </c>
      <c r="E44" s="867"/>
      <c r="F44" s="874" t="s">
        <v>2354</v>
      </c>
      <c r="G44" s="193">
        <v>3.73</v>
      </c>
    </row>
    <row r="45" spans="1:7">
      <c r="A45" s="187">
        <v>38</v>
      </c>
      <c r="B45" s="188" t="s">
        <v>820</v>
      </c>
      <c r="C45" s="875">
        <v>3.67</v>
      </c>
      <c r="D45" s="869" t="s">
        <v>2349</v>
      </c>
      <c r="E45" s="867"/>
      <c r="F45" s="874" t="s">
        <v>2350</v>
      </c>
      <c r="G45" s="193">
        <v>3.76</v>
      </c>
    </row>
    <row r="46" spans="1:7">
      <c r="A46" s="187">
        <v>39</v>
      </c>
      <c r="B46" s="188" t="s">
        <v>835</v>
      </c>
      <c r="C46" s="875">
        <v>3.6</v>
      </c>
      <c r="D46" s="869" t="s">
        <v>2349</v>
      </c>
      <c r="E46" s="867"/>
      <c r="F46" s="874" t="s">
        <v>2351</v>
      </c>
      <c r="G46" s="193">
        <v>3.62</v>
      </c>
    </row>
    <row r="47" spans="1:7">
      <c r="A47" s="187">
        <v>40</v>
      </c>
      <c r="B47" s="188" t="s">
        <v>842</v>
      </c>
      <c r="C47" s="875">
        <v>3.7</v>
      </c>
      <c r="D47" s="869" t="s">
        <v>2349</v>
      </c>
      <c r="E47" s="867"/>
      <c r="F47" s="874" t="s">
        <v>2352</v>
      </c>
      <c r="G47" s="193">
        <v>3.72</v>
      </c>
    </row>
    <row r="48" spans="1:7">
      <c r="A48" s="187">
        <v>41</v>
      </c>
      <c r="B48" s="188" t="s">
        <v>847</v>
      </c>
      <c r="C48" s="875">
        <v>3.52</v>
      </c>
      <c r="D48" s="869" t="s">
        <v>2349</v>
      </c>
      <c r="E48" s="867"/>
      <c r="F48" s="876"/>
      <c r="G48" s="193">
        <v>3.56</v>
      </c>
    </row>
    <row r="49" spans="1:14">
      <c r="A49" s="187">
        <v>42</v>
      </c>
      <c r="B49" s="188" t="s">
        <v>851</v>
      </c>
      <c r="C49" s="875">
        <v>3.5</v>
      </c>
      <c r="D49" s="869" t="s">
        <v>2349</v>
      </c>
      <c r="E49" s="867"/>
      <c r="F49" s="877"/>
      <c r="G49" s="193">
        <v>3.53</v>
      </c>
    </row>
    <row r="50" spans="1:14">
      <c r="A50" s="187">
        <v>43</v>
      </c>
      <c r="B50" s="188" t="s">
        <v>864</v>
      </c>
      <c r="C50" s="875">
        <v>3.47</v>
      </c>
      <c r="D50" s="869" t="s">
        <v>2349</v>
      </c>
      <c r="E50" s="867"/>
      <c r="F50" s="877"/>
      <c r="G50" s="193">
        <v>3.52</v>
      </c>
    </row>
    <row r="51" spans="1:14">
      <c r="A51" s="187">
        <v>44</v>
      </c>
      <c r="B51" s="188" t="s">
        <v>1511</v>
      </c>
      <c r="C51" s="193"/>
      <c r="D51" s="869"/>
      <c r="E51" s="867"/>
      <c r="F51" s="867"/>
      <c r="G51" s="193"/>
    </row>
    <row r="52" spans="1:14">
      <c r="A52" s="187">
        <v>45</v>
      </c>
      <c r="B52" s="188" t="s">
        <v>1250</v>
      </c>
      <c r="C52" s="878"/>
      <c r="D52" s="869"/>
      <c r="E52" s="867"/>
      <c r="F52" s="867"/>
      <c r="G52" s="199"/>
    </row>
    <row r="53" spans="1:14">
      <c r="A53" s="187">
        <v>46</v>
      </c>
      <c r="B53" s="188" t="s">
        <v>1512</v>
      </c>
      <c r="C53" s="879"/>
      <c r="D53" s="869"/>
      <c r="E53" s="867"/>
      <c r="F53" s="867"/>
      <c r="G53" s="189"/>
    </row>
    <row r="54" spans="1:14">
      <c r="A54" s="187">
        <v>47</v>
      </c>
      <c r="B54" s="188" t="s">
        <v>1513</v>
      </c>
      <c r="C54" s="880">
        <v>4.25</v>
      </c>
      <c r="D54" s="869" t="s">
        <v>2353</v>
      </c>
      <c r="E54" s="867"/>
      <c r="F54" s="874" t="s">
        <v>2317</v>
      </c>
      <c r="G54" s="200">
        <v>4.25</v>
      </c>
      <c r="H54" s="948" t="s">
        <v>1608</v>
      </c>
      <c r="I54" s="948"/>
      <c r="J54" s="948"/>
      <c r="K54" s="948"/>
      <c r="L54" s="948"/>
      <c r="M54" s="948"/>
      <c r="N54" s="948"/>
    </row>
    <row r="55" spans="1:14">
      <c r="A55" s="187">
        <v>48</v>
      </c>
      <c r="B55" s="188" t="s">
        <v>1514</v>
      </c>
      <c r="C55" s="879">
        <v>4.13</v>
      </c>
      <c r="D55" s="869" t="s">
        <v>2353</v>
      </c>
      <c r="E55" s="867"/>
      <c r="F55" s="881"/>
      <c r="G55" s="189">
        <v>4.13</v>
      </c>
    </row>
    <row r="56" spans="1:14">
      <c r="A56" s="187">
        <v>49</v>
      </c>
      <c r="B56" s="188" t="s">
        <v>1309</v>
      </c>
      <c r="C56" s="201">
        <v>4.08</v>
      </c>
      <c r="D56" s="869" t="s">
        <v>2353</v>
      </c>
      <c r="E56" s="867"/>
      <c r="F56" s="882"/>
      <c r="G56" s="189">
        <v>4.08</v>
      </c>
    </row>
    <row r="57" spans="1:14">
      <c r="A57" s="187">
        <v>50</v>
      </c>
      <c r="B57" s="188" t="s">
        <v>1517</v>
      </c>
      <c r="C57" s="201">
        <v>4.03</v>
      </c>
      <c r="D57" s="869" t="s">
        <v>2353</v>
      </c>
      <c r="E57" s="867"/>
      <c r="F57" s="882"/>
      <c r="G57" s="189">
        <v>4.03</v>
      </c>
    </row>
    <row r="58" spans="1:14">
      <c r="A58" s="187">
        <v>51</v>
      </c>
      <c r="B58" s="188" t="s">
        <v>1311</v>
      </c>
      <c r="C58" s="201">
        <v>3.98</v>
      </c>
      <c r="D58" s="869" t="s">
        <v>2353</v>
      </c>
      <c r="E58" s="867"/>
      <c r="F58" s="882"/>
      <c r="G58" s="189">
        <v>3.98</v>
      </c>
    </row>
    <row r="59" spans="1:14" ht="14.25" customHeight="1">
      <c r="A59" s="187">
        <v>52</v>
      </c>
      <c r="B59" s="188" t="s">
        <v>1520</v>
      </c>
      <c r="C59" s="201">
        <v>3.88</v>
      </c>
      <c r="D59" s="869" t="s">
        <v>2353</v>
      </c>
      <c r="E59" s="867"/>
      <c r="F59" s="882"/>
      <c r="G59" s="189">
        <v>3.88</v>
      </c>
      <c r="H59" s="959"/>
      <c r="I59" s="959"/>
      <c r="J59" s="959"/>
      <c r="K59" s="959"/>
      <c r="L59" s="959"/>
      <c r="M59" s="959"/>
    </row>
    <row r="60" spans="1:14" ht="13.5" customHeight="1">
      <c r="A60" s="187">
        <v>53</v>
      </c>
      <c r="B60" s="188" t="s">
        <v>1007</v>
      </c>
      <c r="C60" s="201">
        <v>3.83</v>
      </c>
      <c r="D60" s="869" t="s">
        <v>2353</v>
      </c>
      <c r="E60" s="867"/>
      <c r="F60" s="882"/>
      <c r="G60" s="189">
        <v>3.83</v>
      </c>
      <c r="H60" s="959"/>
      <c r="I60" s="959"/>
      <c r="J60" s="959"/>
      <c r="K60" s="959"/>
      <c r="L60" s="959"/>
      <c r="M60" s="959"/>
    </row>
    <row r="61" spans="1:14">
      <c r="A61" s="187">
        <v>54</v>
      </c>
      <c r="B61" s="188" t="s">
        <v>1523</v>
      </c>
      <c r="C61" s="202">
        <v>3.78</v>
      </c>
      <c r="D61" s="869" t="s">
        <v>2353</v>
      </c>
      <c r="E61" s="867"/>
      <c r="F61" s="882"/>
      <c r="G61" s="193">
        <v>3.78</v>
      </c>
      <c r="H61" s="959"/>
      <c r="I61" s="959"/>
      <c r="J61" s="959"/>
      <c r="K61" s="959"/>
      <c r="L61" s="959"/>
      <c r="M61" s="959"/>
    </row>
    <row r="62" spans="1:14">
      <c r="A62" s="187">
        <v>55</v>
      </c>
      <c r="B62" s="188" t="s">
        <v>1305</v>
      </c>
      <c r="C62" s="202">
        <v>3.73</v>
      </c>
      <c r="D62" s="869" t="s">
        <v>2353</v>
      </c>
      <c r="E62" s="867"/>
      <c r="F62" s="883"/>
      <c r="G62" s="193">
        <v>3.73</v>
      </c>
      <c r="H62" s="959"/>
      <c r="I62" s="959"/>
      <c r="J62" s="959"/>
      <c r="K62" s="959"/>
      <c r="L62" s="959"/>
      <c r="M62" s="959"/>
    </row>
    <row r="63" spans="1:14">
      <c r="A63" s="187">
        <v>56</v>
      </c>
      <c r="B63" s="188" t="s">
        <v>1323</v>
      </c>
      <c r="C63" s="202">
        <v>3.63</v>
      </c>
      <c r="D63" s="869" t="s">
        <v>2353</v>
      </c>
      <c r="E63" s="867"/>
      <c r="F63" s="881"/>
      <c r="G63" s="193">
        <v>3.63</v>
      </c>
      <c r="H63" s="959"/>
      <c r="I63" s="959"/>
      <c r="J63" s="959"/>
      <c r="K63" s="959"/>
      <c r="L63" s="959"/>
      <c r="M63" s="959"/>
    </row>
    <row r="64" spans="1:14">
      <c r="A64" s="187">
        <v>57</v>
      </c>
      <c r="B64" s="188" t="s">
        <v>1005</v>
      </c>
      <c r="C64" s="202">
        <v>3.63</v>
      </c>
      <c r="D64" s="869" t="s">
        <v>2353</v>
      </c>
      <c r="E64" s="867"/>
      <c r="F64" s="881"/>
      <c r="G64" s="193">
        <v>3.63</v>
      </c>
    </row>
    <row r="65" spans="1:7">
      <c r="A65" s="187">
        <v>58</v>
      </c>
      <c r="B65" s="188" t="s">
        <v>1525</v>
      </c>
      <c r="C65" s="202">
        <v>3.63</v>
      </c>
      <c r="D65" s="869" t="s">
        <v>2353</v>
      </c>
      <c r="E65" s="867"/>
      <c r="F65" s="881"/>
      <c r="G65" s="193">
        <v>3.63</v>
      </c>
    </row>
    <row r="66" spans="1:7">
      <c r="A66" s="187">
        <v>59</v>
      </c>
      <c r="B66" s="188" t="s">
        <v>391</v>
      </c>
      <c r="C66" s="202">
        <v>3.63</v>
      </c>
      <c r="D66" s="869" t="s">
        <v>2353</v>
      </c>
      <c r="E66" s="867"/>
      <c r="F66" s="881"/>
      <c r="G66" s="193">
        <v>3.63</v>
      </c>
    </row>
    <row r="67" spans="1:7">
      <c r="A67" s="187">
        <v>60</v>
      </c>
      <c r="B67" s="188" t="s">
        <v>1526</v>
      </c>
      <c r="C67" s="202">
        <v>3.63</v>
      </c>
      <c r="D67" s="869" t="s">
        <v>2353</v>
      </c>
      <c r="E67" s="867"/>
      <c r="F67" s="881"/>
      <c r="G67" s="193">
        <v>3.63</v>
      </c>
    </row>
    <row r="68" spans="1:7">
      <c r="A68" s="187">
        <v>61</v>
      </c>
      <c r="B68" s="188" t="s">
        <v>1527</v>
      </c>
      <c r="C68" s="202">
        <v>3.63</v>
      </c>
      <c r="D68" s="869" t="s">
        <v>2353</v>
      </c>
      <c r="E68" s="867"/>
      <c r="F68" s="881"/>
      <c r="G68" s="193">
        <v>3.63</v>
      </c>
    </row>
    <row r="69" spans="1:7">
      <c r="A69" s="187">
        <v>62</v>
      </c>
      <c r="B69" s="188" t="s">
        <v>1528</v>
      </c>
      <c r="C69" s="202">
        <v>3.63</v>
      </c>
      <c r="D69" s="869" t="s">
        <v>2353</v>
      </c>
      <c r="E69" s="867"/>
      <c r="F69" s="203" t="s">
        <v>2323</v>
      </c>
      <c r="G69" s="193">
        <v>3.63</v>
      </c>
    </row>
    <row r="70" spans="1:7">
      <c r="A70" s="187">
        <v>63</v>
      </c>
      <c r="B70" s="188" t="s">
        <v>1529</v>
      </c>
      <c r="C70" s="189">
        <v>0.7</v>
      </c>
      <c r="D70" s="869" t="s">
        <v>1609</v>
      </c>
      <c r="E70" s="867"/>
      <c r="F70" s="874" t="s">
        <v>1610</v>
      </c>
      <c r="G70" s="189">
        <v>0.7</v>
      </c>
    </row>
    <row r="71" spans="1:7">
      <c r="A71" s="187">
        <v>64</v>
      </c>
      <c r="B71" s="188" t="s">
        <v>1530</v>
      </c>
      <c r="C71" s="189">
        <v>0.7</v>
      </c>
      <c r="D71" s="869" t="s">
        <v>1609</v>
      </c>
      <c r="E71" s="867"/>
      <c r="F71" s="867"/>
      <c r="G71" s="189">
        <v>0.7</v>
      </c>
    </row>
    <row r="72" spans="1:7">
      <c r="A72" s="187">
        <v>65</v>
      </c>
      <c r="B72" s="188" t="s">
        <v>1531</v>
      </c>
      <c r="C72" s="862"/>
      <c r="D72" s="869"/>
      <c r="E72" s="867"/>
      <c r="F72" s="867"/>
      <c r="G72" s="189"/>
    </row>
    <row r="73" spans="1:7">
      <c r="A73" s="187">
        <v>66</v>
      </c>
      <c r="B73" s="188" t="s">
        <v>1532</v>
      </c>
      <c r="C73" s="862"/>
      <c r="D73" s="869"/>
      <c r="E73" s="884" t="s">
        <v>2327</v>
      </c>
      <c r="F73" s="867"/>
      <c r="G73" s="189"/>
    </row>
    <row r="74" spans="1:7">
      <c r="A74" s="187">
        <v>67</v>
      </c>
      <c r="B74" s="188" t="s">
        <v>987</v>
      </c>
      <c r="C74" s="862">
        <v>4.33</v>
      </c>
      <c r="D74" s="869" t="s">
        <v>2353</v>
      </c>
      <c r="E74" s="910">
        <v>4.13</v>
      </c>
      <c r="F74" s="881"/>
      <c r="G74" s="189">
        <v>4.33</v>
      </c>
    </row>
    <row r="75" spans="1:7">
      <c r="A75" s="187">
        <v>68</v>
      </c>
      <c r="B75" s="188" t="s">
        <v>985</v>
      </c>
      <c r="C75" s="862">
        <v>4.28</v>
      </c>
      <c r="D75" s="869" t="s">
        <v>2353</v>
      </c>
      <c r="E75" s="910">
        <v>4.03</v>
      </c>
      <c r="F75" s="876" t="s">
        <v>2328</v>
      </c>
      <c r="G75" s="189">
        <v>4.28</v>
      </c>
    </row>
    <row r="76" spans="1:7">
      <c r="A76" s="187">
        <v>69</v>
      </c>
      <c r="B76" s="188" t="s">
        <v>1533</v>
      </c>
      <c r="C76" s="862">
        <v>4.13</v>
      </c>
      <c r="D76" s="869" t="s">
        <v>2353</v>
      </c>
      <c r="E76" s="910">
        <v>3.93</v>
      </c>
      <c r="F76" s="881"/>
      <c r="G76" s="189">
        <v>4.13</v>
      </c>
    </row>
    <row r="77" spans="1:7">
      <c r="A77" s="187">
        <v>70</v>
      </c>
      <c r="B77" s="188" t="s">
        <v>989</v>
      </c>
      <c r="C77" s="862">
        <v>4.08</v>
      </c>
      <c r="D77" s="869" t="s">
        <v>2353</v>
      </c>
      <c r="E77" s="910">
        <v>3.88</v>
      </c>
      <c r="F77" s="884" t="s">
        <v>2329</v>
      </c>
      <c r="G77" s="189">
        <v>4.08</v>
      </c>
    </row>
    <row r="78" spans="1:7">
      <c r="A78" s="187">
        <v>71</v>
      </c>
      <c r="B78" s="188" t="s">
        <v>1535</v>
      </c>
      <c r="C78" s="862">
        <v>4.0599999999999996</v>
      </c>
      <c r="D78" s="869" t="s">
        <v>2353</v>
      </c>
      <c r="E78" s="910">
        <v>3.86</v>
      </c>
      <c r="F78" s="881"/>
      <c r="G78" s="189">
        <v>4.0599999999999996</v>
      </c>
    </row>
    <row r="79" spans="1:7">
      <c r="A79" s="187">
        <v>72</v>
      </c>
      <c r="B79" s="188" t="s">
        <v>998</v>
      </c>
      <c r="C79" s="862">
        <v>3.98</v>
      </c>
      <c r="D79" s="869" t="s">
        <v>2353</v>
      </c>
      <c r="E79" s="910">
        <v>3.78</v>
      </c>
      <c r="F79" s="876"/>
      <c r="G79" s="189">
        <v>3.98</v>
      </c>
    </row>
    <row r="80" spans="1:7">
      <c r="A80" s="187">
        <v>73</v>
      </c>
      <c r="B80" s="188" t="s">
        <v>1537</v>
      </c>
      <c r="C80" s="862">
        <v>3.98</v>
      </c>
      <c r="D80" s="869" t="s">
        <v>2353</v>
      </c>
      <c r="E80" s="910">
        <v>3.78</v>
      </c>
      <c r="F80" s="881"/>
      <c r="G80" s="189">
        <v>3.98</v>
      </c>
    </row>
    <row r="81" spans="1:13">
      <c r="A81" s="187">
        <v>74</v>
      </c>
      <c r="B81" s="188" t="s">
        <v>1002</v>
      </c>
      <c r="C81" s="862">
        <v>3.98</v>
      </c>
      <c r="D81" s="869" t="s">
        <v>2353</v>
      </c>
      <c r="E81" s="910">
        <v>3.78</v>
      </c>
      <c r="F81" s="877" t="s">
        <v>2355</v>
      </c>
      <c r="G81" s="189">
        <v>3.98</v>
      </c>
    </row>
    <row r="82" spans="1:13">
      <c r="A82" s="187">
        <v>75</v>
      </c>
      <c r="B82" s="188" t="s">
        <v>1538</v>
      </c>
      <c r="C82" s="862">
        <v>4.03</v>
      </c>
      <c r="D82" s="869" t="s">
        <v>2353</v>
      </c>
      <c r="E82" s="910">
        <v>3.83</v>
      </c>
      <c r="F82" s="877" t="s">
        <v>2356</v>
      </c>
      <c r="G82" s="189">
        <v>4.03</v>
      </c>
    </row>
    <row r="83" spans="1:13">
      <c r="A83" s="187">
        <v>76</v>
      </c>
      <c r="B83" s="188" t="s">
        <v>1539</v>
      </c>
      <c r="C83" s="862">
        <v>4.03</v>
      </c>
      <c r="D83" s="869" t="s">
        <v>2353</v>
      </c>
      <c r="E83" s="910">
        <v>3.83</v>
      </c>
      <c r="F83" s="877" t="s">
        <v>2357</v>
      </c>
      <c r="G83" s="189">
        <v>4.03</v>
      </c>
    </row>
    <row r="84" spans="1:13">
      <c r="A84" s="187">
        <v>77</v>
      </c>
      <c r="B84" s="188" t="s">
        <v>1540</v>
      </c>
      <c r="C84" s="862">
        <v>4.28</v>
      </c>
      <c r="D84" s="869" t="s">
        <v>2353</v>
      </c>
      <c r="E84" s="910">
        <v>4.08</v>
      </c>
      <c r="F84" s="867"/>
      <c r="G84" s="189">
        <v>4.28</v>
      </c>
    </row>
    <row r="85" spans="1:13">
      <c r="A85" s="187"/>
      <c r="B85" s="885" t="s">
        <v>1541</v>
      </c>
      <c r="C85" s="196"/>
      <c r="D85" s="869"/>
      <c r="E85" s="886"/>
      <c r="F85" s="881"/>
      <c r="G85" s="189"/>
    </row>
    <row r="86" spans="1:13">
      <c r="A86" s="187">
        <v>80</v>
      </c>
      <c r="B86" s="885" t="s">
        <v>1542</v>
      </c>
      <c r="C86" s="205"/>
      <c r="D86" s="869"/>
      <c r="E86" s="886"/>
      <c r="F86" s="881"/>
      <c r="G86" s="199"/>
      <c r="H86" s="949" t="s">
        <v>1611</v>
      </c>
      <c r="I86" s="949"/>
      <c r="J86" s="949"/>
      <c r="K86" s="949"/>
      <c r="L86" s="949"/>
      <c r="M86" s="949"/>
    </row>
    <row r="87" spans="1:13">
      <c r="A87" s="187">
        <v>80</v>
      </c>
      <c r="B87" s="885" t="s">
        <v>1543</v>
      </c>
      <c r="C87" s="196"/>
      <c r="D87" s="869"/>
      <c r="E87" s="911" t="s">
        <v>2330</v>
      </c>
      <c r="F87" s="881"/>
      <c r="G87" s="189"/>
      <c r="H87" s="949"/>
      <c r="I87" s="949"/>
      <c r="J87" s="949"/>
      <c r="K87" s="949"/>
      <c r="L87" s="949"/>
      <c r="M87" s="949"/>
    </row>
    <row r="88" spans="1:13">
      <c r="A88" s="187">
        <v>78</v>
      </c>
      <c r="B88" s="188" t="s">
        <v>943</v>
      </c>
      <c r="C88" s="196">
        <v>4.3099999999999996</v>
      </c>
      <c r="D88" s="869" t="s">
        <v>2358</v>
      </c>
      <c r="E88" s="912">
        <v>4.2</v>
      </c>
      <c r="F88" s="881"/>
      <c r="G88" s="189">
        <v>4.3499999999999996</v>
      </c>
      <c r="H88" s="949" t="s">
        <v>1612</v>
      </c>
      <c r="I88" s="949"/>
      <c r="J88" s="949"/>
      <c r="K88" s="949"/>
      <c r="L88" s="949"/>
      <c r="M88" s="949"/>
    </row>
    <row r="89" spans="1:13">
      <c r="A89" s="187">
        <v>79</v>
      </c>
      <c r="B89" s="188" t="s">
        <v>944</v>
      </c>
      <c r="C89" s="196">
        <v>4.3099999999999996</v>
      </c>
      <c r="D89" s="869" t="s">
        <v>2358</v>
      </c>
      <c r="E89" s="912">
        <v>4.2</v>
      </c>
      <c r="F89" s="876" t="s">
        <v>2359</v>
      </c>
      <c r="G89" s="189">
        <v>4.3499999999999996</v>
      </c>
      <c r="H89" s="949"/>
      <c r="I89" s="949"/>
      <c r="J89" s="949"/>
      <c r="K89" s="949"/>
      <c r="L89" s="949"/>
      <c r="M89" s="949"/>
    </row>
    <row r="90" spans="1:13">
      <c r="A90" s="187">
        <v>81</v>
      </c>
      <c r="B90" s="188" t="s">
        <v>1544</v>
      </c>
      <c r="C90" s="196">
        <v>4.91</v>
      </c>
      <c r="D90" s="869" t="s">
        <v>1613</v>
      </c>
      <c r="E90" s="913"/>
      <c r="F90" s="881"/>
      <c r="G90" s="189">
        <v>4.91</v>
      </c>
      <c r="H90" s="949"/>
      <c r="I90" s="949"/>
      <c r="J90" s="949"/>
      <c r="K90" s="949"/>
      <c r="L90" s="949"/>
      <c r="M90" s="949"/>
    </row>
    <row r="91" spans="1:13">
      <c r="A91" s="187"/>
      <c r="B91" s="188" t="s">
        <v>948</v>
      </c>
      <c r="C91" s="196">
        <v>4.3099999999999996</v>
      </c>
      <c r="D91" s="869" t="s">
        <v>2358</v>
      </c>
      <c r="E91" s="912">
        <v>4.2</v>
      </c>
      <c r="F91" s="876" t="s">
        <v>2360</v>
      </c>
      <c r="G91" s="189">
        <v>4.3499999999999996</v>
      </c>
    </row>
    <row r="92" spans="1:13">
      <c r="A92" s="187">
        <v>83</v>
      </c>
      <c r="B92" s="188" t="s">
        <v>497</v>
      </c>
      <c r="C92" s="887">
        <v>4.67</v>
      </c>
      <c r="D92" s="869" t="s">
        <v>1614</v>
      </c>
      <c r="E92" s="888"/>
      <c r="F92" s="889"/>
      <c r="G92" s="193">
        <v>4.67</v>
      </c>
    </row>
    <row r="93" spans="1:13">
      <c r="A93" s="187">
        <v>84</v>
      </c>
      <c r="B93" s="188" t="s">
        <v>1545</v>
      </c>
      <c r="C93" s="202">
        <v>4.67</v>
      </c>
      <c r="D93" s="869" t="s">
        <v>1614</v>
      </c>
      <c r="E93" s="867"/>
      <c r="F93" s="867"/>
      <c r="G93" s="193">
        <v>4.67</v>
      </c>
    </row>
    <row r="94" spans="1:13">
      <c r="A94" s="187">
        <v>85</v>
      </c>
      <c r="B94" s="890" t="s">
        <v>1348</v>
      </c>
      <c r="C94" s="207">
        <v>8.25</v>
      </c>
      <c r="D94" s="869" t="s">
        <v>2353</v>
      </c>
      <c r="E94" s="867"/>
      <c r="F94" s="891"/>
      <c r="G94" s="189">
        <v>8.25</v>
      </c>
    </row>
    <row r="95" spans="1:13" ht="12.95" customHeight="1">
      <c r="A95" s="187">
        <v>86</v>
      </c>
      <c r="B95" s="188" t="s">
        <v>1345</v>
      </c>
      <c r="C95" s="862">
        <v>4.2300000000000004</v>
      </c>
      <c r="D95" s="869" t="s">
        <v>2353</v>
      </c>
      <c r="E95" s="867"/>
      <c r="F95" s="203" t="s">
        <v>1615</v>
      </c>
      <c r="G95" s="189">
        <v>4.2300000000000004</v>
      </c>
    </row>
    <row r="96" spans="1:13">
      <c r="A96" s="187">
        <v>87</v>
      </c>
      <c r="B96" s="188" t="s">
        <v>1546</v>
      </c>
      <c r="C96" s="862">
        <v>4.2300000000000004</v>
      </c>
      <c r="D96" s="869" t="s">
        <v>2353</v>
      </c>
      <c r="E96" s="867"/>
      <c r="F96" s="881"/>
      <c r="G96" s="189">
        <v>4.2300000000000004</v>
      </c>
    </row>
    <row r="97" spans="1:15">
      <c r="A97" s="187">
        <v>88</v>
      </c>
      <c r="B97" s="208" t="s">
        <v>1356</v>
      </c>
      <c r="C97" s="862">
        <v>4.28</v>
      </c>
      <c r="D97" s="869" t="s">
        <v>2353</v>
      </c>
      <c r="E97" s="867"/>
      <c r="F97" s="881"/>
      <c r="G97" s="189">
        <v>4.28</v>
      </c>
    </row>
    <row r="98" spans="1:15">
      <c r="A98" s="187">
        <v>89</v>
      </c>
      <c r="B98" s="188" t="s">
        <v>1547</v>
      </c>
      <c r="C98" s="862">
        <v>4.2300000000000004</v>
      </c>
      <c r="D98" s="869" t="s">
        <v>2353</v>
      </c>
      <c r="E98" s="867"/>
      <c r="F98" s="881"/>
      <c r="G98" s="189">
        <v>4.2300000000000004</v>
      </c>
    </row>
    <row r="99" spans="1:15">
      <c r="A99" s="187">
        <v>90</v>
      </c>
      <c r="B99" s="188" t="s">
        <v>1548</v>
      </c>
      <c r="C99" s="862">
        <v>4.28</v>
      </c>
      <c r="D99" s="869" t="s">
        <v>2353</v>
      </c>
      <c r="E99" s="867"/>
      <c r="F99" s="881"/>
      <c r="G99" s="189">
        <v>4.28</v>
      </c>
    </row>
    <row r="100" spans="1:15">
      <c r="A100" s="187">
        <v>91</v>
      </c>
      <c r="B100" s="188" t="s">
        <v>1549</v>
      </c>
      <c r="C100" s="862">
        <v>3.68</v>
      </c>
      <c r="D100" s="869" t="s">
        <v>2353</v>
      </c>
      <c r="E100" s="867"/>
      <c r="F100" s="209"/>
      <c r="G100" s="189">
        <v>3.68</v>
      </c>
    </row>
    <row r="101" spans="1:15">
      <c r="A101" s="187">
        <v>92</v>
      </c>
      <c r="B101" s="188" t="s">
        <v>1550</v>
      </c>
      <c r="C101" s="862">
        <v>3.88</v>
      </c>
      <c r="D101" s="869" t="s">
        <v>2353</v>
      </c>
      <c r="E101" s="867"/>
      <c r="F101" s="867"/>
      <c r="G101" s="189">
        <v>3.88</v>
      </c>
      <c r="H101" s="966" t="s">
        <v>1616</v>
      </c>
      <c r="I101" s="966"/>
      <c r="J101" s="966"/>
      <c r="K101" s="966"/>
      <c r="L101" s="966"/>
      <c r="M101" s="966"/>
      <c r="N101" s="966"/>
      <c r="O101" s="175" t="s">
        <v>1617</v>
      </c>
    </row>
    <row r="102" spans="1:15">
      <c r="A102" s="187">
        <v>93</v>
      </c>
      <c r="B102" s="188" t="s">
        <v>1551</v>
      </c>
      <c r="C102" s="862"/>
      <c r="D102" s="869"/>
      <c r="E102" s="867"/>
      <c r="F102" s="867"/>
      <c r="G102" s="189"/>
    </row>
    <row r="103" spans="1:15">
      <c r="A103" s="187">
        <v>94</v>
      </c>
      <c r="B103" s="188" t="s">
        <v>1552</v>
      </c>
      <c r="C103" s="210"/>
      <c r="D103" s="869"/>
      <c r="E103" s="867"/>
      <c r="F103" s="867"/>
      <c r="G103" s="189"/>
    </row>
    <row r="104" spans="1:15">
      <c r="A104" s="187">
        <v>95</v>
      </c>
      <c r="B104" s="188" t="s">
        <v>1553</v>
      </c>
      <c r="C104" s="201"/>
      <c r="D104" s="869"/>
      <c r="E104" s="867"/>
      <c r="F104" s="867"/>
      <c r="G104" s="189"/>
    </row>
    <row r="105" spans="1:15">
      <c r="A105" s="187">
        <v>96</v>
      </c>
      <c r="B105" s="188" t="s">
        <v>1012</v>
      </c>
      <c r="C105" s="189">
        <v>3.78</v>
      </c>
      <c r="D105" s="869" t="s">
        <v>2353</v>
      </c>
      <c r="E105" s="867"/>
      <c r="F105" s="867"/>
      <c r="G105" s="189">
        <v>3.78</v>
      </c>
    </row>
    <row r="106" spans="1:15">
      <c r="A106" s="187">
        <v>97</v>
      </c>
      <c r="B106" s="188" t="s">
        <v>1360</v>
      </c>
      <c r="C106" s="189">
        <v>3.68</v>
      </c>
      <c r="D106" s="869" t="s">
        <v>2353</v>
      </c>
      <c r="E106" s="867"/>
      <c r="F106" s="876" t="s">
        <v>2318</v>
      </c>
      <c r="G106" s="189">
        <v>3.68</v>
      </c>
    </row>
    <row r="107" spans="1:15">
      <c r="A107" s="187">
        <v>98</v>
      </c>
      <c r="B107" s="188" t="s">
        <v>1358</v>
      </c>
      <c r="C107" s="189">
        <v>3.63</v>
      </c>
      <c r="D107" s="869" t="s">
        <v>2353</v>
      </c>
      <c r="E107" s="867"/>
      <c r="F107" s="867"/>
      <c r="G107" s="189">
        <v>3.63</v>
      </c>
    </row>
    <row r="108" spans="1:15">
      <c r="A108" s="187">
        <v>99</v>
      </c>
      <c r="B108" s="892" t="s">
        <v>1236</v>
      </c>
      <c r="C108" s="862">
        <v>3.83</v>
      </c>
      <c r="D108" s="869" t="s">
        <v>2353</v>
      </c>
      <c r="E108" s="867"/>
      <c r="F108" s="867"/>
      <c r="G108" s="189">
        <v>3.83</v>
      </c>
    </row>
    <row r="109" spans="1:15">
      <c r="A109" s="187">
        <v>100</v>
      </c>
      <c r="B109" s="893" t="s">
        <v>1554</v>
      </c>
      <c r="C109" s="862">
        <v>3.83</v>
      </c>
      <c r="D109" s="869" t="s">
        <v>2353</v>
      </c>
      <c r="E109" s="867"/>
      <c r="F109" s="867"/>
      <c r="G109" s="189">
        <v>3.83</v>
      </c>
    </row>
    <row r="110" spans="1:15">
      <c r="A110" s="187">
        <v>101</v>
      </c>
      <c r="B110" s="894" t="s">
        <v>1240</v>
      </c>
      <c r="C110" s="862">
        <v>3.83</v>
      </c>
      <c r="D110" s="869" t="s">
        <v>2353</v>
      </c>
      <c r="E110" s="867"/>
      <c r="F110" s="867"/>
      <c r="G110" s="189">
        <v>3.83</v>
      </c>
    </row>
    <row r="111" spans="1:15">
      <c r="A111" s="187">
        <v>102</v>
      </c>
      <c r="B111" s="892" t="s">
        <v>1555</v>
      </c>
      <c r="C111" s="202"/>
      <c r="D111" s="869"/>
      <c r="E111" s="867"/>
      <c r="F111" s="867"/>
      <c r="G111" s="193"/>
    </row>
    <row r="112" spans="1:15">
      <c r="A112" s="187">
        <v>103</v>
      </c>
      <c r="B112" s="892" t="s">
        <v>1556</v>
      </c>
      <c r="C112" s="862">
        <v>3.83</v>
      </c>
      <c r="D112" s="869" t="s">
        <v>2353</v>
      </c>
      <c r="E112" s="867"/>
      <c r="F112" s="867"/>
      <c r="G112" s="189">
        <v>3.83</v>
      </c>
    </row>
    <row r="113" spans="1:13">
      <c r="A113" s="187">
        <v>104</v>
      </c>
      <c r="B113" s="890" t="s">
        <v>1557</v>
      </c>
      <c r="C113" s="202"/>
      <c r="D113" s="869"/>
      <c r="E113" s="867"/>
      <c r="F113" s="867"/>
      <c r="G113" s="193"/>
    </row>
    <row r="114" spans="1:13">
      <c r="A114" s="187">
        <v>105</v>
      </c>
      <c r="B114" s="892" t="s">
        <v>1558</v>
      </c>
      <c r="C114" s="862">
        <v>3.83</v>
      </c>
      <c r="D114" s="869" t="s">
        <v>2353</v>
      </c>
      <c r="E114" s="867"/>
      <c r="F114" s="867"/>
      <c r="G114" s="189">
        <v>3.83</v>
      </c>
    </row>
    <row r="115" spans="1:13">
      <c r="A115" s="187">
        <v>106</v>
      </c>
      <c r="B115" s="188" t="s">
        <v>1361</v>
      </c>
      <c r="C115" s="862">
        <v>4.2300000000000004</v>
      </c>
      <c r="D115" s="869" t="s">
        <v>2353</v>
      </c>
      <c r="E115" s="867"/>
      <c r="F115" s="867"/>
      <c r="G115" s="189">
        <v>4.2300000000000004</v>
      </c>
      <c r="H115" s="967" t="s">
        <v>1618</v>
      </c>
      <c r="I115" s="967"/>
      <c r="J115" s="967"/>
      <c r="K115" s="967"/>
      <c r="L115" s="967"/>
      <c r="M115" s="967"/>
    </row>
    <row r="116" spans="1:13">
      <c r="A116" s="187">
        <v>107</v>
      </c>
      <c r="B116" s="188" t="s">
        <v>1359</v>
      </c>
      <c r="C116" s="862">
        <v>4.13</v>
      </c>
      <c r="D116" s="869" t="s">
        <v>2353</v>
      </c>
      <c r="E116" s="867"/>
      <c r="F116" s="867"/>
      <c r="G116" s="189">
        <v>4.13</v>
      </c>
    </row>
    <row r="117" spans="1:13">
      <c r="A117" s="187"/>
      <c r="B117" s="885" t="s">
        <v>1559</v>
      </c>
      <c r="C117" s="862"/>
      <c r="D117" s="869"/>
      <c r="E117" s="867"/>
      <c r="F117" s="867"/>
      <c r="G117" s="189"/>
    </row>
    <row r="118" spans="1:13">
      <c r="A118" s="187">
        <v>108</v>
      </c>
      <c r="B118" s="188" t="s">
        <v>1560</v>
      </c>
      <c r="C118" s="862">
        <v>3.78</v>
      </c>
      <c r="D118" s="869" t="s">
        <v>2353</v>
      </c>
      <c r="E118" s="867"/>
      <c r="F118" s="867"/>
      <c r="G118" s="189">
        <v>3.78</v>
      </c>
    </row>
    <row r="119" spans="1:13">
      <c r="A119" s="187">
        <v>109</v>
      </c>
      <c r="B119" s="188" t="s">
        <v>1561</v>
      </c>
      <c r="C119" s="862">
        <v>3.78</v>
      </c>
      <c r="D119" s="869" t="s">
        <v>2353</v>
      </c>
      <c r="E119" s="867"/>
      <c r="F119" s="867"/>
      <c r="G119" s="189">
        <v>3.78</v>
      </c>
    </row>
    <row r="120" spans="1:13">
      <c r="A120" s="187">
        <v>110</v>
      </c>
      <c r="B120" s="188" t="s">
        <v>1562</v>
      </c>
      <c r="C120" s="202">
        <v>3.63</v>
      </c>
      <c r="D120" s="869" t="s">
        <v>2353</v>
      </c>
      <c r="E120" s="867"/>
      <c r="F120" s="867"/>
      <c r="G120" s="193">
        <v>3.63</v>
      </c>
    </row>
    <row r="121" spans="1:13">
      <c r="A121" s="187">
        <v>111</v>
      </c>
      <c r="B121" s="188" t="s">
        <v>1563</v>
      </c>
      <c r="C121" s="202">
        <v>3.58</v>
      </c>
      <c r="D121" s="869" t="s">
        <v>2353</v>
      </c>
      <c r="E121" s="867"/>
      <c r="F121" s="867"/>
      <c r="G121" s="193">
        <v>3.58</v>
      </c>
    </row>
    <row r="122" spans="1:13">
      <c r="A122" s="187">
        <v>112</v>
      </c>
      <c r="B122" s="188" t="s">
        <v>1564</v>
      </c>
      <c r="C122" s="202">
        <v>3.58</v>
      </c>
      <c r="D122" s="869" t="s">
        <v>2353</v>
      </c>
      <c r="E122" s="867"/>
      <c r="F122" s="867"/>
      <c r="G122" s="193">
        <v>3.58</v>
      </c>
      <c r="H122" s="960" t="s">
        <v>1619</v>
      </c>
      <c r="I122" s="961"/>
      <c r="J122" s="961"/>
    </row>
    <row r="123" spans="1:13">
      <c r="A123" s="187">
        <v>113</v>
      </c>
      <c r="B123" s="890" t="s">
        <v>1565</v>
      </c>
      <c r="C123" s="202">
        <v>3.58</v>
      </c>
      <c r="D123" s="869" t="s">
        <v>2353</v>
      </c>
      <c r="E123" s="867"/>
      <c r="F123" s="867"/>
      <c r="G123" s="193">
        <v>3.58</v>
      </c>
      <c r="H123" s="961"/>
      <c r="I123" s="961"/>
      <c r="J123" s="961"/>
    </row>
    <row r="124" spans="1:13">
      <c r="A124" s="187">
        <v>114</v>
      </c>
      <c r="B124" s="890" t="s">
        <v>1566</v>
      </c>
      <c r="C124" s="202">
        <v>3.63</v>
      </c>
      <c r="D124" s="869" t="s">
        <v>2353</v>
      </c>
      <c r="E124" s="867"/>
      <c r="F124" s="867"/>
      <c r="G124" s="193">
        <v>3.63</v>
      </c>
      <c r="H124" s="961"/>
      <c r="I124" s="961"/>
      <c r="J124" s="961"/>
    </row>
    <row r="125" spans="1:13">
      <c r="A125" s="187">
        <v>115</v>
      </c>
      <c r="B125" s="188" t="s">
        <v>1567</v>
      </c>
      <c r="C125" s="202">
        <v>3.63</v>
      </c>
      <c r="D125" s="869" t="s">
        <v>2353</v>
      </c>
      <c r="E125" s="867"/>
      <c r="F125" s="867"/>
      <c r="G125" s="193">
        <v>3.63</v>
      </c>
    </row>
    <row r="126" spans="1:13">
      <c r="A126" s="187">
        <v>116</v>
      </c>
      <c r="B126" s="214" t="s">
        <v>1568</v>
      </c>
      <c r="C126" s="202">
        <v>3.63</v>
      </c>
      <c r="D126" s="869" t="s">
        <v>2353</v>
      </c>
      <c r="E126" s="867"/>
      <c r="F126" s="867"/>
      <c r="G126" s="193">
        <v>3.63</v>
      </c>
    </row>
    <row r="127" spans="1:13">
      <c r="A127" s="187">
        <v>117</v>
      </c>
      <c r="B127" s="215" t="s">
        <v>1569</v>
      </c>
      <c r="C127" s="201"/>
      <c r="D127" s="869"/>
      <c r="E127" s="867"/>
      <c r="F127" s="216"/>
      <c r="G127" s="189"/>
    </row>
    <row r="128" spans="1:13">
      <c r="A128" s="187">
        <v>118</v>
      </c>
      <c r="B128" s="215" t="s">
        <v>1570</v>
      </c>
      <c r="C128" s="201">
        <v>4.0999999999999996</v>
      </c>
      <c r="D128" s="869" t="s">
        <v>2353</v>
      </c>
      <c r="E128" s="867"/>
      <c r="F128" s="874" t="s">
        <v>2322</v>
      </c>
      <c r="G128" s="189">
        <v>4.0999999999999996</v>
      </c>
    </row>
    <row r="129" spans="1:15">
      <c r="A129" s="187">
        <v>119</v>
      </c>
      <c r="B129" s="215" t="s">
        <v>1571</v>
      </c>
      <c r="C129" s="201">
        <v>4.0999999999999996</v>
      </c>
      <c r="D129" s="869" t="s">
        <v>2353</v>
      </c>
      <c r="E129" s="867"/>
      <c r="F129" s="874" t="s">
        <v>2319</v>
      </c>
      <c r="G129" s="189">
        <v>4.0999999999999996</v>
      </c>
    </row>
    <row r="130" spans="1:15">
      <c r="A130" s="187">
        <v>120</v>
      </c>
      <c r="B130" s="215" t="s">
        <v>1572</v>
      </c>
      <c r="C130" s="201">
        <v>4.05</v>
      </c>
      <c r="D130" s="869" t="s">
        <v>2353</v>
      </c>
      <c r="E130" s="197"/>
      <c r="F130" s="874" t="s">
        <v>2320</v>
      </c>
      <c r="G130" s="189">
        <v>4.05</v>
      </c>
    </row>
    <row r="131" spans="1:15">
      <c r="A131" s="187"/>
      <c r="B131" s="885" t="s">
        <v>1220</v>
      </c>
      <c r="C131" s="217">
        <v>5.66</v>
      </c>
      <c r="D131" s="218" t="s">
        <v>2361</v>
      </c>
      <c r="E131" s="197"/>
      <c r="F131" s="219" t="s">
        <v>2362</v>
      </c>
      <c r="G131" s="193">
        <v>5.67</v>
      </c>
    </row>
    <row r="132" spans="1:15">
      <c r="A132" s="187">
        <v>121</v>
      </c>
      <c r="B132" s="215" t="s">
        <v>1218</v>
      </c>
      <c r="C132" s="189">
        <v>6.27</v>
      </c>
      <c r="D132" s="218" t="s">
        <v>2361</v>
      </c>
      <c r="E132" s="220"/>
      <c r="F132" s="221"/>
      <c r="G132" s="189">
        <v>6.28</v>
      </c>
    </row>
    <row r="133" spans="1:15">
      <c r="A133" s="187">
        <v>122</v>
      </c>
      <c r="B133" s="215" t="s">
        <v>1216</v>
      </c>
      <c r="C133" s="189">
        <v>6.31</v>
      </c>
      <c r="D133" s="218" t="s">
        <v>2361</v>
      </c>
      <c r="E133" s="220"/>
      <c r="F133" s="221" t="s">
        <v>1620</v>
      </c>
      <c r="G133" s="189">
        <v>6.32</v>
      </c>
    </row>
    <row r="134" spans="1:15">
      <c r="A134" s="187">
        <v>123</v>
      </c>
      <c r="B134" s="222" t="s">
        <v>1573</v>
      </c>
      <c r="C134" s="200">
        <v>7.62</v>
      </c>
      <c r="D134" s="218" t="s">
        <v>2361</v>
      </c>
      <c r="E134" s="220"/>
      <c r="F134" s="223" t="s">
        <v>1621</v>
      </c>
      <c r="G134" s="200">
        <v>7.63</v>
      </c>
    </row>
    <row r="135" spans="1:15">
      <c r="A135" s="187">
        <v>124</v>
      </c>
      <c r="B135" s="215" t="s">
        <v>1574</v>
      </c>
      <c r="C135" s="224"/>
      <c r="D135" s="218"/>
      <c r="E135" s="220"/>
      <c r="F135" s="225" t="s">
        <v>1622</v>
      </c>
      <c r="G135" s="224"/>
    </row>
    <row r="136" spans="1:15">
      <c r="A136" s="187">
        <v>125</v>
      </c>
      <c r="B136" s="215" t="s">
        <v>1575</v>
      </c>
      <c r="C136" s="224"/>
      <c r="D136" s="218"/>
      <c r="E136" s="220"/>
      <c r="F136" s="226"/>
      <c r="G136" s="224"/>
    </row>
    <row r="137" spans="1:15" ht="14.25">
      <c r="A137" s="187">
        <v>126</v>
      </c>
      <c r="B137" s="227" t="s">
        <v>1576</v>
      </c>
      <c r="C137" s="193">
        <v>4.8499999999999996</v>
      </c>
      <c r="D137" s="218" t="s">
        <v>1614</v>
      </c>
      <c r="E137" s="228" t="s">
        <v>1623</v>
      </c>
      <c r="F137" s="229" t="s">
        <v>1624</v>
      </c>
      <c r="G137" s="193">
        <v>4.8499999999999996</v>
      </c>
      <c r="H137" s="968" t="s">
        <v>1625</v>
      </c>
      <c r="I137" s="969"/>
      <c r="J137" s="969"/>
      <c r="K137" s="969"/>
      <c r="L137" s="969"/>
      <c r="M137" s="969"/>
    </row>
    <row r="138" spans="1:15" ht="15.95" customHeight="1">
      <c r="A138" s="187">
        <v>127</v>
      </c>
      <c r="B138" s="227" t="s">
        <v>1577</v>
      </c>
      <c r="C138" s="193">
        <v>4.8499999999999996</v>
      </c>
      <c r="D138" s="218" t="s">
        <v>1614</v>
      </c>
      <c r="E138" s="228" t="s">
        <v>1623</v>
      </c>
      <c r="F138" s="229" t="s">
        <v>1626</v>
      </c>
      <c r="G138" s="193">
        <v>4.8499999999999996</v>
      </c>
    </row>
    <row r="139" spans="1:15" ht="14.25">
      <c r="A139" s="187">
        <v>128</v>
      </c>
      <c r="B139" s="227" t="s">
        <v>1243</v>
      </c>
      <c r="C139" s="193">
        <v>4.45</v>
      </c>
      <c r="D139" s="218" t="s">
        <v>1614</v>
      </c>
      <c r="E139" s="184"/>
      <c r="F139" s="230" t="s">
        <v>1627</v>
      </c>
      <c r="G139" s="193">
        <v>4.45</v>
      </c>
      <c r="H139" s="970" t="s">
        <v>1628</v>
      </c>
      <c r="I139" s="964"/>
      <c r="J139" s="964"/>
      <c r="K139" s="964"/>
      <c r="L139" s="964"/>
      <c r="M139" s="964"/>
      <c r="N139" s="232" t="s">
        <v>1629</v>
      </c>
      <c r="O139" s="232"/>
    </row>
    <row r="140" spans="1:15" ht="14.25">
      <c r="A140" s="187">
        <v>129</v>
      </c>
      <c r="B140" s="227" t="s">
        <v>546</v>
      </c>
      <c r="C140" s="193">
        <v>4.05</v>
      </c>
      <c r="D140" s="218" t="s">
        <v>1614</v>
      </c>
      <c r="E140" s="184"/>
      <c r="F140" s="230"/>
      <c r="G140" s="193">
        <v>4.05</v>
      </c>
      <c r="H140" s="963" t="s">
        <v>1630</v>
      </c>
      <c r="I140" s="964"/>
      <c r="J140" s="964"/>
      <c r="K140" s="964"/>
      <c r="L140" s="964"/>
      <c r="M140" s="231"/>
    </row>
    <row r="141" spans="1:15" ht="14.25">
      <c r="A141" s="187">
        <v>130</v>
      </c>
      <c r="B141" s="227" t="s">
        <v>1579</v>
      </c>
      <c r="C141" s="193"/>
      <c r="D141" s="218"/>
      <c r="E141" s="184"/>
      <c r="F141" s="230"/>
      <c r="G141" s="193"/>
      <c r="H141" s="231"/>
      <c r="I141" s="231"/>
      <c r="J141" s="231"/>
      <c r="K141" s="231"/>
      <c r="L141" s="231"/>
      <c r="M141" s="231"/>
    </row>
    <row r="142" spans="1:15">
      <c r="A142" s="187">
        <v>131</v>
      </c>
      <c r="B142" s="227" t="s">
        <v>1580</v>
      </c>
      <c r="C142" s="193"/>
      <c r="D142" s="218"/>
      <c r="E142" s="184"/>
      <c r="F142" s="230"/>
      <c r="G142" s="193"/>
    </row>
    <row r="143" spans="1:15">
      <c r="A143" s="187">
        <v>132</v>
      </c>
      <c r="B143" s="227" t="s">
        <v>1581</v>
      </c>
      <c r="C143" s="193"/>
      <c r="D143" s="218"/>
      <c r="E143" s="184"/>
      <c r="F143" s="230"/>
      <c r="G143" s="193"/>
    </row>
    <row r="144" spans="1:15">
      <c r="A144" s="187">
        <v>133</v>
      </c>
      <c r="B144" s="227" t="s">
        <v>1582</v>
      </c>
      <c r="C144" s="193"/>
      <c r="D144" s="218"/>
      <c r="E144" s="184"/>
      <c r="F144" s="230"/>
      <c r="G144" s="193"/>
    </row>
    <row r="145" spans="1:8">
      <c r="A145" s="187">
        <v>134</v>
      </c>
      <c r="B145" s="227" t="s">
        <v>1583</v>
      </c>
      <c r="C145" s="193"/>
      <c r="D145" s="218"/>
      <c r="E145" s="184"/>
      <c r="F145" s="230"/>
      <c r="G145" s="193"/>
    </row>
    <row r="146" spans="1:8">
      <c r="A146" s="187">
        <v>135</v>
      </c>
      <c r="B146" s="227" t="s">
        <v>1584</v>
      </c>
      <c r="C146" s="193"/>
      <c r="D146" s="218"/>
      <c r="E146" s="184"/>
      <c r="F146" s="230"/>
      <c r="G146" s="193"/>
    </row>
    <row r="147" spans="1:8">
      <c r="A147" s="187">
        <v>136</v>
      </c>
      <c r="B147" s="227" t="s">
        <v>1585</v>
      </c>
      <c r="C147" s="193"/>
      <c r="D147" s="218"/>
      <c r="E147" s="184"/>
      <c r="F147" s="230"/>
      <c r="G147" s="193"/>
    </row>
    <row r="148" spans="1:8">
      <c r="A148" s="187">
        <v>137</v>
      </c>
      <c r="B148" s="227" t="s">
        <v>1586</v>
      </c>
      <c r="C148" s="193"/>
      <c r="D148" s="218"/>
      <c r="E148" s="184"/>
      <c r="F148" s="230"/>
      <c r="G148" s="193"/>
    </row>
    <row r="149" spans="1:8">
      <c r="B149" s="233" t="s">
        <v>1631</v>
      </c>
      <c r="C149" s="234">
        <f>SUM(C8:C148)</f>
        <v>423.95999999999987</v>
      </c>
    </row>
    <row r="150" spans="1:8">
      <c r="D150" s="962"/>
      <c r="E150" s="962"/>
      <c r="F150" s="962"/>
    </row>
    <row r="151" spans="1:8">
      <c r="D151" s="962"/>
      <c r="E151" s="962"/>
      <c r="F151" s="962"/>
    </row>
    <row r="153" spans="1:8" s="173" customFormat="1" ht="17.25" customHeight="1">
      <c r="A153" s="22">
        <v>1</v>
      </c>
      <c r="B153" s="965" t="s">
        <v>1632</v>
      </c>
      <c r="C153" s="965"/>
      <c r="D153" s="965"/>
      <c r="E153" s="965"/>
      <c r="F153" s="965"/>
      <c r="G153" s="965"/>
      <c r="H153" s="235"/>
    </row>
    <row r="154" spans="1:8" s="23" customFormat="1" ht="14.25">
      <c r="A154" s="22">
        <v>2</v>
      </c>
      <c r="B154" s="950" t="s">
        <v>1633</v>
      </c>
      <c r="C154" s="950"/>
      <c r="D154" s="950"/>
      <c r="E154" s="950"/>
      <c r="F154" s="950"/>
      <c r="G154" s="950"/>
      <c r="H154" s="950"/>
    </row>
    <row r="155" spans="1:8" s="23" customFormat="1" ht="14.25">
      <c r="A155" s="22">
        <v>3</v>
      </c>
      <c r="B155" s="950" t="s">
        <v>1634</v>
      </c>
      <c r="C155" s="950"/>
      <c r="D155" s="950"/>
      <c r="E155" s="950"/>
      <c r="F155" s="950"/>
      <c r="G155" s="950"/>
      <c r="H155" s="950"/>
    </row>
    <row r="156" spans="1:8" s="23" customFormat="1" ht="14.25">
      <c r="A156" s="22">
        <v>4</v>
      </c>
      <c r="B156" s="950" t="s">
        <v>1635</v>
      </c>
      <c r="C156" s="950"/>
      <c r="D156" s="950"/>
      <c r="E156" s="950"/>
      <c r="F156" s="950"/>
      <c r="G156" s="950"/>
      <c r="H156" s="950"/>
    </row>
    <row r="157" spans="1:8" s="23" customFormat="1" ht="14.25">
      <c r="A157" s="22">
        <v>5</v>
      </c>
      <c r="B157" s="950" t="s">
        <v>1636</v>
      </c>
      <c r="C157" s="950"/>
      <c r="D157" s="950"/>
      <c r="E157" s="950"/>
      <c r="F157" s="950"/>
      <c r="G157" s="950"/>
      <c r="H157" s="950"/>
    </row>
    <row r="158" spans="1:8" s="23" customFormat="1" ht="14.25">
      <c r="A158" s="236">
        <v>6</v>
      </c>
      <c r="B158" s="951" t="s">
        <v>1637</v>
      </c>
      <c r="C158" s="952"/>
      <c r="D158" s="952"/>
      <c r="E158" s="952"/>
      <c r="F158" s="952"/>
      <c r="G158" s="952"/>
      <c r="H158" s="237"/>
    </row>
    <row r="159" spans="1:8" s="23" customFormat="1" ht="14.25">
      <c r="A159" s="236"/>
      <c r="C159" s="238"/>
      <c r="E159" s="239"/>
      <c r="F159" s="239"/>
      <c r="H159" s="237"/>
    </row>
    <row r="160" spans="1:8" s="23" customFormat="1" ht="14.25">
      <c r="A160" s="236"/>
      <c r="C160" s="238"/>
      <c r="E160" s="239"/>
      <c r="F160" s="239"/>
      <c r="H160" s="237"/>
    </row>
    <row r="161" spans="1:8" s="23" customFormat="1" ht="14.25">
      <c r="A161" s="236"/>
      <c r="C161" s="238"/>
      <c r="E161" s="239"/>
      <c r="F161" s="239"/>
      <c r="H161" s="237"/>
    </row>
    <row r="162" spans="1:8" s="23" customFormat="1" ht="14.25">
      <c r="A162" s="236"/>
      <c r="C162" s="238"/>
      <c r="E162" s="239"/>
      <c r="F162" s="239"/>
      <c r="H162" s="237"/>
    </row>
    <row r="163" spans="1:8" s="23" customFormat="1" ht="14.25">
      <c r="A163" s="236"/>
      <c r="C163" s="238"/>
      <c r="E163" s="239"/>
      <c r="F163" s="239"/>
      <c r="H163" s="237"/>
    </row>
    <row r="164" spans="1:8" s="23" customFormat="1" ht="14.25">
      <c r="A164" s="236"/>
      <c r="C164" s="238"/>
      <c r="E164" s="239"/>
      <c r="F164" s="239"/>
      <c r="H164" s="237"/>
    </row>
    <row r="165" spans="1:8" s="23" customFormat="1" ht="14.25">
      <c r="A165" s="236"/>
      <c r="C165" s="238"/>
      <c r="E165" s="239"/>
      <c r="F165" s="239"/>
      <c r="H165" s="237"/>
    </row>
    <row r="166" spans="1:8" s="23" customFormat="1" ht="14.25">
      <c r="A166" s="236"/>
      <c r="C166" s="238"/>
      <c r="E166" s="239"/>
      <c r="F166" s="239"/>
      <c r="H166" s="237"/>
    </row>
    <row r="167" spans="1:8" s="23" customFormat="1" ht="14.25">
      <c r="A167" s="236"/>
      <c r="C167" s="238"/>
      <c r="E167" s="239"/>
      <c r="F167" s="239"/>
      <c r="H167" s="237"/>
    </row>
    <row r="168" spans="1:8" s="23" customFormat="1" ht="14.25">
      <c r="A168" s="236"/>
      <c r="C168" s="238"/>
      <c r="E168" s="239"/>
      <c r="F168" s="239"/>
      <c r="H168" s="237"/>
    </row>
    <row r="169" spans="1:8" s="23" customFormat="1" ht="14.25">
      <c r="A169" s="236"/>
      <c r="C169" s="238"/>
      <c r="E169" s="239"/>
      <c r="F169" s="239"/>
      <c r="H169" s="237"/>
    </row>
  </sheetData>
  <sheetProtection selectLockedCells="1" selectUnlockedCells="1"/>
  <mergeCells count="21">
    <mergeCell ref="B157:H157"/>
    <mergeCell ref="B158:G158"/>
    <mergeCell ref="I10:J14"/>
    <mergeCell ref="H59:M63"/>
    <mergeCell ref="H122:J124"/>
    <mergeCell ref="D150:F151"/>
    <mergeCell ref="H140:L140"/>
    <mergeCell ref="B153:G153"/>
    <mergeCell ref="B154:H154"/>
    <mergeCell ref="B155:H155"/>
    <mergeCell ref="B156:H156"/>
    <mergeCell ref="H90:M90"/>
    <mergeCell ref="H101:N101"/>
    <mergeCell ref="H115:M115"/>
    <mergeCell ref="H137:M137"/>
    <mergeCell ref="H139:M139"/>
    <mergeCell ref="H54:N54"/>
    <mergeCell ref="H86:M86"/>
    <mergeCell ref="H87:M87"/>
    <mergeCell ref="H88:M88"/>
    <mergeCell ref="H89:M89"/>
  </mergeCells>
  <phoneticPr fontId="120" type="noConversion"/>
  <pageMargins left="0.4" right="0.37" top="0.75" bottom="0.75" header="0.3" footer="0.3"/>
  <pageSetup paperSize="9" orientation="portrait" horizontalDpi="300" verticalDpi="300"/>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 id="{00000000-000E-0000-0900-000001000000}">
            <xm:f>Sheet1!$A$3&lt;&gt;1</xm:f>
            <x14:dxf>
              <font>
                <color theme="3" tint="0.79992065187536243"/>
              </font>
              <fill>
                <patternFill patternType="solid">
                  <bgColor theme="3" tint="0.79992065187536243"/>
                </patternFill>
              </fill>
            </x14:dxf>
          </x14:cfRule>
          <xm:sqref>A1:XFD1048576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0">
    <tabColor rgb="FF92D050"/>
    <pageSetUpPr fitToPage="1"/>
  </sheetPr>
  <dimension ref="A1:Y69"/>
  <sheetViews>
    <sheetView showGridLines="0" zoomScale="85" zoomScaleNormal="85" zoomScaleSheetLayoutView="70" workbookViewId="0">
      <selection activeCell="G17" sqref="G17"/>
    </sheetView>
  </sheetViews>
  <sheetFormatPr defaultColWidth="8.625" defaultRowHeight="15" outlineLevelRow="1"/>
  <cols>
    <col min="1" max="1" width="13.375" style="115" customWidth="1"/>
    <col min="2" max="2" width="8.125" style="115" customWidth="1"/>
    <col min="3" max="3" width="27.125" style="115" customWidth="1"/>
    <col min="4" max="5" width="12.875" style="115" customWidth="1"/>
    <col min="6" max="6" width="19.25" style="123" customWidth="1"/>
    <col min="7" max="7" width="36.875" style="123" customWidth="1"/>
    <col min="8" max="8" width="9" style="115" customWidth="1"/>
    <col min="9" max="9" width="10.625" style="115" customWidth="1"/>
    <col min="10" max="10" width="15.625" style="115" customWidth="1"/>
    <col min="11" max="11" width="27.125" style="115" customWidth="1"/>
    <col min="12" max="12" width="19.875" style="133" customWidth="1"/>
    <col min="13" max="13" width="20.875" style="115" customWidth="1"/>
    <col min="14" max="14" width="17.5" style="115" customWidth="1"/>
    <col min="15" max="15" width="17.125" style="115" customWidth="1"/>
    <col min="16" max="16" width="19.75" style="115" customWidth="1"/>
    <col min="17" max="22" width="14.125" style="115" customWidth="1"/>
    <col min="23" max="23" width="16.375" style="115" customWidth="1"/>
    <col min="24" max="24" width="17.375" style="115" customWidth="1"/>
    <col min="25" max="25" width="14.125" style="115" customWidth="1"/>
    <col min="26" max="16384" width="8.625" style="115"/>
  </cols>
  <sheetData>
    <row r="1" spans="1:24" ht="30" customHeight="1">
      <c r="B1" s="926" t="s">
        <v>1638</v>
      </c>
      <c r="C1" s="919"/>
      <c r="D1" s="919"/>
      <c r="E1" s="919"/>
      <c r="F1" s="919"/>
      <c r="G1" s="919"/>
      <c r="H1" s="919"/>
      <c r="I1" s="919"/>
      <c r="J1" s="919"/>
      <c r="K1" s="919"/>
      <c r="L1" s="134"/>
      <c r="Q1" s="114"/>
      <c r="R1" s="114"/>
      <c r="T1" s="114"/>
    </row>
    <row r="2" spans="1:24" ht="30" customHeight="1">
      <c r="A2" s="135" t="s">
        <v>104</v>
      </c>
      <c r="B2" s="124" t="s">
        <v>37</v>
      </c>
      <c r="C2" s="136" t="s">
        <v>1639</v>
      </c>
      <c r="D2" s="136" t="s">
        <v>262</v>
      </c>
      <c r="E2" s="136" t="s">
        <v>155</v>
      </c>
      <c r="F2" s="136" t="s">
        <v>156</v>
      </c>
      <c r="G2" s="136" t="s">
        <v>246</v>
      </c>
      <c r="H2" s="137" t="s">
        <v>102</v>
      </c>
      <c r="I2" s="138" t="s">
        <v>1640</v>
      </c>
      <c r="J2" s="126" t="s">
        <v>1641</v>
      </c>
      <c r="K2" s="126" t="s">
        <v>248</v>
      </c>
      <c r="L2" s="139" t="s">
        <v>249</v>
      </c>
      <c r="M2" s="140" t="s">
        <v>250</v>
      </c>
      <c r="N2" s="141" t="s">
        <v>251</v>
      </c>
      <c r="O2" s="141" t="s">
        <v>252</v>
      </c>
      <c r="P2" s="141" t="s">
        <v>253</v>
      </c>
      <c r="Q2" s="141" t="s">
        <v>254</v>
      </c>
      <c r="R2" s="141" t="s">
        <v>255</v>
      </c>
      <c r="S2" s="141" t="s">
        <v>256</v>
      </c>
      <c r="T2" s="141" t="s">
        <v>257</v>
      </c>
      <c r="U2" s="141" t="s">
        <v>258</v>
      </c>
      <c r="V2" s="141" t="s">
        <v>259</v>
      </c>
      <c r="W2" s="141" t="s">
        <v>260</v>
      </c>
      <c r="X2" s="141" t="s">
        <v>261</v>
      </c>
    </row>
    <row r="3" spans="1:24" ht="30" customHeight="1" outlineLevel="1">
      <c r="A3" s="141"/>
      <c r="B3" s="142">
        <v>0</v>
      </c>
      <c r="C3" s="143" t="s">
        <v>1642</v>
      </c>
      <c r="D3" s="143"/>
      <c r="E3" s="143"/>
      <c r="F3" s="144"/>
      <c r="G3" s="145"/>
      <c r="H3" s="145"/>
      <c r="I3" s="146"/>
      <c r="J3" s="126"/>
      <c r="K3" s="126"/>
      <c r="L3" s="147"/>
      <c r="M3" s="148"/>
      <c r="N3" s="141"/>
      <c r="O3" s="141"/>
      <c r="P3" s="141"/>
      <c r="Q3" s="141"/>
      <c r="R3" s="141"/>
      <c r="S3" s="141"/>
      <c r="T3" s="135"/>
      <c r="U3" s="141"/>
      <c r="V3" s="141"/>
      <c r="W3" s="141"/>
      <c r="X3" s="141"/>
    </row>
    <row r="4" spans="1:24" ht="30" customHeight="1">
      <c r="A4" s="141"/>
      <c r="B4" s="124" t="str">
        <f>IFERROR(IF(B3=SUM(报价辅助计算!A:A),"-",部件清单!B3+1),"-")</f>
        <v>-</v>
      </c>
      <c r="C4" s="130" t="str">
        <f>IFERROR(VLOOKUP($B4,报价辅助计算!$B:$I,2,0),"-")</f>
        <v>-</v>
      </c>
      <c r="D4" s="130" t="str">
        <f>IFERROR(IF(VLOOKUP($B4,报价辅助计算!$B:$BZ,68,0)="Q355","Q355","-"),"-")</f>
        <v>-</v>
      </c>
      <c r="E4" s="130" t="str">
        <f>IFERROR(VLOOKUP($B4,报价辅助计算!$B:$BZ,69,0),"-")</f>
        <v>-</v>
      </c>
      <c r="F4" s="130" t="str">
        <f>IFERROR(VLOOKUP($B4,报价辅助计算!$B:$BN,49,0),"-")</f>
        <v>-</v>
      </c>
      <c r="G4" s="130" t="str">
        <f>IFERROR(VLOOKUP($B4,报价辅助计算!$B:$BN,50,0),"-")</f>
        <v>-</v>
      </c>
      <c r="H4" s="130" t="str">
        <f>IFERROR(VLOOKUP($B4,报价辅助计算!$B:$BN,51,0),"-")</f>
        <v>-</v>
      </c>
      <c r="I4" s="149" t="str">
        <f>IFERROR(VLOOKUP($B4,报价辅助计算!$B:$BN,52,0),"-")</f>
        <v>-</v>
      </c>
      <c r="J4" s="149" t="str">
        <f>IFERROR(VLOOKUP($B4,报价辅助计算!$B:$BN,53,0),"-")</f>
        <v>-</v>
      </c>
      <c r="K4" s="130" t="str">
        <f>IFERROR(VLOOKUP($B4,报价辅助计算!$B:$BN,54,0),"-")</f>
        <v>-</v>
      </c>
      <c r="L4" s="150" t="str">
        <f>IFERROR(VLOOKUP($B4,报价辅助计算!$B:$BN,55,0),"-")</f>
        <v>-</v>
      </c>
      <c r="M4" s="130" t="str">
        <f>IFERROR(VLOOKUP($B4,报价辅助计算!$B:$BN,56,0),"-")</f>
        <v>-</v>
      </c>
      <c r="N4" s="130" t="str">
        <f>IFERROR(VLOOKUP($B4,报价辅助计算!$B:$BN,57,0),"-")</f>
        <v>-</v>
      </c>
      <c r="O4" s="130" t="str">
        <f>IFERROR(VLOOKUP($B4,报价辅助计算!$B:$BN,58,0),"-")</f>
        <v>-</v>
      </c>
      <c r="P4" s="149" t="str">
        <f>IFERROR(VLOOKUP($B4,报价辅助计算!$B:$BN,59,0),"-")</f>
        <v>-</v>
      </c>
      <c r="Q4" s="149" t="str">
        <f>IFERROR(VLOOKUP($B4,报价辅助计算!$B:$BN,60,0),"-")</f>
        <v>-</v>
      </c>
      <c r="R4" s="130" t="str">
        <f>IFERROR(VLOOKUP($B4,报价辅助计算!$B:$BN,61,0),"-")</f>
        <v>-</v>
      </c>
      <c r="S4" s="149" t="str">
        <f>IFERROR(VLOOKUP($B4,报价辅助计算!$B:$BN,62,0),"-")</f>
        <v>-</v>
      </c>
      <c r="T4" s="149" t="str">
        <f>IFERROR(VLOOKUP($B4,报价辅助计算!$B:$BN,63,0),"-")</f>
        <v>-</v>
      </c>
      <c r="U4" s="149" t="str">
        <f>IFERROR(VLOOKUP($B4,报价辅助计算!$B:$BN,64,0),"-")</f>
        <v>-</v>
      </c>
      <c r="V4" s="149" t="str">
        <f>IFERROR(VLOOKUP($B4,报价辅助计算!$B:$BN,65,0),"-")</f>
        <v>-</v>
      </c>
      <c r="W4" s="149" t="str">
        <f>IFERROR(VLOOKUP($B4,报价辅助计算!$B:$BZ,66,0),"-")</f>
        <v>-</v>
      </c>
      <c r="X4" s="149" t="str">
        <f>IFERROR(VLOOKUP($B4,报价辅助计算!$B:$BZ,67,0),"-")</f>
        <v>-</v>
      </c>
    </row>
    <row r="5" spans="1:24" ht="26.25" customHeight="1">
      <c r="A5" s="971" t="s">
        <v>1643</v>
      </c>
      <c r="B5" s="973" t="s">
        <v>1644</v>
      </c>
      <c r="C5" s="151" t="s">
        <v>450</v>
      </c>
      <c r="D5" s="135"/>
      <c r="E5" s="152"/>
      <c r="F5" s="153" t="str">
        <f>K4</f>
        <v>-</v>
      </c>
      <c r="G5" s="153" t="str">
        <f>O4</f>
        <v>-</v>
      </c>
      <c r="H5" s="154" t="str">
        <f>N4</f>
        <v>-</v>
      </c>
      <c r="I5" s="155" t="str">
        <f>P4</f>
        <v>-</v>
      </c>
      <c r="J5" s="155" t="str">
        <f>Q4</f>
        <v>-</v>
      </c>
    </row>
    <row r="6" spans="1:24" ht="26.25" customHeight="1">
      <c r="A6" s="972"/>
      <c r="B6" s="974"/>
      <c r="C6" s="156" t="s">
        <v>454</v>
      </c>
      <c r="D6" s="135"/>
      <c r="E6" s="135"/>
      <c r="F6" s="157" t="str">
        <f>K4</f>
        <v>-</v>
      </c>
      <c r="G6" s="157" t="str">
        <f>S4</f>
        <v>-</v>
      </c>
      <c r="H6" s="141" t="str">
        <f>R4</f>
        <v>-</v>
      </c>
      <c r="I6" s="158" t="str">
        <f>T4</f>
        <v>-</v>
      </c>
      <c r="J6" s="158" t="str">
        <f>U4</f>
        <v>-</v>
      </c>
    </row>
    <row r="7" spans="1:24" ht="26.25" customHeight="1">
      <c r="A7" s="972"/>
      <c r="B7" s="974"/>
      <c r="C7" s="156" t="s">
        <v>459</v>
      </c>
      <c r="D7" s="135"/>
      <c r="E7" s="135"/>
      <c r="F7" s="159" t="str">
        <f>L4</f>
        <v>-</v>
      </c>
      <c r="G7" s="157"/>
      <c r="H7" s="141" t="str">
        <f>V4</f>
        <v>-</v>
      </c>
      <c r="I7" s="158" t="str">
        <f>W4</f>
        <v>-</v>
      </c>
      <c r="J7" s="158" t="str">
        <f>X4</f>
        <v>-</v>
      </c>
    </row>
    <row r="8" spans="1:24" ht="30" customHeight="1">
      <c r="A8" s="141"/>
      <c r="B8" s="124" t="str">
        <f>IFERROR(IF(B4=SUM(报价辅助计算!A:A),"-",部件清单!B4+1),"-")</f>
        <v>-</v>
      </c>
      <c r="C8" s="130" t="str">
        <f>IFERROR(VLOOKUP($B8,报价辅助计算!$B:$I,2,0),"-")</f>
        <v>-</v>
      </c>
      <c r="D8" s="130" t="str">
        <f>IFERROR(IF(VLOOKUP($B8,报价辅助计算!$B:$BZ,68,0)="Q355","Q355","-"),"-")</f>
        <v>-</v>
      </c>
      <c r="E8" s="130" t="str">
        <f>IFERROR(VLOOKUP($B8,报价辅助计算!$B:$BZ,69,0),"-")</f>
        <v>-</v>
      </c>
      <c r="F8" s="130" t="str">
        <f>IFERROR(VLOOKUP($B8,报价辅助计算!$B:$BN,49,0),"-")</f>
        <v>-</v>
      </c>
      <c r="G8" s="130" t="str">
        <f>IFERROR(VLOOKUP($B8,报价辅助计算!$B:$BN,50,0),"-")</f>
        <v>-</v>
      </c>
      <c r="H8" s="130" t="str">
        <f>IFERROR(VLOOKUP($B8,报价辅助计算!$B:$BN,51,0),"-")</f>
        <v>-</v>
      </c>
      <c r="I8" s="149" t="str">
        <f>IFERROR(VLOOKUP($B8,报价辅助计算!$B:$BN,52,0),"-")</f>
        <v>-</v>
      </c>
      <c r="J8" s="149" t="str">
        <f>IFERROR(VLOOKUP($B8,报价辅助计算!$B:$BN,53,0),"-")</f>
        <v>-</v>
      </c>
      <c r="K8" s="130" t="str">
        <f>IFERROR(VLOOKUP($B8,报价辅助计算!$B:$BN,54,0),"-")</f>
        <v>-</v>
      </c>
      <c r="L8" s="150" t="str">
        <f>IFERROR(VLOOKUP($B8,报价辅助计算!$B:$BN,55,0),"-")</f>
        <v>-</v>
      </c>
      <c r="M8" s="130" t="str">
        <f>IFERROR(VLOOKUP($B8,报价辅助计算!$B:$BN,56,0),"-")</f>
        <v>-</v>
      </c>
      <c r="N8" s="130" t="str">
        <f>IFERROR(VLOOKUP($B8,报价辅助计算!$B:$BN,57,0),"-")</f>
        <v>-</v>
      </c>
      <c r="O8" s="130" t="str">
        <f>IFERROR(VLOOKUP($B8,报价辅助计算!$B:$BN,58,0),"-")</f>
        <v>-</v>
      </c>
      <c r="P8" s="149" t="str">
        <f>IFERROR(VLOOKUP($B8,报价辅助计算!$B:$BN,59,0),"-")</f>
        <v>-</v>
      </c>
      <c r="Q8" s="149" t="str">
        <f>IFERROR(VLOOKUP($B8,报价辅助计算!$B:$BN,60,0),"-")</f>
        <v>-</v>
      </c>
      <c r="R8" s="130" t="str">
        <f>IFERROR(VLOOKUP($B8,报价辅助计算!$B:$BN,61,0),"-")</f>
        <v>-</v>
      </c>
      <c r="S8" s="149" t="str">
        <f>IFERROR(VLOOKUP($B8,报价辅助计算!$B:$BN,62,0),"-")</f>
        <v>-</v>
      </c>
      <c r="T8" s="149" t="str">
        <f>IFERROR(VLOOKUP($B8,报价辅助计算!$B:$BN,63,0),"-")</f>
        <v>-</v>
      </c>
      <c r="U8" s="149" t="str">
        <f>IFERROR(VLOOKUP($B8,报价辅助计算!$B:$BN,64,0),"-")</f>
        <v>-</v>
      </c>
      <c r="V8" s="149" t="str">
        <f>IFERROR(VLOOKUP($B8,报价辅助计算!$B:$BN,65,0),"-")</f>
        <v>-</v>
      </c>
      <c r="W8" s="149" t="str">
        <f>IFERROR(VLOOKUP($B8,报价辅助计算!$B:$BZ,66,0),"-")</f>
        <v>-</v>
      </c>
      <c r="X8" s="149" t="str">
        <f>IFERROR(VLOOKUP($B8,报价辅助计算!$B:$BZ,67,0),"-")</f>
        <v>-</v>
      </c>
    </row>
    <row r="9" spans="1:24" ht="26.25" customHeight="1">
      <c r="A9" s="971" t="s">
        <v>1643</v>
      </c>
      <c r="B9" s="973" t="s">
        <v>1644</v>
      </c>
      <c r="C9" s="151" t="s">
        <v>450</v>
      </c>
      <c r="D9" s="135"/>
      <c r="E9" s="152"/>
      <c r="F9" s="153" t="str">
        <f>K8</f>
        <v>-</v>
      </c>
      <c r="G9" s="153" t="str">
        <f>O8</f>
        <v>-</v>
      </c>
      <c r="H9" s="154" t="str">
        <f>N8</f>
        <v>-</v>
      </c>
      <c r="I9" s="155" t="str">
        <f>P8</f>
        <v>-</v>
      </c>
      <c r="J9" s="155" t="str">
        <f>Q8</f>
        <v>-</v>
      </c>
    </row>
    <row r="10" spans="1:24" ht="26.25" customHeight="1">
      <c r="A10" s="972"/>
      <c r="B10" s="974"/>
      <c r="C10" s="156" t="s">
        <v>454</v>
      </c>
      <c r="D10" s="135"/>
      <c r="E10" s="135"/>
      <c r="F10" s="157" t="str">
        <f>K8</f>
        <v>-</v>
      </c>
      <c r="G10" s="157" t="str">
        <f>S8</f>
        <v>-</v>
      </c>
      <c r="H10" s="141" t="str">
        <f>R8</f>
        <v>-</v>
      </c>
      <c r="I10" s="158" t="str">
        <f>T8</f>
        <v>-</v>
      </c>
      <c r="J10" s="158" t="str">
        <f>U8</f>
        <v>-</v>
      </c>
    </row>
    <row r="11" spans="1:24" ht="26.25" customHeight="1">
      <c r="A11" s="972"/>
      <c r="B11" s="974"/>
      <c r="C11" s="156" t="s">
        <v>459</v>
      </c>
      <c r="D11" s="135"/>
      <c r="E11" s="135"/>
      <c r="F11" s="159" t="str">
        <f>L8</f>
        <v>-</v>
      </c>
      <c r="G11" s="157"/>
      <c r="H11" s="141" t="str">
        <f>V8</f>
        <v>-</v>
      </c>
      <c r="I11" s="158" t="str">
        <f>W8</f>
        <v>-</v>
      </c>
      <c r="J11" s="158" t="str">
        <f>X8</f>
        <v>-</v>
      </c>
    </row>
    <row r="12" spans="1:24" ht="30" customHeight="1">
      <c r="A12" s="141"/>
      <c r="B12" s="124" t="str">
        <f>IFERROR(IF(B8=SUM(报价辅助计算!A:A),"-",部件清单!B8+1),"-")</f>
        <v>-</v>
      </c>
      <c r="C12" s="130" t="str">
        <f>IFERROR(VLOOKUP($B12,报价辅助计算!$B:$I,2,0),"-")</f>
        <v>-</v>
      </c>
      <c r="D12" s="130" t="str">
        <f>IFERROR(IF(VLOOKUP($B12,报价辅助计算!$B:$BZ,68,0)="Q355","Q355","-"),"-")</f>
        <v>-</v>
      </c>
      <c r="E12" s="130" t="str">
        <f>IFERROR(VLOOKUP($B12,报价辅助计算!$B:$BZ,69,0),"-")</f>
        <v>-</v>
      </c>
      <c r="F12" s="130" t="str">
        <f>IFERROR(VLOOKUP($B12,报价辅助计算!$B:$BN,49,0),"-")</f>
        <v>-</v>
      </c>
      <c r="G12" s="130" t="str">
        <f>IFERROR(VLOOKUP($B12,报价辅助计算!$B:$BN,50,0),"-")</f>
        <v>-</v>
      </c>
      <c r="H12" s="130" t="str">
        <f>IFERROR(VLOOKUP($B12,报价辅助计算!$B:$BN,51,0),"-")</f>
        <v>-</v>
      </c>
      <c r="I12" s="149" t="str">
        <f>IFERROR(VLOOKUP($B12,报价辅助计算!$B:$BN,52,0),"-")</f>
        <v>-</v>
      </c>
      <c r="J12" s="149" t="str">
        <f>IFERROR(VLOOKUP($B12,报价辅助计算!$B:$BN,53,0),"-")</f>
        <v>-</v>
      </c>
      <c r="K12" s="130" t="str">
        <f>IFERROR(VLOOKUP($B12,报价辅助计算!$B:$BN,54,0),"-")</f>
        <v>-</v>
      </c>
      <c r="L12" s="150" t="str">
        <f>IFERROR(VLOOKUP($B12,报价辅助计算!$B:$BN,55,0),"-")</f>
        <v>-</v>
      </c>
      <c r="M12" s="130" t="str">
        <f>IFERROR(VLOOKUP($B12,报价辅助计算!$B:$BN,56,0),"-")</f>
        <v>-</v>
      </c>
      <c r="N12" s="130" t="str">
        <f>IFERROR(VLOOKUP($B12,报价辅助计算!$B:$BN,57,0),"-")</f>
        <v>-</v>
      </c>
      <c r="O12" s="130" t="str">
        <f>IFERROR(VLOOKUP($B12,报价辅助计算!$B:$BN,58,0),"-")</f>
        <v>-</v>
      </c>
      <c r="P12" s="149" t="str">
        <f>IFERROR(VLOOKUP($B12,报价辅助计算!$B:$BN,59,0),"-")</f>
        <v>-</v>
      </c>
      <c r="Q12" s="149" t="str">
        <f>IFERROR(VLOOKUP($B12,报价辅助计算!$B:$BN,60,0),"-")</f>
        <v>-</v>
      </c>
      <c r="R12" s="130" t="str">
        <f>IFERROR(VLOOKUP($B12,报价辅助计算!$B:$BN,61,0),"-")</f>
        <v>-</v>
      </c>
      <c r="S12" s="149" t="str">
        <f>IFERROR(VLOOKUP($B12,报价辅助计算!$B:$BN,62,0),"-")</f>
        <v>-</v>
      </c>
      <c r="T12" s="149" t="str">
        <f>IFERROR(VLOOKUP($B12,报价辅助计算!$B:$BN,63,0),"-")</f>
        <v>-</v>
      </c>
      <c r="U12" s="149" t="str">
        <f>IFERROR(VLOOKUP($B12,报价辅助计算!$B:$BN,64,0),"-")</f>
        <v>-</v>
      </c>
      <c r="V12" s="149" t="str">
        <f>IFERROR(VLOOKUP($B12,报价辅助计算!$B:$BN,65,0),"-")</f>
        <v>-</v>
      </c>
      <c r="W12" s="149" t="str">
        <f>IFERROR(VLOOKUP($B12,报价辅助计算!$B:$BZ,66,0),"-")</f>
        <v>-</v>
      </c>
      <c r="X12" s="149" t="str">
        <f>IFERROR(VLOOKUP($B12,报价辅助计算!$B:$BZ,67,0),"-")</f>
        <v>-</v>
      </c>
    </row>
    <row r="13" spans="1:24" ht="30" customHeight="1">
      <c r="A13" s="141"/>
      <c r="B13" s="124" t="str">
        <f>IFERROR(IF(B12=SUM(报价辅助计算!A:A),"-",部件清单!B12+1),"-")</f>
        <v>-</v>
      </c>
      <c r="C13" s="130" t="str">
        <f>IFERROR(VLOOKUP($B13,报价辅助计算!$B:$I,2,0),"-")</f>
        <v>-</v>
      </c>
      <c r="D13" s="130" t="str">
        <f>IFERROR(IF(VLOOKUP($B13,报价辅助计算!$B:$BZ,68,0)="Q355","Q355","-"),"-")</f>
        <v>-</v>
      </c>
      <c r="E13" s="130" t="str">
        <f>IFERROR(VLOOKUP($B13,报价辅助计算!$B:$BZ,69,0),"-")</f>
        <v>-</v>
      </c>
      <c r="F13" s="130" t="str">
        <f>IFERROR(VLOOKUP($B13,报价辅助计算!$B:$BN,49,0),"-")</f>
        <v>-</v>
      </c>
      <c r="G13" s="130" t="str">
        <f>IFERROR(VLOOKUP($B13,报价辅助计算!$B:$BN,50,0),"-")</f>
        <v>-</v>
      </c>
      <c r="H13" s="130" t="str">
        <f>IFERROR(VLOOKUP($B13,报价辅助计算!$B:$BN,51,0),"-")</f>
        <v>-</v>
      </c>
      <c r="I13" s="149" t="str">
        <f>IFERROR(VLOOKUP($B13,报价辅助计算!$B:$BN,52,0),"-")</f>
        <v>-</v>
      </c>
      <c r="J13" s="149" t="str">
        <f>IFERROR(VLOOKUP($B13,报价辅助计算!$B:$BN,53,0),"-")</f>
        <v>-</v>
      </c>
      <c r="K13" s="130" t="str">
        <f>IFERROR(VLOOKUP($B13,报价辅助计算!$B:$BN,54,0),"-")</f>
        <v>-</v>
      </c>
      <c r="L13" s="150" t="str">
        <f>IFERROR(VLOOKUP($B13,报价辅助计算!$B:$BN,55,0),"-")</f>
        <v>-</v>
      </c>
      <c r="M13" s="130" t="str">
        <f>IFERROR(VLOOKUP($B13,报价辅助计算!$B:$BN,56,0),"-")</f>
        <v>-</v>
      </c>
      <c r="N13" s="130" t="str">
        <f>IFERROR(VLOOKUP($B13,报价辅助计算!$B:$BN,57,0),"-")</f>
        <v>-</v>
      </c>
      <c r="O13" s="130" t="str">
        <f>IFERROR(VLOOKUP($B13,报价辅助计算!$B:$BN,58,0),"-")</f>
        <v>-</v>
      </c>
      <c r="P13" s="149" t="str">
        <f>IFERROR(VLOOKUP($B13,报价辅助计算!$B:$BN,59,0),"-")</f>
        <v>-</v>
      </c>
      <c r="Q13" s="149" t="str">
        <f>IFERROR(VLOOKUP($B13,报价辅助计算!$B:$BN,60,0),"-")</f>
        <v>-</v>
      </c>
      <c r="R13" s="130" t="str">
        <f>IFERROR(VLOOKUP($B13,报价辅助计算!$B:$BN,61,0),"-")</f>
        <v>-</v>
      </c>
      <c r="S13" s="149" t="str">
        <f>IFERROR(VLOOKUP($B13,报价辅助计算!$B:$BN,62,0),"-")</f>
        <v>-</v>
      </c>
      <c r="T13" s="149" t="str">
        <f>IFERROR(VLOOKUP($B13,报价辅助计算!$B:$BN,63,0),"-")</f>
        <v>-</v>
      </c>
      <c r="U13" s="149" t="str">
        <f>IFERROR(VLOOKUP($B13,报价辅助计算!$B:$BN,64,0),"-")</f>
        <v>-</v>
      </c>
      <c r="V13" s="149" t="str">
        <f>IFERROR(VLOOKUP($B13,报价辅助计算!$B:$BN,65,0),"-")</f>
        <v>-</v>
      </c>
      <c r="W13" s="149" t="str">
        <f>IFERROR(VLOOKUP($B13,报价辅助计算!$B:$BZ,66,0),"-")</f>
        <v>-</v>
      </c>
      <c r="X13" s="149" t="str">
        <f>IFERROR(VLOOKUP($B13,报价辅助计算!$B:$BZ,67,0),"-")</f>
        <v>-</v>
      </c>
    </row>
    <row r="14" spans="1:24" ht="30" customHeight="1">
      <c r="A14" s="141"/>
      <c r="B14" s="124" t="str">
        <f>IFERROR(IF(B13=SUM(报价辅助计算!A:A),"-",部件清单!B13+1),"-")</f>
        <v>-</v>
      </c>
      <c r="C14" s="130" t="str">
        <f>IFERROR(VLOOKUP($B14,报价辅助计算!$B:$I,2,0),"-")</f>
        <v>-</v>
      </c>
      <c r="D14" s="130" t="str">
        <f>IFERROR(IF(VLOOKUP($B14,报价辅助计算!$B:$BZ,68,0)="Q355","Q355","-"),"-")</f>
        <v>-</v>
      </c>
      <c r="E14" s="130" t="str">
        <f>IFERROR(VLOOKUP($B14,报价辅助计算!$B:$BZ,69,0),"-")</f>
        <v>-</v>
      </c>
      <c r="F14" s="130" t="str">
        <f>IFERROR(VLOOKUP($B14,报价辅助计算!$B:$BN,49,0),"-")</f>
        <v>-</v>
      </c>
      <c r="G14" s="130" t="str">
        <f>IFERROR(VLOOKUP($B14,报价辅助计算!$B:$BN,50,0),"-")</f>
        <v>-</v>
      </c>
      <c r="H14" s="130" t="str">
        <f>IFERROR(VLOOKUP($B14,报价辅助计算!$B:$BN,51,0),"-")</f>
        <v>-</v>
      </c>
      <c r="I14" s="149" t="str">
        <f>IFERROR(VLOOKUP($B14,报价辅助计算!$B:$BN,52,0),"-")</f>
        <v>-</v>
      </c>
      <c r="J14" s="149" t="str">
        <f>IFERROR(VLOOKUP($B14,报价辅助计算!$B:$BN,53,0),"-")</f>
        <v>-</v>
      </c>
      <c r="K14" s="130" t="str">
        <f>IFERROR(VLOOKUP($B14,报价辅助计算!$B:$BN,54,0),"-")</f>
        <v>-</v>
      </c>
      <c r="L14" s="150" t="str">
        <f>IFERROR(VLOOKUP($B14,报价辅助计算!$B:$BN,55,0),"-")</f>
        <v>-</v>
      </c>
      <c r="M14" s="130" t="str">
        <f>IFERROR(VLOOKUP($B14,报价辅助计算!$B:$BN,56,0),"-")</f>
        <v>-</v>
      </c>
      <c r="N14" s="130" t="str">
        <f>IFERROR(VLOOKUP($B14,报价辅助计算!$B:$BN,57,0),"-")</f>
        <v>-</v>
      </c>
      <c r="O14" s="130" t="str">
        <f>IFERROR(VLOOKUP($B14,报价辅助计算!$B:$BN,58,0),"-")</f>
        <v>-</v>
      </c>
      <c r="P14" s="149" t="str">
        <f>IFERROR(VLOOKUP($B14,报价辅助计算!$B:$BN,59,0),"-")</f>
        <v>-</v>
      </c>
      <c r="Q14" s="149" t="str">
        <f>IFERROR(VLOOKUP($B14,报价辅助计算!$B:$BN,60,0),"-")</f>
        <v>-</v>
      </c>
      <c r="R14" s="130" t="str">
        <f>IFERROR(VLOOKUP($B14,报价辅助计算!$B:$BN,61,0),"-")</f>
        <v>-</v>
      </c>
      <c r="S14" s="149" t="str">
        <f>IFERROR(VLOOKUP($B14,报价辅助计算!$B:$BN,62,0),"-")</f>
        <v>-</v>
      </c>
      <c r="T14" s="149" t="str">
        <f>IFERROR(VLOOKUP($B14,报价辅助计算!$B:$BN,63,0),"-")</f>
        <v>-</v>
      </c>
      <c r="U14" s="149" t="str">
        <f>IFERROR(VLOOKUP($B14,报价辅助计算!$B:$BN,64,0),"-")</f>
        <v>-</v>
      </c>
      <c r="V14" s="149" t="str">
        <f>IFERROR(VLOOKUP($B14,报价辅助计算!$B:$BN,65,0),"-")</f>
        <v>-</v>
      </c>
      <c r="W14" s="149" t="str">
        <f>IFERROR(VLOOKUP($B14,报价辅助计算!$B:$BZ,66,0),"-")</f>
        <v>-</v>
      </c>
      <c r="X14" s="149" t="str">
        <f>IFERROR(VLOOKUP($B14,报价辅助计算!$B:$BZ,67,0),"-")</f>
        <v>-</v>
      </c>
    </row>
    <row r="15" spans="1:24" ht="30" customHeight="1">
      <c r="A15" s="141"/>
      <c r="B15" s="124" t="str">
        <f>IFERROR(IF(B14=SUM(报价辅助计算!A:A),"-",部件清单!B14+1),"-")</f>
        <v>-</v>
      </c>
      <c r="C15" s="130" t="str">
        <f>IFERROR(VLOOKUP($B15,报价辅助计算!$B:$I,2,0),"-")</f>
        <v>-</v>
      </c>
      <c r="D15" s="130" t="str">
        <f>IFERROR(IF(VLOOKUP($B15,报价辅助计算!$B:$BZ,68,0)="Q355","Q355","-"),"-")</f>
        <v>-</v>
      </c>
      <c r="E15" s="130" t="str">
        <f>IFERROR(VLOOKUP($B15,报价辅助计算!$B:$BZ,69,0),"-")</f>
        <v>-</v>
      </c>
      <c r="F15" s="130" t="str">
        <f>IFERROR(VLOOKUP($B15,报价辅助计算!$B:$BN,49,0),"-")</f>
        <v>-</v>
      </c>
      <c r="G15" s="130" t="str">
        <f>IFERROR(VLOOKUP($B15,报价辅助计算!$B:$BN,50,0),"-")</f>
        <v>-</v>
      </c>
      <c r="H15" s="130" t="str">
        <f>IFERROR(VLOOKUP($B15,报价辅助计算!$B:$BN,51,0),"-")</f>
        <v>-</v>
      </c>
      <c r="I15" s="149" t="str">
        <f>IFERROR(VLOOKUP($B15,报价辅助计算!$B:$BN,52,0),"-")</f>
        <v>-</v>
      </c>
      <c r="J15" s="149" t="str">
        <f>IFERROR(VLOOKUP($B15,报价辅助计算!$B:$BN,53,0),"-")</f>
        <v>-</v>
      </c>
      <c r="K15" s="130" t="str">
        <f>IFERROR(VLOOKUP($B15,报价辅助计算!$B:$BN,54,0),"-")</f>
        <v>-</v>
      </c>
      <c r="L15" s="150" t="str">
        <f>IFERROR(VLOOKUP($B15,报价辅助计算!$B:$BN,55,0),"-")</f>
        <v>-</v>
      </c>
      <c r="M15" s="130" t="str">
        <f>IFERROR(VLOOKUP($B15,报价辅助计算!$B:$BN,56,0),"-")</f>
        <v>-</v>
      </c>
      <c r="N15" s="130" t="str">
        <f>IFERROR(VLOOKUP($B15,报价辅助计算!$B:$BN,57,0),"-")</f>
        <v>-</v>
      </c>
      <c r="O15" s="130" t="str">
        <f>IFERROR(VLOOKUP($B15,报价辅助计算!$B:$BN,58,0),"-")</f>
        <v>-</v>
      </c>
      <c r="P15" s="149" t="str">
        <f>IFERROR(VLOOKUP($B15,报价辅助计算!$B:$BN,59,0),"-")</f>
        <v>-</v>
      </c>
      <c r="Q15" s="149" t="str">
        <f>IFERROR(VLOOKUP($B15,报价辅助计算!$B:$BN,60,0),"-")</f>
        <v>-</v>
      </c>
      <c r="R15" s="130" t="str">
        <f>IFERROR(VLOOKUP($B15,报价辅助计算!$B:$BN,61,0),"-")</f>
        <v>-</v>
      </c>
      <c r="S15" s="149" t="str">
        <f>IFERROR(VLOOKUP($B15,报价辅助计算!$B:$BN,62,0),"-")</f>
        <v>-</v>
      </c>
      <c r="T15" s="149" t="str">
        <f>IFERROR(VLOOKUP($B15,报价辅助计算!$B:$BN,63,0),"-")</f>
        <v>-</v>
      </c>
      <c r="U15" s="149" t="str">
        <f>IFERROR(VLOOKUP($B15,报价辅助计算!$B:$BN,64,0),"-")</f>
        <v>-</v>
      </c>
      <c r="V15" s="149" t="str">
        <f>IFERROR(VLOOKUP($B15,报价辅助计算!$B:$BN,65,0),"-")</f>
        <v>-</v>
      </c>
      <c r="W15" s="149" t="str">
        <f>IFERROR(VLOOKUP($B15,报价辅助计算!$B:$BZ,66,0),"-")</f>
        <v>-</v>
      </c>
      <c r="X15" s="149" t="str">
        <f>IFERROR(VLOOKUP($B15,报价辅助计算!$B:$BZ,67,0),"-")</f>
        <v>-</v>
      </c>
    </row>
    <row r="16" spans="1:24" ht="30" customHeight="1">
      <c r="A16" s="141"/>
      <c r="B16" s="124" t="str">
        <f>IFERROR(IF(B15=SUM(报价辅助计算!A:A),"-",部件清单!B15+1),"-")</f>
        <v>-</v>
      </c>
      <c r="C16" s="130" t="str">
        <f>IFERROR(VLOOKUP($B16,报价辅助计算!$B:$I,2,0),"-")</f>
        <v>-</v>
      </c>
      <c r="D16" s="130" t="str">
        <f>IFERROR(IF(VLOOKUP($B16,报价辅助计算!$B:$BZ,68,0)="Q355","Q355","-"),"-")</f>
        <v>-</v>
      </c>
      <c r="E16" s="130" t="str">
        <f>IFERROR(VLOOKUP($B16,报价辅助计算!$B:$BZ,69,0),"-")</f>
        <v>-</v>
      </c>
      <c r="F16" s="130" t="str">
        <f>IFERROR(VLOOKUP($B16,报价辅助计算!$B:$BN,49,0),"-")</f>
        <v>-</v>
      </c>
      <c r="G16" s="130" t="str">
        <f>IFERROR(VLOOKUP($B16,报价辅助计算!$B:$BN,50,0),"-")</f>
        <v>-</v>
      </c>
      <c r="H16" s="130" t="str">
        <f>IFERROR(VLOOKUP($B16,报价辅助计算!$B:$BN,51,0),"-")</f>
        <v>-</v>
      </c>
      <c r="I16" s="149" t="str">
        <f>IFERROR(VLOOKUP($B16,报价辅助计算!$B:$BN,52,0),"-")</f>
        <v>-</v>
      </c>
      <c r="J16" s="149" t="str">
        <f>IFERROR(VLOOKUP($B16,报价辅助计算!$B:$BN,53,0),"-")</f>
        <v>-</v>
      </c>
      <c r="K16" s="130" t="str">
        <f>IFERROR(VLOOKUP($B16,报价辅助计算!$B:$BN,54,0),"-")</f>
        <v>-</v>
      </c>
      <c r="L16" s="150" t="str">
        <f>IFERROR(VLOOKUP($B16,报价辅助计算!$B:$BN,55,0),"-")</f>
        <v>-</v>
      </c>
      <c r="M16" s="130" t="str">
        <f>IFERROR(VLOOKUP($B16,报价辅助计算!$B:$BN,56,0),"-")</f>
        <v>-</v>
      </c>
      <c r="N16" s="130" t="str">
        <f>IFERROR(VLOOKUP($B16,报价辅助计算!$B:$BN,57,0),"-")</f>
        <v>-</v>
      </c>
      <c r="O16" s="130" t="str">
        <f>IFERROR(VLOOKUP($B16,报价辅助计算!$B:$BN,58,0),"-")</f>
        <v>-</v>
      </c>
      <c r="P16" s="149" t="str">
        <f>IFERROR(VLOOKUP($B16,报价辅助计算!$B:$BN,59,0),"-")</f>
        <v>-</v>
      </c>
      <c r="Q16" s="149" t="str">
        <f>IFERROR(VLOOKUP($B16,报价辅助计算!$B:$BN,60,0),"-")</f>
        <v>-</v>
      </c>
      <c r="R16" s="130" t="str">
        <f>IFERROR(VLOOKUP($B16,报价辅助计算!$B:$BN,61,0),"-")</f>
        <v>-</v>
      </c>
      <c r="S16" s="149" t="str">
        <f>IFERROR(VLOOKUP($B16,报价辅助计算!$B:$BN,62,0),"-")</f>
        <v>-</v>
      </c>
      <c r="T16" s="149" t="str">
        <f>IFERROR(VLOOKUP($B16,报价辅助计算!$B:$BN,63,0),"-")</f>
        <v>-</v>
      </c>
      <c r="U16" s="149" t="str">
        <f>IFERROR(VLOOKUP($B16,报价辅助计算!$B:$BN,64,0),"-")</f>
        <v>-</v>
      </c>
      <c r="V16" s="149" t="str">
        <f>IFERROR(VLOOKUP($B16,报价辅助计算!$B:$BN,65,0),"-")</f>
        <v>-</v>
      </c>
      <c r="W16" s="149" t="str">
        <f>IFERROR(VLOOKUP($B16,报价辅助计算!$B:$BZ,66,0),"-")</f>
        <v>-</v>
      </c>
      <c r="X16" s="149" t="str">
        <f>IFERROR(VLOOKUP($B16,报价辅助计算!$B:$BZ,67,0),"-")</f>
        <v>-</v>
      </c>
    </row>
    <row r="17" spans="1:24" ht="30" customHeight="1">
      <c r="A17" s="141"/>
      <c r="B17" s="124" t="str">
        <f>IFERROR(IF(B16=SUM(报价辅助计算!A:A),"-",部件清单!B16+1),"-")</f>
        <v>-</v>
      </c>
      <c r="C17" s="130" t="str">
        <f>IFERROR(VLOOKUP($B17,报价辅助计算!$B:$I,2,0),"-")</f>
        <v>-</v>
      </c>
      <c r="D17" s="130" t="str">
        <f>IFERROR(IF(VLOOKUP($B17,报价辅助计算!$B:$BZ,68,0)="Q355","Q355","-"),"-")</f>
        <v>-</v>
      </c>
      <c r="E17" s="130" t="str">
        <f>IFERROR(VLOOKUP($B17,报价辅助计算!$B:$BZ,69,0),"-")</f>
        <v>-</v>
      </c>
      <c r="F17" s="130" t="str">
        <f>IFERROR(VLOOKUP($B17,报价辅助计算!$B:$BN,49,0),"-")</f>
        <v>-</v>
      </c>
      <c r="G17" s="130" t="str">
        <f>IFERROR(VLOOKUP($B17,报价辅助计算!$B:$BN,50,0),"-")</f>
        <v>-</v>
      </c>
      <c r="H17" s="130" t="str">
        <f>IFERROR(VLOOKUP($B17,报价辅助计算!$B:$BN,51,0),"-")</f>
        <v>-</v>
      </c>
      <c r="I17" s="149" t="str">
        <f>IFERROR(VLOOKUP($B17,报价辅助计算!$B:$BN,52,0),"-")</f>
        <v>-</v>
      </c>
      <c r="J17" s="149" t="str">
        <f>IFERROR(VLOOKUP($B17,报价辅助计算!$B:$BN,53,0),"-")</f>
        <v>-</v>
      </c>
      <c r="K17" s="130" t="str">
        <f>IFERROR(VLOOKUP($B17,报价辅助计算!$B:$BN,54,0),"-")</f>
        <v>-</v>
      </c>
      <c r="L17" s="150" t="str">
        <f>IFERROR(VLOOKUP($B17,报价辅助计算!$B:$BN,55,0),"-")</f>
        <v>-</v>
      </c>
      <c r="M17" s="130" t="str">
        <f>IFERROR(VLOOKUP($B17,报价辅助计算!$B:$BN,56,0),"-")</f>
        <v>-</v>
      </c>
      <c r="N17" s="130" t="str">
        <f>IFERROR(VLOOKUP($B17,报价辅助计算!$B:$BN,57,0),"-")</f>
        <v>-</v>
      </c>
      <c r="O17" s="130" t="str">
        <f>IFERROR(VLOOKUP($B17,报价辅助计算!$B:$BN,58,0),"-")</f>
        <v>-</v>
      </c>
      <c r="P17" s="149" t="str">
        <f>IFERROR(VLOOKUP($B17,报价辅助计算!$B:$BN,59,0),"-")</f>
        <v>-</v>
      </c>
      <c r="Q17" s="149" t="str">
        <f>IFERROR(VLOOKUP($B17,报价辅助计算!$B:$BN,60,0),"-")</f>
        <v>-</v>
      </c>
      <c r="R17" s="130" t="str">
        <f>IFERROR(VLOOKUP($B17,报价辅助计算!$B:$BN,61,0),"-")</f>
        <v>-</v>
      </c>
      <c r="S17" s="149" t="str">
        <f>IFERROR(VLOOKUP($B17,报价辅助计算!$B:$BN,62,0),"-")</f>
        <v>-</v>
      </c>
      <c r="T17" s="149" t="str">
        <f>IFERROR(VLOOKUP($B17,报价辅助计算!$B:$BN,63,0),"-")</f>
        <v>-</v>
      </c>
      <c r="U17" s="149" t="str">
        <f>IFERROR(VLOOKUP($B17,报价辅助计算!$B:$BN,64,0),"-")</f>
        <v>-</v>
      </c>
      <c r="V17" s="149" t="str">
        <f>IFERROR(VLOOKUP($B17,报价辅助计算!$B:$BN,65,0),"-")</f>
        <v>-</v>
      </c>
      <c r="W17" s="149" t="str">
        <f>IFERROR(VLOOKUP($B17,报价辅助计算!$B:$BZ,66,0),"-")</f>
        <v>-</v>
      </c>
      <c r="X17" s="149" t="str">
        <f>IFERROR(VLOOKUP($B17,报价辅助计算!$B:$BZ,67,0),"-")</f>
        <v>-</v>
      </c>
    </row>
    <row r="18" spans="1:24" ht="30" customHeight="1">
      <c r="A18" s="141"/>
      <c r="B18" s="124" t="str">
        <f>IFERROR(IF(B17=SUM(报价辅助计算!A:A),"-",部件清单!B17+1),"-")</f>
        <v>-</v>
      </c>
      <c r="C18" s="130" t="str">
        <f>IFERROR(VLOOKUP($B18,报价辅助计算!$B:$I,2,0),"-")</f>
        <v>-</v>
      </c>
      <c r="D18" s="130" t="str">
        <f>IFERROR(IF(VLOOKUP($B18,报价辅助计算!$B:$BZ,68,0)="Q355","Q355","-"),"-")</f>
        <v>-</v>
      </c>
      <c r="E18" s="130" t="str">
        <f>IFERROR(VLOOKUP($B18,报价辅助计算!$B:$BZ,69,0),"-")</f>
        <v>-</v>
      </c>
      <c r="F18" s="130" t="str">
        <f>IFERROR(VLOOKUP($B18,报价辅助计算!$B:$BN,49,0),"-")</f>
        <v>-</v>
      </c>
      <c r="G18" s="130" t="str">
        <f>IFERROR(VLOOKUP($B18,报价辅助计算!$B:$BN,50,0),"-")</f>
        <v>-</v>
      </c>
      <c r="H18" s="130" t="str">
        <f>IFERROR(VLOOKUP($B18,报价辅助计算!$B:$BN,51,0),"-")</f>
        <v>-</v>
      </c>
      <c r="I18" s="149" t="str">
        <f>IFERROR(VLOOKUP($B18,报价辅助计算!$B:$BN,52,0),"-")</f>
        <v>-</v>
      </c>
      <c r="J18" s="149" t="str">
        <f>IFERROR(VLOOKUP($B18,报价辅助计算!$B:$BN,53,0),"-")</f>
        <v>-</v>
      </c>
      <c r="K18" s="130" t="str">
        <f>IFERROR(VLOOKUP($B18,报价辅助计算!$B:$BN,54,0),"-")</f>
        <v>-</v>
      </c>
      <c r="L18" s="150" t="str">
        <f>IFERROR(VLOOKUP($B18,报价辅助计算!$B:$BN,55,0),"-")</f>
        <v>-</v>
      </c>
      <c r="M18" s="130" t="str">
        <f>IFERROR(VLOOKUP($B18,报价辅助计算!$B:$BN,56,0),"-")</f>
        <v>-</v>
      </c>
      <c r="N18" s="130" t="str">
        <f>IFERROR(VLOOKUP($B18,报价辅助计算!$B:$BN,57,0),"-")</f>
        <v>-</v>
      </c>
      <c r="O18" s="130" t="str">
        <f>IFERROR(VLOOKUP($B18,报价辅助计算!$B:$BN,58,0),"-")</f>
        <v>-</v>
      </c>
      <c r="P18" s="149" t="str">
        <f>IFERROR(VLOOKUP($B18,报价辅助计算!$B:$BN,59,0),"-")</f>
        <v>-</v>
      </c>
      <c r="Q18" s="149" t="str">
        <f>IFERROR(VLOOKUP($B18,报价辅助计算!$B:$BN,60,0),"-")</f>
        <v>-</v>
      </c>
      <c r="R18" s="130" t="str">
        <f>IFERROR(VLOOKUP($B18,报价辅助计算!$B:$BN,61,0),"-")</f>
        <v>-</v>
      </c>
      <c r="S18" s="149" t="str">
        <f>IFERROR(VLOOKUP($B18,报价辅助计算!$B:$BN,62,0),"-")</f>
        <v>-</v>
      </c>
      <c r="T18" s="149" t="str">
        <f>IFERROR(VLOOKUP($B18,报价辅助计算!$B:$BN,63,0),"-")</f>
        <v>-</v>
      </c>
      <c r="U18" s="149" t="str">
        <f>IFERROR(VLOOKUP($B18,报价辅助计算!$B:$BN,64,0),"-")</f>
        <v>-</v>
      </c>
      <c r="V18" s="149" t="str">
        <f>IFERROR(VLOOKUP($B18,报价辅助计算!$B:$BN,65,0),"-")</f>
        <v>-</v>
      </c>
      <c r="W18" s="149" t="str">
        <f>IFERROR(VLOOKUP($B18,报价辅助计算!$B:$BZ,66,0),"-")</f>
        <v>-</v>
      </c>
      <c r="X18" s="149" t="str">
        <f>IFERROR(VLOOKUP($B18,报价辅助计算!$B:$BZ,67,0),"-")</f>
        <v>-</v>
      </c>
    </row>
    <row r="19" spans="1:24" ht="30" customHeight="1">
      <c r="A19" s="141"/>
      <c r="B19" s="124" t="str">
        <f>IFERROR(IF(B18=SUM(报价辅助计算!A:A),"-",部件清单!B18+1),"-")</f>
        <v>-</v>
      </c>
      <c r="C19" s="130" t="str">
        <f>IFERROR(VLOOKUP($B19,报价辅助计算!$B:$I,2,0),"-")</f>
        <v>-</v>
      </c>
      <c r="D19" s="130" t="str">
        <f>IFERROR(IF(VLOOKUP($B19,报价辅助计算!$B:$BZ,68,0)="Q355","Q355","-"),"-")</f>
        <v>-</v>
      </c>
      <c r="E19" s="130" t="str">
        <f>IFERROR(VLOOKUP($B19,报价辅助计算!$B:$BZ,69,0),"-")</f>
        <v>-</v>
      </c>
      <c r="F19" s="130" t="str">
        <f>IFERROR(VLOOKUP($B19,报价辅助计算!$B:$BN,49,0),"-")</f>
        <v>-</v>
      </c>
      <c r="G19" s="130" t="str">
        <f>IFERROR(VLOOKUP($B19,报价辅助计算!$B:$BN,50,0),"-")</f>
        <v>-</v>
      </c>
      <c r="H19" s="130" t="str">
        <f>IFERROR(VLOOKUP($B19,报价辅助计算!$B:$BN,51,0),"-")</f>
        <v>-</v>
      </c>
      <c r="I19" s="149" t="str">
        <f>IFERROR(VLOOKUP($B19,报价辅助计算!$B:$BN,52,0),"-")</f>
        <v>-</v>
      </c>
      <c r="J19" s="149" t="str">
        <f>IFERROR(VLOOKUP($B19,报价辅助计算!$B:$BN,53,0),"-")</f>
        <v>-</v>
      </c>
      <c r="K19" s="130" t="str">
        <f>IFERROR(VLOOKUP($B19,报价辅助计算!$B:$BN,54,0),"-")</f>
        <v>-</v>
      </c>
      <c r="L19" s="150" t="str">
        <f>IFERROR(VLOOKUP($B19,报价辅助计算!$B:$BN,55,0),"-")</f>
        <v>-</v>
      </c>
      <c r="M19" s="130" t="str">
        <f>IFERROR(VLOOKUP($B19,报价辅助计算!$B:$BN,56,0),"-")</f>
        <v>-</v>
      </c>
      <c r="N19" s="130" t="str">
        <f>IFERROR(VLOOKUP($B19,报价辅助计算!$B:$BN,57,0),"-")</f>
        <v>-</v>
      </c>
      <c r="O19" s="130" t="str">
        <f>IFERROR(VLOOKUP($B19,报价辅助计算!$B:$BN,58,0),"-")</f>
        <v>-</v>
      </c>
      <c r="P19" s="149" t="str">
        <f>IFERROR(VLOOKUP($B19,报价辅助计算!$B:$BN,59,0),"-")</f>
        <v>-</v>
      </c>
      <c r="Q19" s="149" t="str">
        <f>IFERROR(VLOOKUP($B19,报价辅助计算!$B:$BN,60,0),"-")</f>
        <v>-</v>
      </c>
      <c r="R19" s="130" t="str">
        <f>IFERROR(VLOOKUP($B19,报价辅助计算!$B:$BN,61,0),"-")</f>
        <v>-</v>
      </c>
      <c r="S19" s="149" t="str">
        <f>IFERROR(VLOOKUP($B19,报价辅助计算!$B:$BN,62,0),"-")</f>
        <v>-</v>
      </c>
      <c r="T19" s="149" t="str">
        <f>IFERROR(VLOOKUP($B19,报价辅助计算!$B:$BN,63,0),"-")</f>
        <v>-</v>
      </c>
      <c r="U19" s="149" t="str">
        <f>IFERROR(VLOOKUP($B19,报价辅助计算!$B:$BN,64,0),"-")</f>
        <v>-</v>
      </c>
      <c r="V19" s="149" t="str">
        <f>IFERROR(VLOOKUP($B19,报价辅助计算!$B:$BN,65,0),"-")</f>
        <v>-</v>
      </c>
      <c r="W19" s="149" t="str">
        <f>IFERROR(VLOOKUP($B19,报价辅助计算!$B:$BZ,66,0),"-")</f>
        <v>-</v>
      </c>
      <c r="X19" s="149" t="str">
        <f>IFERROR(VLOOKUP($B19,报价辅助计算!$B:$BZ,67,0),"-")</f>
        <v>-</v>
      </c>
    </row>
    <row r="20" spans="1:24" ht="39" customHeight="1">
      <c r="A20" s="141"/>
      <c r="B20" s="124" t="str">
        <f>IFERROR(IF(B19=SUM(报价辅助计算!A:A),"-",部件清单!B19+1),"-")</f>
        <v>-</v>
      </c>
      <c r="C20" s="130" t="str">
        <f>IFERROR(VLOOKUP($B20,报价辅助计算!$B:$I,2,0),"-")</f>
        <v>-</v>
      </c>
      <c r="D20" s="130" t="str">
        <f>IFERROR(IF(VLOOKUP($B20,报价辅助计算!$B:$BZ,68,0)="Q355","Q355","-"),"-")</f>
        <v>-</v>
      </c>
      <c r="E20" s="130" t="str">
        <f>IFERROR(VLOOKUP($B20,报价辅助计算!$B:$BZ,69,0),"-")</f>
        <v>-</v>
      </c>
      <c r="F20" s="130" t="str">
        <f>IFERROR(VLOOKUP($B20,报价辅助计算!$B:$BN,49,0),"-")</f>
        <v>-</v>
      </c>
      <c r="G20" s="130" t="str">
        <f>IFERROR(VLOOKUP($B20,报价辅助计算!$B:$BN,50,0),"-")</f>
        <v>-</v>
      </c>
      <c r="H20" s="130" t="str">
        <f>IFERROR(VLOOKUP($B20,报价辅助计算!$B:$BN,51,0),"-")</f>
        <v>-</v>
      </c>
      <c r="I20" s="149" t="str">
        <f>IFERROR(VLOOKUP($B20,报价辅助计算!$B:$BN,52,0),"-")</f>
        <v>-</v>
      </c>
      <c r="J20" s="149" t="str">
        <f>IFERROR(VLOOKUP($B20,报价辅助计算!$B:$BN,53,0),"-")</f>
        <v>-</v>
      </c>
      <c r="K20" s="130" t="str">
        <f>IFERROR(VLOOKUP($B20,报价辅助计算!$B:$BN,54,0),"-")</f>
        <v>-</v>
      </c>
      <c r="L20" s="150" t="str">
        <f>IFERROR(VLOOKUP($B20,报价辅助计算!$B:$BN,55,0),"-")</f>
        <v>-</v>
      </c>
      <c r="M20" s="130" t="str">
        <f>IFERROR(VLOOKUP($B20,报价辅助计算!$B:$BN,56,0),"-")</f>
        <v>-</v>
      </c>
      <c r="N20" s="130" t="str">
        <f>IFERROR(VLOOKUP($B20,报价辅助计算!$B:$BN,57,0),"-")</f>
        <v>-</v>
      </c>
      <c r="O20" s="130" t="str">
        <f>IFERROR(VLOOKUP($B20,报价辅助计算!$B:$BN,58,0),"-")</f>
        <v>-</v>
      </c>
      <c r="P20" s="149" t="str">
        <f>IFERROR(VLOOKUP($B20,报价辅助计算!$B:$BN,59,0),"-")</f>
        <v>-</v>
      </c>
      <c r="Q20" s="149" t="str">
        <f>IFERROR(VLOOKUP($B20,报价辅助计算!$B:$BN,60,0),"-")</f>
        <v>-</v>
      </c>
      <c r="R20" s="130" t="str">
        <f>IFERROR(VLOOKUP($B20,报价辅助计算!$B:$BN,61,0),"-")</f>
        <v>-</v>
      </c>
      <c r="S20" s="149" t="str">
        <f>IFERROR(VLOOKUP($B20,报价辅助计算!$B:$BN,62,0),"-")</f>
        <v>-</v>
      </c>
      <c r="T20" s="149" t="str">
        <f>IFERROR(VLOOKUP($B20,报价辅助计算!$B:$BN,63,0),"-")</f>
        <v>-</v>
      </c>
      <c r="U20" s="149" t="str">
        <f>IFERROR(VLOOKUP($B20,报价辅助计算!$B:$BN,64,0),"-")</f>
        <v>-</v>
      </c>
      <c r="V20" s="149" t="str">
        <f>IFERROR(VLOOKUP($B20,报价辅助计算!$B:$BN,65,0),"-")</f>
        <v>-</v>
      </c>
      <c r="W20" s="149" t="str">
        <f>IFERROR(VLOOKUP($B20,报价辅助计算!$B:$BZ,66,0),"-")</f>
        <v>-</v>
      </c>
      <c r="X20" s="149" t="str">
        <f>IFERROR(VLOOKUP($B20,报价辅助计算!$B:$BZ,67,0),"-")</f>
        <v>-</v>
      </c>
    </row>
    <row r="21" spans="1:24" ht="39" customHeight="1">
      <c r="A21" s="141"/>
      <c r="B21" s="124" t="str">
        <f>IFERROR(IF(B20=SUM(报价辅助计算!A:A),"-",部件清单!B20+1),"-")</f>
        <v>-</v>
      </c>
      <c r="C21" s="130" t="str">
        <f>IFERROR(VLOOKUP($B21,报价辅助计算!$B:$I,2,0),"-")</f>
        <v>-</v>
      </c>
      <c r="D21" s="130" t="str">
        <f>IFERROR(IF(VLOOKUP($B21,报价辅助计算!$B:$BZ,68,0)="Q355","Q355","-"),"-")</f>
        <v>-</v>
      </c>
      <c r="E21" s="130" t="str">
        <f>IFERROR(VLOOKUP($B21,报价辅助计算!$B:$BZ,69,0),"-")</f>
        <v>-</v>
      </c>
      <c r="F21" s="130" t="str">
        <f>IFERROR(VLOOKUP($B21,报价辅助计算!$B:$BN,49,0),"-")</f>
        <v>-</v>
      </c>
      <c r="G21" s="130" t="str">
        <f>IFERROR(VLOOKUP($B21,报价辅助计算!$B:$BN,50,0),"-")</f>
        <v>-</v>
      </c>
      <c r="H21" s="130" t="str">
        <f>IFERROR(VLOOKUP($B21,报价辅助计算!$B:$BN,51,0),"-")</f>
        <v>-</v>
      </c>
      <c r="I21" s="149" t="str">
        <f>IFERROR(VLOOKUP($B21,报价辅助计算!$B:$BN,52,0),"-")</f>
        <v>-</v>
      </c>
      <c r="J21" s="149" t="str">
        <f>IFERROR(VLOOKUP($B21,报价辅助计算!$B:$BN,53,0),"-")</f>
        <v>-</v>
      </c>
      <c r="K21" s="130" t="str">
        <f>IFERROR(VLOOKUP($B21,报价辅助计算!$B:$BN,54,0),"-")</f>
        <v>-</v>
      </c>
      <c r="L21" s="150" t="str">
        <f>IFERROR(VLOOKUP($B21,报价辅助计算!$B:$BN,55,0),"-")</f>
        <v>-</v>
      </c>
      <c r="M21" s="130" t="str">
        <f>IFERROR(VLOOKUP($B21,报价辅助计算!$B:$BN,56,0),"-")</f>
        <v>-</v>
      </c>
      <c r="N21" s="130" t="str">
        <f>IFERROR(VLOOKUP($B21,报价辅助计算!$B:$BN,57,0),"-")</f>
        <v>-</v>
      </c>
      <c r="O21" s="130" t="str">
        <f>IFERROR(VLOOKUP($B21,报价辅助计算!$B:$BN,58,0),"-")</f>
        <v>-</v>
      </c>
      <c r="P21" s="149" t="str">
        <f>IFERROR(VLOOKUP($B21,报价辅助计算!$B:$BN,59,0),"-")</f>
        <v>-</v>
      </c>
      <c r="Q21" s="149" t="str">
        <f>IFERROR(VLOOKUP($B21,报价辅助计算!$B:$BN,60,0),"-")</f>
        <v>-</v>
      </c>
      <c r="R21" s="130" t="str">
        <f>IFERROR(VLOOKUP($B21,报价辅助计算!$B:$BN,61,0),"-")</f>
        <v>-</v>
      </c>
      <c r="S21" s="149" t="str">
        <f>IFERROR(VLOOKUP($B21,报价辅助计算!$B:$BN,62,0),"-")</f>
        <v>-</v>
      </c>
      <c r="T21" s="149" t="str">
        <f>IFERROR(VLOOKUP($B21,报价辅助计算!$B:$BN,63,0),"-")</f>
        <v>-</v>
      </c>
      <c r="U21" s="149" t="str">
        <f>IFERROR(VLOOKUP($B21,报价辅助计算!$B:$BN,64,0),"-")</f>
        <v>-</v>
      </c>
      <c r="V21" s="149" t="str">
        <f>IFERROR(VLOOKUP($B21,报价辅助计算!$B:$BN,65,0),"-")</f>
        <v>-</v>
      </c>
      <c r="W21" s="149" t="str">
        <f>IFERROR(VLOOKUP($B21,报价辅助计算!$B:$BZ,66,0),"-")</f>
        <v>-</v>
      </c>
      <c r="X21" s="149" t="str">
        <f>IFERROR(VLOOKUP($B21,报价辅助计算!$B:$BZ,67,0),"-")</f>
        <v>-</v>
      </c>
    </row>
    <row r="22" spans="1:24" ht="39" customHeight="1">
      <c r="A22" s="141"/>
      <c r="B22" s="124" t="str">
        <f>IFERROR(IF(B21=SUM(报价辅助计算!A:A),"-",部件清单!B21+1),"-")</f>
        <v>-</v>
      </c>
      <c r="C22" s="130" t="str">
        <f>IFERROR(VLOOKUP($B22,报价辅助计算!$B:$I,2,0),"-")</f>
        <v>-</v>
      </c>
      <c r="D22" s="130" t="str">
        <f>IFERROR(IF(VLOOKUP($B22,报价辅助计算!$B:$BZ,68,0)="Q355","Q355","-"),"-")</f>
        <v>-</v>
      </c>
      <c r="E22" s="130" t="str">
        <f>IFERROR(VLOOKUP($B22,报价辅助计算!$B:$BZ,69,0),"-")</f>
        <v>-</v>
      </c>
      <c r="F22" s="130" t="str">
        <f>IFERROR(VLOOKUP($B22,报价辅助计算!$B:$BN,49,0),"-")</f>
        <v>-</v>
      </c>
      <c r="G22" s="130" t="str">
        <f>IFERROR(VLOOKUP($B22,报价辅助计算!$B:$BN,50,0),"-")</f>
        <v>-</v>
      </c>
      <c r="H22" s="130" t="str">
        <f>IFERROR(VLOOKUP($B22,报价辅助计算!$B:$BN,51,0),"-")</f>
        <v>-</v>
      </c>
      <c r="I22" s="149" t="str">
        <f>IFERROR(VLOOKUP($B22,报价辅助计算!$B:$BN,52,0),"-")</f>
        <v>-</v>
      </c>
      <c r="J22" s="149" t="str">
        <f>IFERROR(VLOOKUP($B22,报价辅助计算!$B:$BN,53,0),"-")</f>
        <v>-</v>
      </c>
      <c r="K22" s="130" t="str">
        <f>IFERROR(VLOOKUP($B22,报价辅助计算!$B:$BN,54,0),"-")</f>
        <v>-</v>
      </c>
      <c r="L22" s="150" t="str">
        <f>IFERROR(VLOOKUP($B22,报价辅助计算!$B:$BN,55,0),"-")</f>
        <v>-</v>
      </c>
      <c r="M22" s="130" t="str">
        <f>IFERROR(VLOOKUP($B22,报价辅助计算!$B:$BN,56,0),"-")</f>
        <v>-</v>
      </c>
      <c r="N22" s="130" t="str">
        <f>IFERROR(VLOOKUP($B22,报价辅助计算!$B:$BN,57,0),"-")</f>
        <v>-</v>
      </c>
      <c r="O22" s="130" t="str">
        <f>IFERROR(VLOOKUP($B22,报价辅助计算!$B:$BN,58,0),"-")</f>
        <v>-</v>
      </c>
      <c r="P22" s="149" t="str">
        <f>IFERROR(VLOOKUP($B22,报价辅助计算!$B:$BN,59,0),"-")</f>
        <v>-</v>
      </c>
      <c r="Q22" s="149" t="str">
        <f>IFERROR(VLOOKUP($B22,报价辅助计算!$B:$BN,60,0),"-")</f>
        <v>-</v>
      </c>
      <c r="R22" s="130" t="str">
        <f>IFERROR(VLOOKUP($B22,报价辅助计算!$B:$BN,61,0),"-")</f>
        <v>-</v>
      </c>
      <c r="S22" s="149" t="str">
        <f>IFERROR(VLOOKUP($B22,报价辅助计算!$B:$BN,62,0),"-")</f>
        <v>-</v>
      </c>
      <c r="T22" s="149" t="str">
        <f>IFERROR(VLOOKUP($B22,报价辅助计算!$B:$BN,63,0),"-")</f>
        <v>-</v>
      </c>
      <c r="U22" s="149" t="str">
        <f>IFERROR(VLOOKUP($B22,报价辅助计算!$B:$BN,64,0),"-")</f>
        <v>-</v>
      </c>
      <c r="V22" s="149" t="str">
        <f>IFERROR(VLOOKUP($B22,报价辅助计算!$B:$BN,65,0),"-")</f>
        <v>-</v>
      </c>
      <c r="W22" s="149" t="str">
        <f>IFERROR(VLOOKUP($B22,报价辅助计算!$B:$BZ,66,0),"-")</f>
        <v>-</v>
      </c>
      <c r="X22" s="149" t="str">
        <f>IFERROR(VLOOKUP($B22,报价辅助计算!$B:$BZ,67,0),"-")</f>
        <v>-</v>
      </c>
    </row>
    <row r="23" spans="1:24" ht="39" customHeight="1">
      <c r="A23" s="141"/>
      <c r="B23" s="124" t="str">
        <f>IFERROR(IF(B22=SUM(报价辅助计算!A:A),"-",部件清单!B22+1),"-")</f>
        <v>-</v>
      </c>
      <c r="C23" s="130" t="str">
        <f>IFERROR(VLOOKUP($B23,报价辅助计算!$B:$I,2,0),"-")</f>
        <v>-</v>
      </c>
      <c r="D23" s="130" t="str">
        <f>IFERROR(IF(VLOOKUP($B23,报价辅助计算!$B:$BZ,68,0)="Q355","Q355","-"),"-")</f>
        <v>-</v>
      </c>
      <c r="E23" s="130" t="str">
        <f>IFERROR(VLOOKUP($B23,报价辅助计算!$B:$BZ,69,0),"-")</f>
        <v>-</v>
      </c>
      <c r="F23" s="130" t="str">
        <f>IFERROR(VLOOKUP($B23,报价辅助计算!$B:$BN,49,0),"-")</f>
        <v>-</v>
      </c>
      <c r="G23" s="130" t="str">
        <f>IFERROR(VLOOKUP($B23,报价辅助计算!$B:$BN,50,0),"-")</f>
        <v>-</v>
      </c>
      <c r="H23" s="130" t="str">
        <f>IFERROR(VLOOKUP($B23,报价辅助计算!$B:$BN,51,0),"-")</f>
        <v>-</v>
      </c>
      <c r="I23" s="149" t="str">
        <f>IFERROR(VLOOKUP($B23,报价辅助计算!$B:$BN,52,0),"-")</f>
        <v>-</v>
      </c>
      <c r="J23" s="149" t="str">
        <f>IFERROR(VLOOKUP($B23,报价辅助计算!$B:$BN,53,0),"-")</f>
        <v>-</v>
      </c>
      <c r="K23" s="130" t="str">
        <f>IFERROR(VLOOKUP($B23,报价辅助计算!$B:$BN,54,0),"-")</f>
        <v>-</v>
      </c>
      <c r="L23" s="150" t="str">
        <f>IFERROR(VLOOKUP($B23,报价辅助计算!$B:$BN,55,0),"-")</f>
        <v>-</v>
      </c>
      <c r="M23" s="130" t="str">
        <f>IFERROR(VLOOKUP($B23,报价辅助计算!$B:$BN,56,0),"-")</f>
        <v>-</v>
      </c>
      <c r="N23" s="130" t="str">
        <f>IFERROR(VLOOKUP($B23,报价辅助计算!$B:$BN,57,0),"-")</f>
        <v>-</v>
      </c>
      <c r="O23" s="130" t="str">
        <f>IFERROR(VLOOKUP($B23,报价辅助计算!$B:$BN,58,0),"-")</f>
        <v>-</v>
      </c>
      <c r="P23" s="149" t="str">
        <f>IFERROR(VLOOKUP($B23,报价辅助计算!$B:$BN,59,0),"-")</f>
        <v>-</v>
      </c>
      <c r="Q23" s="149" t="str">
        <f>IFERROR(VLOOKUP($B23,报价辅助计算!$B:$BN,60,0),"-")</f>
        <v>-</v>
      </c>
      <c r="R23" s="130" t="str">
        <f>IFERROR(VLOOKUP($B23,报价辅助计算!$B:$BN,61,0),"-")</f>
        <v>-</v>
      </c>
      <c r="S23" s="149" t="str">
        <f>IFERROR(VLOOKUP($B23,报价辅助计算!$B:$BN,62,0),"-")</f>
        <v>-</v>
      </c>
      <c r="T23" s="149" t="str">
        <f>IFERROR(VLOOKUP($B23,报价辅助计算!$B:$BN,63,0),"-")</f>
        <v>-</v>
      </c>
      <c r="U23" s="149" t="str">
        <f>IFERROR(VLOOKUP($B23,报价辅助计算!$B:$BN,64,0),"-")</f>
        <v>-</v>
      </c>
      <c r="V23" s="149" t="str">
        <f>IFERROR(VLOOKUP($B23,报价辅助计算!$B:$BN,65,0),"-")</f>
        <v>-</v>
      </c>
      <c r="W23" s="149" t="str">
        <f>IFERROR(VLOOKUP($B23,报价辅助计算!$B:$BZ,66,0),"-")</f>
        <v>-</v>
      </c>
      <c r="X23" s="149" t="str">
        <f>IFERROR(VLOOKUP($B23,报价辅助计算!$B:$BZ,67,0),"-")</f>
        <v>-</v>
      </c>
    </row>
    <row r="24" spans="1:24" ht="39" customHeight="1">
      <c r="A24" s="141"/>
      <c r="B24" s="124" t="str">
        <f>IFERROR(IF(B23=SUM(报价辅助计算!A:A),"-",部件清单!B23+1),"-")</f>
        <v>-</v>
      </c>
      <c r="C24" s="130" t="str">
        <f>IFERROR(VLOOKUP($B24,报价辅助计算!$B:$I,2,0),"-")</f>
        <v>-</v>
      </c>
      <c r="D24" s="130" t="str">
        <f>IFERROR(IF(VLOOKUP($B24,报价辅助计算!$B:$BZ,68,0)="Q355","Q355","-"),"-")</f>
        <v>-</v>
      </c>
      <c r="E24" s="130" t="str">
        <f>IFERROR(VLOOKUP($B24,报价辅助计算!$B:$BZ,69,0),"-")</f>
        <v>-</v>
      </c>
      <c r="F24" s="130" t="str">
        <f>IFERROR(VLOOKUP($B24,报价辅助计算!$B:$BN,49,0),"-")</f>
        <v>-</v>
      </c>
      <c r="G24" s="130" t="str">
        <f>IFERROR(VLOOKUP($B24,报价辅助计算!$B:$BN,50,0),"-")</f>
        <v>-</v>
      </c>
      <c r="H24" s="130" t="str">
        <f>IFERROR(VLOOKUP($B24,报价辅助计算!$B:$BN,51,0),"-")</f>
        <v>-</v>
      </c>
      <c r="I24" s="149" t="str">
        <f>IFERROR(VLOOKUP($B24,报价辅助计算!$B:$BN,52,0),"-")</f>
        <v>-</v>
      </c>
      <c r="J24" s="149" t="str">
        <f>IFERROR(VLOOKUP($B24,报价辅助计算!$B:$BN,53,0),"-")</f>
        <v>-</v>
      </c>
      <c r="K24" s="130" t="str">
        <f>IFERROR(VLOOKUP($B24,报价辅助计算!$B:$BN,54,0),"-")</f>
        <v>-</v>
      </c>
      <c r="L24" s="150" t="str">
        <f>IFERROR(VLOOKUP($B24,报价辅助计算!$B:$BN,55,0),"-")</f>
        <v>-</v>
      </c>
      <c r="M24" s="130" t="str">
        <f>IFERROR(VLOOKUP($B24,报价辅助计算!$B:$BN,56,0),"-")</f>
        <v>-</v>
      </c>
      <c r="N24" s="130" t="str">
        <f>IFERROR(VLOOKUP($B24,报价辅助计算!$B:$BN,57,0),"-")</f>
        <v>-</v>
      </c>
      <c r="O24" s="130" t="str">
        <f>IFERROR(VLOOKUP($B24,报价辅助计算!$B:$BN,58,0),"-")</f>
        <v>-</v>
      </c>
      <c r="P24" s="149" t="str">
        <f>IFERROR(VLOOKUP($B24,报价辅助计算!$B:$BN,59,0),"-")</f>
        <v>-</v>
      </c>
      <c r="Q24" s="149" t="str">
        <f>IFERROR(VLOOKUP($B24,报价辅助计算!$B:$BN,60,0),"-")</f>
        <v>-</v>
      </c>
      <c r="R24" s="130" t="str">
        <f>IFERROR(VLOOKUP($B24,报价辅助计算!$B:$BN,61,0),"-")</f>
        <v>-</v>
      </c>
      <c r="S24" s="149" t="str">
        <f>IFERROR(VLOOKUP($B24,报价辅助计算!$B:$BN,62,0),"-")</f>
        <v>-</v>
      </c>
      <c r="T24" s="149" t="str">
        <f>IFERROR(VLOOKUP($B24,报价辅助计算!$B:$BN,63,0),"-")</f>
        <v>-</v>
      </c>
      <c r="U24" s="149" t="str">
        <f>IFERROR(VLOOKUP($B24,报价辅助计算!$B:$BN,64,0),"-")</f>
        <v>-</v>
      </c>
      <c r="V24" s="149" t="str">
        <f>IFERROR(VLOOKUP($B24,报价辅助计算!$B:$BN,65,0),"-")</f>
        <v>-</v>
      </c>
      <c r="W24" s="149" t="str">
        <f>IFERROR(VLOOKUP($B24,报价辅助计算!$B:$BZ,66,0),"-")</f>
        <v>-</v>
      </c>
      <c r="X24" s="149" t="str">
        <f>IFERROR(VLOOKUP($B24,报价辅助计算!$B:$BZ,67,0),"-")</f>
        <v>-</v>
      </c>
    </row>
    <row r="25" spans="1:24" ht="39" customHeight="1">
      <c r="A25" s="141"/>
      <c r="B25" s="124" t="str">
        <f>IFERROR(IF(B24=SUM(报价辅助计算!A:A),"-",部件清单!B24+1),"-")</f>
        <v>-</v>
      </c>
      <c r="C25" s="130" t="str">
        <f>IFERROR(VLOOKUP($B25,报价辅助计算!$B:$I,2,0),"-")</f>
        <v>-</v>
      </c>
      <c r="D25" s="130" t="str">
        <f>IFERROR(IF(VLOOKUP($B25,报价辅助计算!$B:$BZ,68,0)="Q355","Q355","-"),"-")</f>
        <v>-</v>
      </c>
      <c r="E25" s="130" t="str">
        <f>IFERROR(VLOOKUP($B25,报价辅助计算!$B:$BZ,69,0),"-")</f>
        <v>-</v>
      </c>
      <c r="F25" s="130" t="str">
        <f>IFERROR(VLOOKUP($B25,报价辅助计算!$B:$BN,49,0),"-")</f>
        <v>-</v>
      </c>
      <c r="G25" s="130" t="str">
        <f>IFERROR(VLOOKUP($B25,报价辅助计算!$B:$BN,50,0),"-")</f>
        <v>-</v>
      </c>
      <c r="H25" s="130" t="str">
        <f>IFERROR(VLOOKUP($B25,报价辅助计算!$B:$BN,51,0),"-")</f>
        <v>-</v>
      </c>
      <c r="I25" s="149" t="str">
        <f>IFERROR(VLOOKUP($B25,报价辅助计算!$B:$BN,52,0),"-")</f>
        <v>-</v>
      </c>
      <c r="J25" s="149" t="str">
        <f>IFERROR(VLOOKUP($B25,报价辅助计算!$B:$BN,53,0),"-")</f>
        <v>-</v>
      </c>
      <c r="K25" s="130" t="str">
        <f>IFERROR(VLOOKUP($B25,报价辅助计算!$B:$BN,54,0),"-")</f>
        <v>-</v>
      </c>
      <c r="L25" s="150" t="str">
        <f>IFERROR(VLOOKUP($B25,报价辅助计算!$B:$BN,55,0),"-")</f>
        <v>-</v>
      </c>
      <c r="M25" s="130" t="str">
        <f>IFERROR(VLOOKUP($B25,报价辅助计算!$B:$BN,56,0),"-")</f>
        <v>-</v>
      </c>
      <c r="N25" s="130" t="str">
        <f>IFERROR(VLOOKUP($B25,报价辅助计算!$B:$BN,57,0),"-")</f>
        <v>-</v>
      </c>
      <c r="O25" s="130" t="str">
        <f>IFERROR(VLOOKUP($B25,报价辅助计算!$B:$BN,58,0),"-")</f>
        <v>-</v>
      </c>
      <c r="P25" s="149" t="str">
        <f>IFERROR(VLOOKUP($B25,报价辅助计算!$B:$BN,59,0),"-")</f>
        <v>-</v>
      </c>
      <c r="Q25" s="149" t="str">
        <f>IFERROR(VLOOKUP($B25,报价辅助计算!$B:$BN,60,0),"-")</f>
        <v>-</v>
      </c>
      <c r="R25" s="130" t="str">
        <f>IFERROR(VLOOKUP($B25,报价辅助计算!$B:$BN,61,0),"-")</f>
        <v>-</v>
      </c>
      <c r="S25" s="149" t="str">
        <f>IFERROR(VLOOKUP($B25,报价辅助计算!$B:$BN,62,0),"-")</f>
        <v>-</v>
      </c>
      <c r="T25" s="149" t="str">
        <f>IFERROR(VLOOKUP($B25,报价辅助计算!$B:$BN,63,0),"-")</f>
        <v>-</v>
      </c>
      <c r="U25" s="149" t="str">
        <f>IFERROR(VLOOKUP($B25,报价辅助计算!$B:$BN,64,0),"-")</f>
        <v>-</v>
      </c>
      <c r="V25" s="149" t="str">
        <f>IFERROR(VLOOKUP($B25,报价辅助计算!$B:$BN,65,0),"-")</f>
        <v>-</v>
      </c>
      <c r="W25" s="149" t="str">
        <f>IFERROR(VLOOKUP($B25,报价辅助计算!$B:$BZ,66,0),"-")</f>
        <v>-</v>
      </c>
      <c r="X25" s="149" t="str">
        <f>IFERROR(VLOOKUP($B25,报价辅助计算!$B:$BZ,67,0),"-")</f>
        <v>-</v>
      </c>
    </row>
    <row r="26" spans="1:24" ht="39" customHeight="1">
      <c r="A26" s="141"/>
      <c r="B26" s="124" t="str">
        <f>IFERROR(IF(B25=SUM(报价辅助计算!A:A),"-",部件清单!B25+1),"-")</f>
        <v>-</v>
      </c>
      <c r="C26" s="130" t="str">
        <f>IFERROR(VLOOKUP($B26,报价辅助计算!$B:$I,2,0),"-")</f>
        <v>-</v>
      </c>
      <c r="D26" s="130" t="str">
        <f>IFERROR(IF(VLOOKUP($B26,报价辅助计算!$B:$BZ,68,0)="Q355","Q355","-"),"-")</f>
        <v>-</v>
      </c>
      <c r="E26" s="130" t="str">
        <f>IFERROR(VLOOKUP($B26,报价辅助计算!$B:$BZ,69,0),"-")</f>
        <v>-</v>
      </c>
      <c r="F26" s="130" t="str">
        <f>IFERROR(VLOOKUP($B26,报价辅助计算!$B:$BN,49,0),"-")</f>
        <v>-</v>
      </c>
      <c r="G26" s="130" t="str">
        <f>IFERROR(VLOOKUP($B26,报价辅助计算!$B:$BN,50,0),"-")</f>
        <v>-</v>
      </c>
      <c r="H26" s="130" t="str">
        <f>IFERROR(VLOOKUP($B26,报价辅助计算!$B:$BN,51,0),"-")</f>
        <v>-</v>
      </c>
      <c r="I26" s="149" t="str">
        <f>IFERROR(VLOOKUP($B26,报价辅助计算!$B:$BN,52,0),"-")</f>
        <v>-</v>
      </c>
      <c r="J26" s="149" t="str">
        <f>IFERROR(VLOOKUP($B26,报价辅助计算!$B:$BN,53,0),"-")</f>
        <v>-</v>
      </c>
      <c r="K26" s="130" t="str">
        <f>IFERROR(VLOOKUP($B26,报价辅助计算!$B:$BN,54,0),"-")</f>
        <v>-</v>
      </c>
      <c r="L26" s="150" t="str">
        <f>IFERROR(VLOOKUP($B26,报价辅助计算!$B:$BN,55,0),"-")</f>
        <v>-</v>
      </c>
      <c r="M26" s="130" t="str">
        <f>IFERROR(VLOOKUP($B26,报价辅助计算!$B:$BN,56,0),"-")</f>
        <v>-</v>
      </c>
      <c r="N26" s="130" t="str">
        <f>IFERROR(VLOOKUP($B26,报价辅助计算!$B:$BN,57,0),"-")</f>
        <v>-</v>
      </c>
      <c r="O26" s="130" t="str">
        <f>IFERROR(VLOOKUP($B26,报价辅助计算!$B:$BN,58,0),"-")</f>
        <v>-</v>
      </c>
      <c r="P26" s="149" t="str">
        <f>IFERROR(VLOOKUP($B26,报价辅助计算!$B:$BN,59,0),"-")</f>
        <v>-</v>
      </c>
      <c r="Q26" s="149" t="str">
        <f>IFERROR(VLOOKUP($B26,报价辅助计算!$B:$BN,60,0),"-")</f>
        <v>-</v>
      </c>
      <c r="R26" s="130" t="str">
        <f>IFERROR(VLOOKUP($B26,报价辅助计算!$B:$BN,61,0),"-")</f>
        <v>-</v>
      </c>
      <c r="S26" s="149" t="str">
        <f>IFERROR(VLOOKUP($B26,报价辅助计算!$B:$BN,62,0),"-")</f>
        <v>-</v>
      </c>
      <c r="T26" s="149" t="str">
        <f>IFERROR(VLOOKUP($B26,报价辅助计算!$B:$BN,63,0),"-")</f>
        <v>-</v>
      </c>
      <c r="U26" s="149" t="str">
        <f>IFERROR(VLOOKUP($B26,报价辅助计算!$B:$BN,64,0),"-")</f>
        <v>-</v>
      </c>
      <c r="V26" s="149" t="str">
        <f>IFERROR(VLOOKUP($B26,报价辅助计算!$B:$BN,65,0),"-")</f>
        <v>-</v>
      </c>
      <c r="W26" s="149" t="str">
        <f>IFERROR(VLOOKUP($B26,报价辅助计算!$B:$BZ,66,0),"-")</f>
        <v>-</v>
      </c>
      <c r="X26" s="149" t="str">
        <f>IFERROR(VLOOKUP($B26,报价辅助计算!$B:$BZ,67,0),"-")</f>
        <v>-</v>
      </c>
    </row>
    <row r="27" spans="1:24" ht="39" customHeight="1">
      <c r="A27" s="141"/>
      <c r="B27" s="160"/>
      <c r="C27" s="161" t="s">
        <v>1642</v>
      </c>
      <c r="D27" s="161"/>
      <c r="E27" s="161"/>
      <c r="F27" s="162"/>
      <c r="G27" s="162"/>
      <c r="H27" s="162"/>
      <c r="I27" s="162"/>
      <c r="J27" s="162"/>
      <c r="K27" s="162"/>
      <c r="L27" s="163"/>
      <c r="M27" s="162"/>
      <c r="N27" s="162"/>
      <c r="O27" s="162"/>
      <c r="P27" s="164"/>
      <c r="Q27" s="164"/>
      <c r="R27" s="162"/>
      <c r="S27" s="164"/>
      <c r="T27" s="164"/>
      <c r="U27" s="164"/>
      <c r="V27" s="164"/>
      <c r="W27" s="164"/>
      <c r="X27" s="164"/>
    </row>
    <row r="28" spans="1:24" ht="39" customHeight="1">
      <c r="A28" s="141"/>
      <c r="B28" s="165"/>
      <c r="C28" s="166" t="s">
        <v>1642</v>
      </c>
      <c r="D28" s="166"/>
      <c r="E28" s="166"/>
      <c r="F28" s="167"/>
      <c r="G28" s="168"/>
      <c r="H28" s="165">
        <f>SUBTOTAL(9,H4:H27)</f>
        <v>0</v>
      </c>
      <c r="I28" s="165"/>
      <c r="J28" s="165">
        <f>SUBTOTAL(9,J4:J27)</f>
        <v>0</v>
      </c>
      <c r="K28" s="165"/>
      <c r="L28" s="169"/>
      <c r="M28" s="165"/>
      <c r="N28" s="165">
        <f>SUBTOTAL(9,N4:N27)</f>
        <v>0</v>
      </c>
      <c r="O28" s="165"/>
      <c r="P28" s="165"/>
      <c r="Q28" s="165">
        <f>SUBTOTAL(9,Q4:Q27)</f>
        <v>0</v>
      </c>
      <c r="R28" s="165">
        <f>SUBTOTAL(9,R4:R27)</f>
        <v>0</v>
      </c>
      <c r="S28" s="165"/>
      <c r="T28" s="165"/>
      <c r="U28" s="165">
        <f>SUBTOTAL(9,U4:U27)</f>
        <v>0</v>
      </c>
      <c r="V28" s="165">
        <f>SUBTOTAL(9,V4:V27)</f>
        <v>0</v>
      </c>
      <c r="W28" s="165"/>
      <c r="X28" s="165">
        <f>SUBTOTAL(9,X4:X27)</f>
        <v>0</v>
      </c>
    </row>
    <row r="30" spans="1:24" ht="29.25" customHeight="1">
      <c r="A30" s="170" t="s">
        <v>1645</v>
      </c>
      <c r="B30" s="135" t="s">
        <v>263</v>
      </c>
      <c r="C30" s="135" t="s">
        <v>234</v>
      </c>
      <c r="D30" s="135"/>
      <c r="E30" s="135"/>
      <c r="F30" s="157"/>
      <c r="G30" s="157"/>
      <c r="H30" s="141"/>
      <c r="I30" s="141"/>
      <c r="J30" s="141"/>
      <c r="K30" s="141"/>
      <c r="L30" s="148"/>
      <c r="M30" s="141"/>
      <c r="N30" s="141"/>
      <c r="O30" s="141"/>
      <c r="P30" s="141"/>
      <c r="Q30" s="141"/>
      <c r="R30" s="141"/>
      <c r="S30" s="141"/>
      <c r="T30" s="141"/>
      <c r="U30" s="141"/>
      <c r="V30" s="141"/>
      <c r="W30" s="141"/>
      <c r="X30" s="141"/>
    </row>
    <row r="31" spans="1:24" ht="26.25" customHeight="1">
      <c r="A31" s="971" t="s">
        <v>1643</v>
      </c>
      <c r="B31" s="973" t="s">
        <v>1644</v>
      </c>
      <c r="C31" s="151" t="s">
        <v>450</v>
      </c>
      <c r="D31" s="135"/>
      <c r="E31" s="152"/>
      <c r="F31" s="153">
        <f>K30</f>
        <v>0</v>
      </c>
      <c r="G31" s="153">
        <f>O30</f>
        <v>0</v>
      </c>
      <c r="H31" s="154">
        <f>N30</f>
        <v>0</v>
      </c>
      <c r="I31" s="155">
        <f>P30</f>
        <v>0</v>
      </c>
      <c r="J31" s="155">
        <f>Q30</f>
        <v>0</v>
      </c>
    </row>
    <row r="32" spans="1:24" ht="26.25" customHeight="1">
      <c r="A32" s="972"/>
      <c r="B32" s="974"/>
      <c r="C32" s="156" t="s">
        <v>454</v>
      </c>
      <c r="D32" s="135"/>
      <c r="E32" s="135"/>
      <c r="F32" s="157">
        <f>K30</f>
        <v>0</v>
      </c>
      <c r="G32" s="157">
        <f>S30</f>
        <v>0</v>
      </c>
      <c r="H32" s="141">
        <f>R30</f>
        <v>0</v>
      </c>
      <c r="I32" s="158">
        <f>T30</f>
        <v>0</v>
      </c>
      <c r="J32" s="158">
        <f>U30</f>
        <v>0</v>
      </c>
    </row>
    <row r="33" spans="1:25" ht="26.25" customHeight="1">
      <c r="A33" s="972"/>
      <c r="B33" s="974"/>
      <c r="C33" s="156" t="s">
        <v>459</v>
      </c>
      <c r="D33" s="135"/>
      <c r="E33" s="135"/>
      <c r="F33" s="159">
        <f>L30</f>
        <v>0</v>
      </c>
      <c r="G33" s="157"/>
      <c r="H33" s="141">
        <f>V30</f>
        <v>0</v>
      </c>
      <c r="I33" s="158">
        <f>W30</f>
        <v>0</v>
      </c>
      <c r="J33" s="158">
        <f>X30</f>
        <v>0</v>
      </c>
    </row>
    <row r="34" spans="1:25">
      <c r="B34" s="131"/>
      <c r="C34" s="131"/>
      <c r="D34" s="131"/>
      <c r="E34" s="131"/>
    </row>
    <row r="35" spans="1:25">
      <c r="A35" s="131"/>
      <c r="B35" s="131"/>
      <c r="C35" s="171" t="s">
        <v>1646</v>
      </c>
      <c r="D35" s="131"/>
      <c r="E35" s="131"/>
    </row>
    <row r="36" spans="1:25">
      <c r="A36" s="131"/>
      <c r="B36" s="131"/>
      <c r="C36" s="131"/>
      <c r="D36" s="131"/>
      <c r="E36" s="131"/>
    </row>
    <row r="37" spans="1:25">
      <c r="A37" s="131"/>
      <c r="B37" s="131"/>
      <c r="C37" s="131"/>
      <c r="D37" s="131"/>
      <c r="E37" s="131"/>
    </row>
    <row r="38" spans="1:25">
      <c r="B38" s="131"/>
      <c r="C38" s="131"/>
      <c r="D38" s="131"/>
      <c r="E38" s="131"/>
      <c r="I38" s="121"/>
    </row>
    <row r="39" spans="1:25">
      <c r="B39" s="131"/>
      <c r="C39" s="131"/>
      <c r="D39" s="131"/>
      <c r="E39" s="131"/>
    </row>
    <row r="40" spans="1:25">
      <c r="B40" s="131"/>
      <c r="C40" s="131"/>
      <c r="D40" s="131"/>
      <c r="E40" s="131"/>
    </row>
    <row r="41" spans="1:25">
      <c r="B41" s="131"/>
      <c r="C41" s="131"/>
      <c r="D41" s="131"/>
      <c r="E41" s="131"/>
    </row>
    <row r="42" spans="1:25">
      <c r="B42" s="131"/>
      <c r="C42" s="131"/>
      <c r="D42" s="131"/>
      <c r="E42" s="131"/>
    </row>
    <row r="43" spans="1:25">
      <c r="B43" s="131"/>
      <c r="C43" s="131"/>
      <c r="D43" s="131"/>
      <c r="E43" s="131"/>
    </row>
    <row r="44" spans="1:25">
      <c r="B44" s="131"/>
      <c r="C44" s="131"/>
      <c r="D44" s="131"/>
      <c r="E44" s="131"/>
    </row>
    <row r="45" spans="1:25">
      <c r="B45" s="131"/>
      <c r="C45" s="131"/>
      <c r="D45" s="131"/>
      <c r="E45" s="131"/>
    </row>
    <row r="46" spans="1:25">
      <c r="B46" s="131"/>
      <c r="C46" s="131"/>
      <c r="D46" s="131"/>
      <c r="E46" s="131"/>
    </row>
    <row r="47" spans="1:25" s="123" customFormat="1">
      <c r="A47" s="115"/>
      <c r="B47" s="131"/>
      <c r="C47" s="131"/>
      <c r="D47" s="131"/>
      <c r="E47" s="131"/>
      <c r="H47" s="115"/>
      <c r="I47" s="115"/>
      <c r="J47" s="115"/>
      <c r="K47" s="115"/>
      <c r="L47" s="133"/>
      <c r="M47" s="115"/>
      <c r="N47" s="115"/>
      <c r="O47" s="115"/>
      <c r="P47" s="115"/>
      <c r="Q47" s="115"/>
      <c r="R47" s="115"/>
      <c r="S47" s="115"/>
      <c r="T47" s="115"/>
      <c r="U47" s="115"/>
      <c r="V47" s="115"/>
      <c r="W47" s="115"/>
      <c r="X47" s="115"/>
      <c r="Y47" s="115"/>
    </row>
    <row r="48" spans="1:25" s="123" customFormat="1">
      <c r="A48" s="115"/>
      <c r="B48" s="131"/>
      <c r="C48" s="131"/>
      <c r="D48" s="131"/>
      <c r="E48" s="131"/>
      <c r="H48" s="115"/>
      <c r="I48" s="115"/>
      <c r="J48" s="115"/>
      <c r="K48" s="115"/>
      <c r="L48" s="133"/>
      <c r="M48" s="115"/>
      <c r="N48" s="115"/>
      <c r="O48" s="115"/>
      <c r="P48" s="115"/>
      <c r="Q48" s="115"/>
      <c r="R48" s="115"/>
      <c r="S48" s="115"/>
      <c r="T48" s="115"/>
      <c r="U48" s="115"/>
      <c r="V48" s="115"/>
      <c r="W48" s="115"/>
      <c r="X48" s="115"/>
      <c r="Y48" s="115"/>
    </row>
    <row r="49" spans="1:25" s="123" customFormat="1">
      <c r="A49" s="115"/>
      <c r="B49" s="131"/>
      <c r="C49" s="131"/>
      <c r="D49" s="131"/>
      <c r="E49" s="131"/>
      <c r="H49" s="115"/>
      <c r="I49" s="115"/>
      <c r="J49" s="115"/>
      <c r="K49" s="115"/>
      <c r="L49" s="133"/>
      <c r="M49" s="115"/>
      <c r="N49" s="115"/>
      <c r="O49" s="115"/>
      <c r="P49" s="115"/>
      <c r="Q49" s="115"/>
      <c r="R49" s="115"/>
      <c r="S49" s="115"/>
      <c r="T49" s="115"/>
      <c r="U49" s="115"/>
      <c r="V49" s="115"/>
      <c r="W49" s="115"/>
      <c r="X49" s="115"/>
      <c r="Y49" s="115"/>
    </row>
    <row r="50" spans="1:25" s="123" customFormat="1">
      <c r="A50" s="115"/>
      <c r="B50" s="131"/>
      <c r="C50" s="131"/>
      <c r="D50" s="131"/>
      <c r="E50" s="131"/>
      <c r="H50" s="115"/>
      <c r="I50" s="115"/>
      <c r="J50" s="115"/>
      <c r="K50" s="115"/>
      <c r="L50" s="133"/>
      <c r="M50" s="115"/>
      <c r="N50" s="115"/>
      <c r="O50" s="115"/>
      <c r="P50" s="115"/>
      <c r="Q50" s="115"/>
      <c r="R50" s="115"/>
      <c r="S50" s="115"/>
      <c r="T50" s="115"/>
      <c r="U50" s="115"/>
      <c r="V50" s="115"/>
      <c r="W50" s="115"/>
      <c r="X50" s="115"/>
      <c r="Y50" s="115"/>
    </row>
    <row r="51" spans="1:25" s="123" customFormat="1">
      <c r="A51" s="115"/>
      <c r="B51" s="131"/>
      <c r="C51" s="131"/>
      <c r="D51" s="131"/>
      <c r="E51" s="131"/>
      <c r="H51" s="115"/>
      <c r="I51" s="115"/>
      <c r="J51" s="115"/>
      <c r="K51" s="115"/>
      <c r="L51" s="133"/>
      <c r="M51" s="115"/>
      <c r="N51" s="115"/>
      <c r="O51" s="115"/>
      <c r="P51" s="115"/>
      <c r="Q51" s="115"/>
      <c r="R51" s="115"/>
      <c r="S51" s="115"/>
      <c r="T51" s="115"/>
      <c r="U51" s="115"/>
      <c r="V51" s="115"/>
      <c r="W51" s="115"/>
      <c r="X51" s="115"/>
      <c r="Y51" s="115"/>
    </row>
    <row r="52" spans="1:25" s="123" customFormat="1">
      <c r="A52" s="115"/>
      <c r="B52" s="131"/>
      <c r="C52" s="131"/>
      <c r="D52" s="131"/>
      <c r="E52" s="131"/>
      <c r="H52" s="115"/>
      <c r="I52" s="115"/>
      <c r="J52" s="115"/>
      <c r="K52" s="115"/>
      <c r="L52" s="133"/>
      <c r="M52" s="115"/>
      <c r="N52" s="115"/>
      <c r="O52" s="115"/>
      <c r="P52" s="115"/>
      <c r="Q52" s="115"/>
      <c r="R52" s="115"/>
      <c r="S52" s="115"/>
      <c r="T52" s="115"/>
      <c r="U52" s="115"/>
      <c r="V52" s="115"/>
      <c r="W52" s="115"/>
      <c r="X52" s="115"/>
      <c r="Y52" s="115"/>
    </row>
    <row r="53" spans="1:25" s="123" customFormat="1">
      <c r="A53" s="115"/>
      <c r="B53" s="131"/>
      <c r="C53" s="131"/>
      <c r="D53" s="131"/>
      <c r="E53" s="131"/>
      <c r="H53" s="115"/>
      <c r="I53" s="115"/>
      <c r="J53" s="115"/>
      <c r="K53" s="115"/>
      <c r="L53" s="133"/>
      <c r="M53" s="115"/>
      <c r="N53" s="115"/>
      <c r="O53" s="115"/>
      <c r="P53" s="115"/>
      <c r="Q53" s="115"/>
      <c r="R53" s="115"/>
      <c r="S53" s="115"/>
      <c r="T53" s="115"/>
      <c r="U53" s="115"/>
      <c r="V53" s="115"/>
      <c r="W53" s="115"/>
      <c r="X53" s="115"/>
      <c r="Y53" s="115"/>
    </row>
    <row r="54" spans="1:25" s="123" customFormat="1">
      <c r="A54" s="115"/>
      <c r="B54" s="131"/>
      <c r="C54" s="131"/>
      <c r="D54" s="131"/>
      <c r="E54" s="131"/>
      <c r="H54" s="115"/>
      <c r="I54" s="115"/>
      <c r="J54" s="115"/>
      <c r="K54" s="115"/>
      <c r="L54" s="133"/>
      <c r="M54" s="115"/>
      <c r="N54" s="115"/>
      <c r="O54" s="115"/>
      <c r="P54" s="115"/>
      <c r="Q54" s="115"/>
      <c r="R54" s="115"/>
      <c r="S54" s="115"/>
      <c r="T54" s="115"/>
      <c r="U54" s="115"/>
      <c r="V54" s="115"/>
      <c r="W54" s="115"/>
      <c r="X54" s="115"/>
      <c r="Y54" s="115"/>
    </row>
    <row r="55" spans="1:25" s="123" customFormat="1">
      <c r="A55" s="115"/>
      <c r="B55" s="131"/>
      <c r="C55" s="131"/>
      <c r="D55" s="131"/>
      <c r="E55" s="131"/>
      <c r="H55" s="115"/>
      <c r="I55" s="115"/>
      <c r="J55" s="115"/>
      <c r="K55" s="115"/>
      <c r="L55" s="133"/>
      <c r="M55" s="115"/>
      <c r="N55" s="115"/>
      <c r="O55" s="115"/>
      <c r="P55" s="115"/>
      <c r="Q55" s="115"/>
      <c r="R55" s="115"/>
      <c r="S55" s="115"/>
      <c r="T55" s="115"/>
      <c r="U55" s="115"/>
      <c r="V55" s="115"/>
      <c r="W55" s="115"/>
      <c r="X55" s="115"/>
      <c r="Y55" s="115"/>
    </row>
    <row r="56" spans="1:25" s="123" customFormat="1">
      <c r="A56" s="115"/>
      <c r="B56" s="131"/>
      <c r="C56" s="131"/>
      <c r="D56" s="131"/>
      <c r="E56" s="131"/>
      <c r="H56" s="115"/>
      <c r="I56" s="115"/>
      <c r="J56" s="115"/>
      <c r="K56" s="115"/>
      <c r="L56" s="133"/>
      <c r="M56" s="115"/>
      <c r="N56" s="115"/>
      <c r="O56" s="115"/>
      <c r="P56" s="115"/>
      <c r="Q56" s="115"/>
      <c r="R56" s="115"/>
      <c r="S56" s="115"/>
      <c r="T56" s="115"/>
      <c r="U56" s="115"/>
      <c r="V56" s="115"/>
      <c r="W56" s="115"/>
      <c r="X56" s="115"/>
      <c r="Y56" s="115"/>
    </row>
    <row r="57" spans="1:25" s="123" customFormat="1">
      <c r="A57" s="115"/>
      <c r="B57" s="131"/>
      <c r="C57" s="131"/>
      <c r="D57" s="131"/>
      <c r="E57" s="131"/>
      <c r="H57" s="115"/>
      <c r="I57" s="115"/>
      <c r="J57" s="115"/>
      <c r="K57" s="115"/>
      <c r="L57" s="133"/>
      <c r="M57" s="115"/>
      <c r="N57" s="115"/>
      <c r="O57" s="115"/>
      <c r="P57" s="115"/>
      <c r="Q57" s="115"/>
      <c r="R57" s="115"/>
      <c r="S57" s="115"/>
      <c r="T57" s="115"/>
      <c r="U57" s="115"/>
      <c r="V57" s="115"/>
      <c r="W57" s="115"/>
      <c r="X57" s="115"/>
      <c r="Y57" s="115"/>
    </row>
    <row r="58" spans="1:25" s="123" customFormat="1">
      <c r="A58" s="115"/>
      <c r="B58" s="131"/>
      <c r="C58" s="131"/>
      <c r="D58" s="131"/>
      <c r="E58" s="131"/>
      <c r="H58" s="115"/>
      <c r="I58" s="115"/>
      <c r="J58" s="115"/>
      <c r="K58" s="115"/>
      <c r="L58" s="133"/>
      <c r="M58" s="115"/>
      <c r="N58" s="115"/>
      <c r="O58" s="115"/>
      <c r="P58" s="115"/>
      <c r="Q58" s="115"/>
      <c r="R58" s="115"/>
      <c r="S58" s="115"/>
      <c r="T58" s="115"/>
      <c r="U58" s="115"/>
      <c r="V58" s="115"/>
      <c r="W58" s="115"/>
      <c r="X58" s="115"/>
      <c r="Y58" s="115"/>
    </row>
    <row r="59" spans="1:25" s="123" customFormat="1">
      <c r="A59" s="115"/>
      <c r="B59" s="131"/>
      <c r="C59" s="131"/>
      <c r="D59" s="131"/>
      <c r="E59" s="131"/>
      <c r="H59" s="115"/>
      <c r="I59" s="115"/>
      <c r="J59" s="115"/>
      <c r="K59" s="115"/>
      <c r="L59" s="133"/>
      <c r="M59" s="115"/>
      <c r="N59" s="115"/>
      <c r="O59" s="115"/>
      <c r="P59" s="115"/>
      <c r="Q59" s="115"/>
      <c r="R59" s="115"/>
      <c r="S59" s="115"/>
      <c r="T59" s="115"/>
      <c r="U59" s="115"/>
      <c r="V59" s="115"/>
      <c r="W59" s="115"/>
      <c r="X59" s="115"/>
      <c r="Y59" s="115"/>
    </row>
    <row r="60" spans="1:25" s="123" customFormat="1">
      <c r="A60" s="115"/>
      <c r="B60" s="131"/>
      <c r="C60" s="131"/>
      <c r="D60" s="131"/>
      <c r="E60" s="131"/>
      <c r="H60" s="115"/>
      <c r="I60" s="115"/>
      <c r="J60" s="115"/>
      <c r="K60" s="115"/>
      <c r="L60" s="133"/>
      <c r="M60" s="115"/>
      <c r="N60" s="115"/>
      <c r="O60" s="115"/>
      <c r="P60" s="115"/>
      <c r="Q60" s="115"/>
      <c r="R60" s="115"/>
      <c r="S60" s="115"/>
      <c r="T60" s="115"/>
      <c r="U60" s="115"/>
      <c r="V60" s="115"/>
      <c r="W60" s="115"/>
      <c r="X60" s="115"/>
      <c r="Y60" s="115"/>
    </row>
    <row r="61" spans="1:25" s="123" customFormat="1">
      <c r="A61" s="115"/>
      <c r="B61" s="131"/>
      <c r="C61" s="131"/>
      <c r="D61" s="131"/>
      <c r="E61" s="131"/>
      <c r="H61" s="115"/>
      <c r="I61" s="115"/>
      <c r="J61" s="115"/>
      <c r="K61" s="115"/>
      <c r="L61" s="133"/>
      <c r="M61" s="115"/>
      <c r="N61" s="115"/>
      <c r="O61" s="115"/>
      <c r="P61" s="115"/>
      <c r="Q61" s="115"/>
      <c r="R61" s="115"/>
      <c r="S61" s="115"/>
      <c r="T61" s="115"/>
      <c r="U61" s="115"/>
      <c r="V61" s="115"/>
      <c r="W61" s="115"/>
      <c r="X61" s="115"/>
      <c r="Y61" s="115"/>
    </row>
    <row r="62" spans="1:25" s="123" customFormat="1">
      <c r="A62" s="115"/>
      <c r="B62" s="131"/>
      <c r="C62" s="131"/>
      <c r="D62" s="131"/>
      <c r="E62" s="131"/>
      <c r="H62" s="115"/>
      <c r="I62" s="115"/>
      <c r="J62" s="115"/>
      <c r="K62" s="115"/>
      <c r="L62" s="133"/>
      <c r="M62" s="115"/>
      <c r="N62" s="115"/>
      <c r="O62" s="115"/>
      <c r="P62" s="115"/>
      <c r="Q62" s="115"/>
      <c r="R62" s="115"/>
      <c r="S62" s="115"/>
      <c r="T62" s="115"/>
      <c r="U62" s="115"/>
      <c r="V62" s="115"/>
      <c r="W62" s="115"/>
      <c r="X62" s="115"/>
      <c r="Y62" s="115"/>
    </row>
    <row r="63" spans="1:25" s="123" customFormat="1">
      <c r="A63" s="115"/>
      <c r="B63" s="131"/>
      <c r="C63" s="131"/>
      <c r="D63" s="131"/>
      <c r="E63" s="131"/>
      <c r="H63" s="115"/>
      <c r="I63" s="115"/>
      <c r="J63" s="115"/>
      <c r="K63" s="115"/>
      <c r="L63" s="133"/>
      <c r="M63" s="115"/>
      <c r="N63" s="115"/>
      <c r="O63" s="115"/>
      <c r="P63" s="115"/>
      <c r="Q63" s="115"/>
      <c r="R63" s="115"/>
      <c r="S63" s="115"/>
      <c r="T63" s="115"/>
      <c r="U63" s="115"/>
      <c r="V63" s="115"/>
      <c r="W63" s="115"/>
      <c r="X63" s="115"/>
      <c r="Y63" s="115"/>
    </row>
    <row r="64" spans="1:25" s="123" customFormat="1">
      <c r="A64" s="115"/>
      <c r="B64" s="131"/>
      <c r="C64" s="131"/>
      <c r="D64" s="131"/>
      <c r="E64" s="131"/>
      <c r="H64" s="115"/>
      <c r="I64" s="115"/>
      <c r="J64" s="115"/>
      <c r="K64" s="115"/>
      <c r="L64" s="133"/>
      <c r="M64" s="115"/>
      <c r="N64" s="115"/>
      <c r="O64" s="115"/>
      <c r="P64" s="115"/>
      <c r="Q64" s="115"/>
      <c r="R64" s="115"/>
      <c r="S64" s="115"/>
      <c r="T64" s="115"/>
      <c r="U64" s="115"/>
      <c r="V64" s="115"/>
      <c r="W64" s="115"/>
      <c r="X64" s="115"/>
      <c r="Y64" s="115"/>
    </row>
    <row r="65" spans="1:25" s="123" customFormat="1">
      <c r="A65" s="115"/>
      <c r="B65" s="131"/>
      <c r="C65" s="131"/>
      <c r="D65" s="131"/>
      <c r="E65" s="131"/>
      <c r="H65" s="115"/>
      <c r="I65" s="115"/>
      <c r="J65" s="115"/>
      <c r="K65" s="115"/>
      <c r="L65" s="133"/>
      <c r="M65" s="115"/>
      <c r="N65" s="115"/>
      <c r="O65" s="115"/>
      <c r="P65" s="115"/>
      <c r="Q65" s="115"/>
      <c r="R65" s="115"/>
      <c r="S65" s="115"/>
      <c r="T65" s="115"/>
      <c r="U65" s="115"/>
      <c r="V65" s="115"/>
      <c r="W65" s="115"/>
      <c r="X65" s="115"/>
      <c r="Y65" s="115"/>
    </row>
    <row r="66" spans="1:25" s="123" customFormat="1">
      <c r="A66" s="115"/>
      <c r="B66" s="131"/>
      <c r="C66" s="131"/>
      <c r="D66" s="131"/>
      <c r="E66" s="131"/>
      <c r="H66" s="115"/>
      <c r="I66" s="115"/>
      <c r="J66" s="115"/>
      <c r="K66" s="115"/>
      <c r="L66" s="133"/>
      <c r="M66" s="115"/>
      <c r="N66" s="115"/>
      <c r="O66" s="115"/>
      <c r="P66" s="115"/>
      <c r="Q66" s="115"/>
      <c r="R66" s="115"/>
      <c r="S66" s="115"/>
      <c r="T66" s="115"/>
      <c r="U66" s="115"/>
      <c r="V66" s="115"/>
      <c r="W66" s="115"/>
      <c r="X66" s="115"/>
      <c r="Y66" s="115"/>
    </row>
    <row r="67" spans="1:25" s="123" customFormat="1">
      <c r="A67" s="115"/>
      <c r="B67" s="131"/>
      <c r="C67" s="131"/>
      <c r="D67" s="131"/>
      <c r="E67" s="131"/>
      <c r="H67" s="115"/>
      <c r="I67" s="115"/>
      <c r="J67" s="115"/>
      <c r="K67" s="115"/>
      <c r="L67" s="133"/>
      <c r="M67" s="115"/>
      <c r="N67" s="115"/>
      <c r="O67" s="115"/>
      <c r="P67" s="115"/>
      <c r="Q67" s="115"/>
      <c r="R67" s="115"/>
      <c r="S67" s="115"/>
      <c r="T67" s="115"/>
      <c r="U67" s="115"/>
      <c r="V67" s="115"/>
      <c r="W67" s="115"/>
      <c r="X67" s="115"/>
      <c r="Y67" s="115"/>
    </row>
    <row r="68" spans="1:25" s="123" customFormat="1">
      <c r="A68" s="115"/>
      <c r="B68" s="131"/>
      <c r="C68" s="131"/>
      <c r="D68" s="131"/>
      <c r="E68" s="131"/>
      <c r="H68" s="115"/>
      <c r="I68" s="115"/>
      <c r="J68" s="115"/>
      <c r="K68" s="115"/>
      <c r="L68" s="133"/>
      <c r="M68" s="115"/>
      <c r="N68" s="115"/>
      <c r="O68" s="115"/>
      <c r="P68" s="115"/>
      <c r="Q68" s="115"/>
      <c r="R68" s="115"/>
      <c r="S68" s="115"/>
      <c r="T68" s="115"/>
      <c r="U68" s="115"/>
      <c r="V68" s="115"/>
      <c r="W68" s="115"/>
      <c r="X68" s="115"/>
      <c r="Y68" s="115"/>
    </row>
    <row r="69" spans="1:25" s="123" customFormat="1">
      <c r="A69" s="115"/>
      <c r="B69" s="131"/>
      <c r="C69" s="131"/>
      <c r="D69" s="131"/>
      <c r="E69" s="131"/>
      <c r="H69" s="115"/>
      <c r="I69" s="115"/>
      <c r="J69" s="115"/>
      <c r="K69" s="115"/>
      <c r="L69" s="133"/>
      <c r="M69" s="115"/>
      <c r="N69" s="115"/>
      <c r="O69" s="115"/>
      <c r="P69" s="115"/>
      <c r="Q69" s="115"/>
      <c r="R69" s="115"/>
      <c r="S69" s="115"/>
      <c r="T69" s="115"/>
      <c r="U69" s="115"/>
      <c r="V69" s="115"/>
      <c r="W69" s="115"/>
      <c r="X69" s="115"/>
      <c r="Y69" s="115"/>
    </row>
  </sheetData>
  <autoFilter ref="A2:Y27" xr:uid="{00000000-0009-0000-0000-00000A000000}"/>
  <mergeCells count="7">
    <mergeCell ref="B1:K1"/>
    <mergeCell ref="A5:A7"/>
    <mergeCell ref="A9:A11"/>
    <mergeCell ref="A31:A33"/>
    <mergeCell ref="B5:B7"/>
    <mergeCell ref="B9:B11"/>
    <mergeCell ref="B31:B33"/>
  </mergeCells>
  <phoneticPr fontId="120" type="noConversion"/>
  <conditionalFormatting sqref="C3:E3">
    <cfRule type="containsBlanks" dxfId="24" priority="4">
      <formula>LEN(TRIM(C3))=0</formula>
    </cfRule>
  </conditionalFormatting>
  <conditionalFormatting sqref="F3">
    <cfRule type="containsBlanks" dxfId="23" priority="11">
      <formula>LEN(TRIM(F3))=0</formula>
    </cfRule>
  </conditionalFormatting>
  <conditionalFormatting sqref="A34:XFD1048576 B32:XFD33 B6:XFD7 A1:XFD5 A12:XFD31 B10:XFD11 A8:XFD9">
    <cfRule type="cellIs" dxfId="22" priority="3" operator="equal">
      <formula>0</formula>
    </cfRule>
  </conditionalFormatting>
  <conditionalFormatting sqref="V3:X4 V8:X8 V12:X26">
    <cfRule type="cellIs" dxfId="21" priority="2" operator="equal">
      <formula>0</formula>
    </cfRule>
  </conditionalFormatting>
  <pageMargins left="0.7" right="0.7" top="0.75" bottom="0.75" header="0.3" footer="0.3"/>
  <pageSetup paperSize="9" scale="41" fitToHeight="0" orientation="portrait"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4">
    <tabColor rgb="FF92D050"/>
    <pageSetUpPr fitToPage="1"/>
  </sheetPr>
  <dimension ref="A1:N45"/>
  <sheetViews>
    <sheetView showGridLines="0" zoomScale="70" zoomScaleNormal="70" zoomScaleSheetLayoutView="70" workbookViewId="0">
      <selection activeCell="H11" sqref="H11"/>
    </sheetView>
  </sheetViews>
  <sheetFormatPr defaultColWidth="8.625" defaultRowHeight="15"/>
  <cols>
    <col min="1" max="1" width="7" style="115" customWidth="1"/>
    <col min="2" max="2" width="8.125" style="115" customWidth="1"/>
    <col min="3" max="3" width="27.125" style="123" customWidth="1"/>
    <col min="4" max="4" width="20.75" style="115" customWidth="1"/>
    <col min="5" max="5" width="22.875" style="123" customWidth="1"/>
    <col min="6" max="6" width="71.5" style="123" customWidth="1"/>
    <col min="7" max="7" width="9" style="115" customWidth="1"/>
    <col min="8" max="8" width="10.625" style="115" customWidth="1"/>
    <col min="9" max="16384" width="8.625" style="115"/>
  </cols>
  <sheetData>
    <row r="1" spans="1:14" ht="30" customHeight="1">
      <c r="B1" s="124" t="s">
        <v>37</v>
      </c>
      <c r="C1" s="125" t="s">
        <v>38</v>
      </c>
      <c r="D1" s="125" t="s">
        <v>39</v>
      </c>
      <c r="E1" s="125" t="s">
        <v>40</v>
      </c>
      <c r="F1" s="125" t="s">
        <v>41</v>
      </c>
      <c r="G1" s="125" t="s">
        <v>42</v>
      </c>
      <c r="H1" s="126" t="s">
        <v>43</v>
      </c>
      <c r="I1" s="975" t="s">
        <v>1647</v>
      </c>
      <c r="J1" s="976"/>
      <c r="K1" s="976"/>
      <c r="L1" s="976"/>
      <c r="M1" s="976"/>
      <c r="N1" s="976"/>
    </row>
    <row r="2" spans="1:14" ht="30" customHeight="1">
      <c r="B2" s="124">
        <v>2</v>
      </c>
      <c r="C2" s="127" t="s">
        <v>1648</v>
      </c>
      <c r="D2" s="127" t="s">
        <v>341</v>
      </c>
      <c r="E2" s="128">
        <v>2700</v>
      </c>
      <c r="F2" s="129" t="s">
        <v>1649</v>
      </c>
      <c r="G2" s="127">
        <v>1</v>
      </c>
      <c r="H2" s="130">
        <v>30</v>
      </c>
    </row>
    <row r="3" spans="1:14" ht="30" customHeight="1">
      <c r="B3" s="124">
        <v>3</v>
      </c>
      <c r="C3" s="127" t="s">
        <v>1650</v>
      </c>
      <c r="D3" s="127" t="s">
        <v>292</v>
      </c>
      <c r="E3" s="128" t="s">
        <v>1651</v>
      </c>
      <c r="F3" s="129" t="s">
        <v>1652</v>
      </c>
      <c r="G3" s="127">
        <v>1</v>
      </c>
      <c r="H3" s="130">
        <v>30</v>
      </c>
      <c r="I3" s="114" t="s">
        <v>1653</v>
      </c>
    </row>
    <row r="4" spans="1:14" ht="30" customHeight="1">
      <c r="B4" s="124">
        <v>4</v>
      </c>
      <c r="C4" s="127" t="s">
        <v>1654</v>
      </c>
      <c r="D4" s="127" t="s">
        <v>387</v>
      </c>
      <c r="E4" s="128">
        <v>300</v>
      </c>
      <c r="F4" s="129" t="s">
        <v>1655</v>
      </c>
      <c r="G4" s="127">
        <v>1</v>
      </c>
      <c r="H4" s="130">
        <v>30</v>
      </c>
      <c r="I4" s="131" t="s">
        <v>1656</v>
      </c>
    </row>
    <row r="5" spans="1:14" ht="30" customHeight="1">
      <c r="B5" s="124"/>
      <c r="C5" s="127"/>
      <c r="D5" s="127"/>
      <c r="E5" s="128"/>
      <c r="F5" s="129"/>
      <c r="G5" s="127"/>
      <c r="H5" s="130"/>
    </row>
    <row r="6" spans="1:14" ht="30" customHeight="1">
      <c r="B6" s="124"/>
      <c r="C6" s="127"/>
      <c r="D6" s="127"/>
      <c r="E6" s="128"/>
      <c r="F6" s="129"/>
      <c r="G6" s="127"/>
      <c r="H6" s="130"/>
    </row>
    <row r="7" spans="1:14" ht="30" customHeight="1">
      <c r="B7" s="124"/>
      <c r="C7" s="127"/>
      <c r="D7" s="127"/>
      <c r="E7" s="128"/>
      <c r="F7" s="129"/>
      <c r="G7" s="127"/>
      <c r="H7" s="130"/>
    </row>
    <row r="8" spans="1:14" ht="30" customHeight="1">
      <c r="B8" s="124"/>
      <c r="C8" s="127"/>
      <c r="D8" s="127"/>
      <c r="E8" s="128"/>
      <c r="F8" s="129"/>
      <c r="G8" s="127"/>
      <c r="H8" s="130"/>
    </row>
    <row r="9" spans="1:14" ht="30" customHeight="1">
      <c r="B9" s="124"/>
      <c r="C9" s="127"/>
      <c r="D9" s="127"/>
      <c r="E9" s="128"/>
      <c r="F9" s="129"/>
      <c r="G9" s="127"/>
      <c r="H9" s="130"/>
    </row>
    <row r="10" spans="1:14" ht="30" customHeight="1">
      <c r="B10" s="124"/>
      <c r="C10" s="127"/>
      <c r="D10" s="127"/>
      <c r="E10" s="128"/>
      <c r="F10" s="129"/>
      <c r="G10" s="127"/>
      <c r="H10" s="130"/>
    </row>
    <row r="11" spans="1:14" ht="30" customHeight="1">
      <c r="A11" s="131"/>
      <c r="B11" s="124"/>
      <c r="C11" s="127"/>
      <c r="D11" s="127"/>
      <c r="E11" s="128"/>
      <c r="F11" s="129"/>
      <c r="G11" s="127"/>
      <c r="H11" s="130"/>
    </row>
    <row r="12" spans="1:14" ht="30" customHeight="1">
      <c r="A12" s="131"/>
      <c r="B12" s="124"/>
      <c r="C12" s="127"/>
      <c r="D12" s="127"/>
      <c r="E12" s="128"/>
      <c r="F12" s="129"/>
      <c r="G12" s="127"/>
      <c r="H12" s="130"/>
    </row>
    <row r="13" spans="1:14" ht="30" customHeight="1">
      <c r="A13" s="131"/>
      <c r="B13" s="124"/>
      <c r="C13" s="127"/>
      <c r="D13" s="127"/>
      <c r="E13" s="128"/>
      <c r="F13" s="129"/>
      <c r="G13" s="127"/>
      <c r="H13" s="130"/>
    </row>
    <row r="14" spans="1:14" ht="30" customHeight="1">
      <c r="B14" s="124"/>
      <c r="C14" s="127"/>
      <c r="D14" s="127"/>
      <c r="E14" s="128"/>
      <c r="F14" s="129"/>
      <c r="G14" s="127"/>
      <c r="H14" s="130"/>
    </row>
    <row r="15" spans="1:14" ht="30" customHeight="1">
      <c r="B15" s="124"/>
      <c r="C15" s="127"/>
      <c r="D15" s="127"/>
      <c r="E15" s="128"/>
      <c r="F15" s="129"/>
      <c r="G15" s="127"/>
      <c r="H15" s="130"/>
    </row>
    <row r="16" spans="1:14" ht="30" customHeight="1">
      <c r="B16" s="124"/>
      <c r="C16" s="127"/>
      <c r="D16" s="127"/>
      <c r="E16" s="128"/>
      <c r="F16" s="129"/>
      <c r="G16" s="127"/>
      <c r="H16" s="130"/>
    </row>
    <row r="17" spans="1:8" ht="30" customHeight="1">
      <c r="B17" s="124"/>
      <c r="C17" s="127"/>
      <c r="D17" s="127"/>
      <c r="E17" s="128"/>
      <c r="F17" s="129"/>
      <c r="G17" s="127"/>
      <c r="H17" s="130"/>
    </row>
    <row r="18" spans="1:8" ht="30" customHeight="1">
      <c r="B18" s="124"/>
      <c r="C18" s="127"/>
      <c r="D18" s="127"/>
      <c r="E18" s="128"/>
      <c r="F18" s="129"/>
      <c r="G18" s="127"/>
      <c r="H18" s="130"/>
    </row>
    <row r="19" spans="1:8" ht="30" customHeight="1">
      <c r="B19" s="124"/>
      <c r="C19" s="127"/>
      <c r="D19" s="127"/>
      <c r="E19" s="128"/>
      <c r="F19" s="129"/>
      <c r="G19" s="127"/>
      <c r="H19" s="130"/>
    </row>
    <row r="20" spans="1:8" ht="30" customHeight="1">
      <c r="B20" s="124"/>
      <c r="C20" s="127"/>
      <c r="D20" s="127"/>
      <c r="E20" s="128"/>
      <c r="F20" s="129"/>
      <c r="G20" s="127"/>
      <c r="H20" s="130"/>
    </row>
    <row r="21" spans="1:8" ht="30" customHeight="1">
      <c r="B21" s="124"/>
      <c r="C21" s="127"/>
      <c r="D21" s="127"/>
      <c r="E21" s="128"/>
      <c r="F21" s="129"/>
      <c r="G21" s="127"/>
      <c r="H21" s="130"/>
    </row>
    <row r="22" spans="1:8" ht="30" customHeight="1">
      <c r="B22" s="124"/>
      <c r="C22" s="127"/>
      <c r="D22" s="127"/>
      <c r="E22" s="128"/>
      <c r="F22" s="129"/>
      <c r="G22" s="127"/>
      <c r="H22" s="130"/>
    </row>
    <row r="23" spans="1:8" s="123" customFormat="1" ht="30" customHeight="1">
      <c r="A23" s="115"/>
      <c r="B23" s="124"/>
      <c r="C23" s="127"/>
      <c r="D23" s="127"/>
      <c r="E23" s="128"/>
      <c r="F23" s="129"/>
      <c r="G23" s="127"/>
      <c r="H23" s="130"/>
    </row>
    <row r="24" spans="1:8" s="123" customFormat="1" ht="30" customHeight="1">
      <c r="A24" s="115"/>
      <c r="B24" s="124"/>
      <c r="C24" s="127"/>
      <c r="D24" s="127"/>
      <c r="E24" s="128"/>
      <c r="F24" s="129"/>
      <c r="G24" s="127"/>
      <c r="H24" s="130"/>
    </row>
    <row r="25" spans="1:8" s="123" customFormat="1" ht="30" customHeight="1">
      <c r="A25" s="115"/>
      <c r="B25" s="124"/>
      <c r="C25" s="127"/>
      <c r="D25" s="127"/>
      <c r="E25" s="128"/>
      <c r="F25" s="129"/>
      <c r="G25" s="127"/>
      <c r="H25" s="130"/>
    </row>
    <row r="26" spans="1:8" s="123" customFormat="1" ht="30" customHeight="1">
      <c r="A26" s="115"/>
      <c r="B26" s="124"/>
      <c r="C26" s="127"/>
      <c r="D26" s="127"/>
      <c r="E26" s="128"/>
      <c r="F26" s="129"/>
      <c r="G26" s="127"/>
      <c r="H26" s="130"/>
    </row>
    <row r="27" spans="1:8" s="123" customFormat="1" ht="30" customHeight="1">
      <c r="A27" s="115"/>
      <c r="B27" s="124"/>
      <c r="C27" s="127"/>
      <c r="D27" s="127"/>
      <c r="E27" s="128"/>
      <c r="F27" s="129"/>
      <c r="G27" s="127"/>
      <c r="H27" s="130"/>
    </row>
    <row r="28" spans="1:8" s="123" customFormat="1" ht="30" customHeight="1">
      <c r="A28" s="115"/>
      <c r="B28" s="124"/>
      <c r="C28" s="127"/>
      <c r="D28" s="127"/>
      <c r="E28" s="128"/>
      <c r="F28" s="129"/>
      <c r="G28" s="127"/>
      <c r="H28" s="130"/>
    </row>
    <row r="29" spans="1:8" s="123" customFormat="1" ht="30" customHeight="1">
      <c r="A29" s="115"/>
      <c r="B29" s="124"/>
      <c r="C29" s="127"/>
      <c r="D29" s="127"/>
      <c r="E29" s="128"/>
      <c r="F29" s="129"/>
      <c r="G29" s="127"/>
      <c r="H29" s="130"/>
    </row>
    <row r="30" spans="1:8" s="123" customFormat="1" ht="30" customHeight="1">
      <c r="A30" s="115"/>
      <c r="B30" s="124"/>
      <c r="C30" s="127"/>
      <c r="D30" s="127"/>
      <c r="E30" s="128"/>
      <c r="F30" s="129"/>
      <c r="G30" s="127"/>
      <c r="H30" s="130"/>
    </row>
    <row r="31" spans="1:8" s="123" customFormat="1" ht="30" customHeight="1">
      <c r="A31" s="115"/>
      <c r="B31" s="124"/>
      <c r="C31" s="127"/>
      <c r="D31" s="127"/>
      <c r="E31" s="128"/>
      <c r="F31" s="129"/>
      <c r="G31" s="127"/>
      <c r="H31" s="130"/>
    </row>
    <row r="32" spans="1:8" s="123" customFormat="1" ht="30" customHeight="1">
      <c r="A32" s="115"/>
      <c r="B32" s="124"/>
      <c r="C32" s="127"/>
      <c r="D32" s="127"/>
      <c r="E32" s="128"/>
      <c r="F32" s="129"/>
      <c r="G32" s="127"/>
      <c r="H32" s="130"/>
    </row>
    <row r="33" spans="1:8" s="123" customFormat="1" ht="30" customHeight="1">
      <c r="A33" s="115"/>
      <c r="B33" s="124"/>
      <c r="C33" s="127"/>
      <c r="D33" s="127"/>
      <c r="E33" s="128"/>
      <c r="F33" s="129"/>
      <c r="G33" s="127"/>
      <c r="H33" s="130"/>
    </row>
    <row r="34" spans="1:8" s="123" customFormat="1">
      <c r="A34" s="115"/>
      <c r="B34" s="131"/>
      <c r="C34" s="132"/>
      <c r="D34" s="131"/>
      <c r="G34" s="115"/>
      <c r="H34" s="115"/>
    </row>
    <row r="35" spans="1:8" s="123" customFormat="1">
      <c r="A35" s="115"/>
      <c r="B35" s="131"/>
      <c r="C35" s="132"/>
      <c r="D35" s="131"/>
      <c r="G35" s="115"/>
      <c r="H35" s="115"/>
    </row>
    <row r="36" spans="1:8" s="123" customFormat="1">
      <c r="A36" s="115"/>
      <c r="B36" s="131"/>
      <c r="C36" s="132"/>
      <c r="D36" s="131"/>
      <c r="G36" s="115"/>
      <c r="H36" s="115"/>
    </row>
    <row r="37" spans="1:8" s="123" customFormat="1">
      <c r="A37" s="115"/>
      <c r="B37" s="131"/>
      <c r="C37" s="132"/>
      <c r="D37" s="131"/>
      <c r="G37" s="115"/>
      <c r="H37" s="115"/>
    </row>
    <row r="38" spans="1:8" s="123" customFormat="1">
      <c r="A38" s="115"/>
      <c r="B38" s="131"/>
      <c r="C38" s="132"/>
      <c r="D38" s="131"/>
      <c r="G38" s="115"/>
      <c r="H38" s="115"/>
    </row>
    <row r="39" spans="1:8" s="123" customFormat="1">
      <c r="A39" s="115"/>
      <c r="B39" s="131"/>
      <c r="C39" s="132"/>
      <c r="D39" s="131"/>
      <c r="G39" s="115"/>
      <c r="H39" s="115"/>
    </row>
    <row r="40" spans="1:8" s="123" customFormat="1">
      <c r="A40" s="115"/>
      <c r="B40" s="131"/>
      <c r="C40" s="132"/>
      <c r="D40" s="131"/>
      <c r="G40" s="115"/>
      <c r="H40" s="115"/>
    </row>
    <row r="41" spans="1:8" s="123" customFormat="1">
      <c r="A41" s="115"/>
      <c r="B41" s="131"/>
      <c r="C41" s="132"/>
      <c r="D41" s="131"/>
      <c r="G41" s="115"/>
      <c r="H41" s="115"/>
    </row>
    <row r="42" spans="1:8" s="123" customFormat="1">
      <c r="A42" s="115"/>
      <c r="B42" s="131"/>
      <c r="C42" s="132"/>
      <c r="D42" s="131"/>
      <c r="G42" s="115"/>
      <c r="H42" s="115"/>
    </row>
    <row r="43" spans="1:8" s="123" customFormat="1">
      <c r="A43" s="115"/>
      <c r="B43" s="131"/>
      <c r="C43" s="132"/>
      <c r="D43" s="131"/>
      <c r="G43" s="115"/>
      <c r="H43" s="115"/>
    </row>
    <row r="44" spans="1:8" s="123" customFormat="1">
      <c r="A44" s="115"/>
      <c r="B44" s="131"/>
      <c r="C44" s="132"/>
      <c r="D44" s="131"/>
      <c r="G44" s="115"/>
      <c r="H44" s="115"/>
    </row>
    <row r="45" spans="1:8" s="123" customFormat="1">
      <c r="A45" s="115"/>
      <c r="B45" s="131"/>
      <c r="C45" s="132"/>
      <c r="D45" s="131"/>
      <c r="G45" s="115"/>
      <c r="H45" s="115"/>
    </row>
  </sheetData>
  <autoFilter ref="A1:H4" xr:uid="{00000000-0009-0000-0000-00000B000000}"/>
  <mergeCells count="1">
    <mergeCell ref="I1:N1"/>
  </mergeCells>
  <phoneticPr fontId="120" type="noConversion"/>
  <conditionalFormatting sqref="E2:E33">
    <cfRule type="expression" dxfId="20" priority="10">
      <formula>ISNUMBER(SEARCH("guard",C2))</formula>
    </cfRule>
    <cfRule type="expression" dxfId="19" priority="12">
      <formula>ISNUMBER(SEARCH("protector",C2))</formula>
    </cfRule>
    <cfRule type="expression" dxfId="18" priority="13">
      <formula>ISNUMBER(SEARCH("beam",C2))</formula>
    </cfRule>
  </conditionalFormatting>
  <conditionalFormatting sqref="H2:H33">
    <cfRule type="expression" dxfId="17" priority="3">
      <formula>#REF!&gt;1</formula>
    </cfRule>
    <cfRule type="expression" dxfId="16" priority="8">
      <formula>#REF!=1</formula>
    </cfRule>
  </conditionalFormatting>
  <conditionalFormatting sqref="B1:H33">
    <cfRule type="cellIs" dxfId="15" priority="5" operator="equal">
      <formula>0</formula>
    </cfRule>
  </conditionalFormatting>
  <pageMargins left="0.70866141732283505" right="0.70866141732283505" top="0.74803149606299202" bottom="0.74803149606299202" header="0.31496062992126" footer="0.31496062992126"/>
  <pageSetup paperSize="9" scale="48" fitToHeight="0" orientation="portrait" errors="blank"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AF217"/>
  <sheetViews>
    <sheetView topLeftCell="A19" zoomScale="130" zoomScaleNormal="130" workbookViewId="0">
      <selection activeCell="D31" sqref="D31"/>
    </sheetView>
  </sheetViews>
  <sheetFormatPr defaultColWidth="9" defaultRowHeight="14.25"/>
  <cols>
    <col min="2" max="2" width="45.5" customWidth="1"/>
    <col min="4" max="4" width="31.625" customWidth="1"/>
    <col min="5" max="5" width="58.25" style="110" customWidth="1"/>
    <col min="6" max="8" width="14.5" customWidth="1"/>
    <col min="12" max="12" width="14.625" customWidth="1"/>
    <col min="13" max="13" width="18.75" customWidth="1"/>
    <col min="15" max="15" width="17.25" customWidth="1"/>
    <col min="16" max="16" width="33.875" customWidth="1"/>
    <col min="17" max="17" width="17.25" customWidth="1"/>
  </cols>
  <sheetData>
    <row r="1" spans="1:32">
      <c r="A1" s="54" t="str">
        <f>[3]客户清单!A1</f>
        <v>国家</v>
      </c>
      <c r="B1" s="54" t="str">
        <f>[3]客户清单!B1</f>
        <v>客户</v>
      </c>
      <c r="C1" s="54" t="str">
        <f>[3]客户清单!C1</f>
        <v>客户代码</v>
      </c>
      <c r="D1" s="54" t="str">
        <f>[3]客户清单!D1</f>
        <v>Contact:</v>
      </c>
      <c r="E1" s="111" t="str">
        <f>[3]客户清单!E1</f>
        <v>客户特殊要求</v>
      </c>
      <c r="F1" s="54" t="s">
        <v>412</v>
      </c>
      <c r="G1" s="54" t="s">
        <v>51</v>
      </c>
      <c r="H1" s="54" t="s">
        <v>68</v>
      </c>
      <c r="I1" s="54"/>
      <c r="J1" s="54"/>
      <c r="K1" s="54"/>
      <c r="L1" s="54" t="str">
        <f>[3]客户清单!P1</f>
        <v>堡力思联系人</v>
      </c>
      <c r="M1" s="54" t="str">
        <f>[3]客户清单!Q1</f>
        <v>堡力思邮箱</v>
      </c>
      <c r="N1" s="54">
        <f>[3]客户清单!R1</f>
        <v>0</v>
      </c>
      <c r="O1" s="54" t="str">
        <f>[3]客户清单!S1</f>
        <v>中文</v>
      </c>
      <c r="P1" s="54" t="str">
        <f>[3]客户清单!T1</f>
        <v>英文</v>
      </c>
      <c r="Q1" s="54" t="str">
        <f>[3]客户清单!U1</f>
        <v>中文</v>
      </c>
      <c r="R1" s="54"/>
      <c r="S1" s="54"/>
      <c r="T1" s="54"/>
      <c r="U1" s="54"/>
    </row>
    <row r="2" spans="1:32" ht="127.5" customHeight="1">
      <c r="A2" s="54" t="str">
        <f>[3]客户清单!A2</f>
        <v>印尼</v>
      </c>
      <c r="B2" s="54" t="str">
        <f>[3]客户清单!B2</f>
        <v>ALNIFF Indonesia</v>
      </c>
      <c r="C2" s="54" t="str">
        <f>[3]客户清单!C2</f>
        <v>IDA</v>
      </c>
      <c r="D2" s="54" t="str">
        <f>[3]客户清单!D2</f>
        <v>Eric</v>
      </c>
      <c r="E2" s="111" t="s">
        <v>1657</v>
      </c>
      <c r="F2" s="112">
        <v>1.2</v>
      </c>
      <c r="G2" s="112">
        <v>0</v>
      </c>
      <c r="H2" s="112">
        <v>4200</v>
      </c>
      <c r="L2" s="113" t="s">
        <v>25</v>
      </c>
      <c r="M2" s="113" t="s">
        <v>14</v>
      </c>
      <c r="O2" t="s">
        <v>1658</v>
      </c>
      <c r="P2" t="s">
        <v>1659</v>
      </c>
      <c r="Q2" t="s">
        <v>1658</v>
      </c>
    </row>
    <row r="3" spans="1:32" ht="116.25" customHeight="1">
      <c r="A3" s="54" t="str">
        <f>[3]客户清单!A3</f>
        <v>新加坡</v>
      </c>
      <c r="B3" s="54" t="str">
        <f>[3]客户清单!B3</f>
        <v>ALNIFF Singapore</v>
      </c>
      <c r="C3" s="54" t="str">
        <f>[3]客户清单!C3</f>
        <v>SGA</v>
      </c>
      <c r="D3" s="54" t="str">
        <f>[3]客户清单!D3</f>
        <v>Joseph</v>
      </c>
      <c r="E3" s="111" t="str">
        <f>[3]客户清单!E3</f>
        <v>1.90立柱特殊尺寸（正面孔50），一般用90*70*2.0，喷塑
2.横斜撑24*40*1.2
3.中型货架使用60*50立柱
4. 6m以下H2底板
5.楼板、成本需要喷塑
6.悬臂立柱和底座一般喷塑
7.重型货架用内膨胀螺栓M10*65</v>
      </c>
      <c r="F3" s="112">
        <v>1.2</v>
      </c>
      <c r="G3" s="112">
        <v>0</v>
      </c>
      <c r="H3" s="112">
        <v>0</v>
      </c>
      <c r="M3" s="113" t="s">
        <v>17</v>
      </c>
      <c r="O3" t="s">
        <v>375</v>
      </c>
      <c r="P3" t="s">
        <v>1660</v>
      </c>
      <c r="Q3" t="s">
        <v>375</v>
      </c>
    </row>
    <row r="4" spans="1:32" ht="69" customHeight="1">
      <c r="A4" s="54" t="str">
        <f>[3]客户清单!A4</f>
        <v>新加坡</v>
      </c>
      <c r="B4" s="54" t="str">
        <f>[3]客户清单!B4</f>
        <v>Integral Powerlift Pte Ltd</v>
      </c>
      <c r="C4" s="54" t="str">
        <f>[3]客户清单!C4</f>
        <v>IPJ</v>
      </c>
      <c r="D4" s="54" t="s">
        <v>1661</v>
      </c>
      <c r="E4" s="111" t="str">
        <f>[3]客户清单!E4</f>
        <v>1.防撞栏、护脚用橘色，一般不用黄色
2.横斜撑一般24*40*1.2</v>
      </c>
      <c r="O4" t="s">
        <v>1293</v>
      </c>
      <c r="P4" t="s">
        <v>1662</v>
      </c>
      <c r="Q4" t="s">
        <v>1293</v>
      </c>
      <c r="Y4" s="114" t="s">
        <v>133</v>
      </c>
      <c r="Z4" s="115" t="s">
        <v>134</v>
      </c>
      <c r="AA4" s="115" t="s">
        <v>137</v>
      </c>
      <c r="AB4" s="115" t="s">
        <v>138</v>
      </c>
      <c r="AC4" s="115" t="s">
        <v>139</v>
      </c>
      <c r="AD4" s="115" t="s">
        <v>140</v>
      </c>
      <c r="AE4" s="115" t="s">
        <v>135</v>
      </c>
      <c r="AF4" s="115" t="s">
        <v>136</v>
      </c>
    </row>
    <row r="5" spans="1:32" ht="69" customHeight="1">
      <c r="A5" s="54" t="str">
        <f>[3]客户清单!A5</f>
        <v>菲律宾</v>
      </c>
      <c r="B5" s="54" t="str">
        <f>[3]客户清单!B5</f>
        <v>SSIS</v>
      </c>
      <c r="C5" s="54" t="str">
        <f>[3]客户清单!C5</f>
        <v>SSS</v>
      </c>
      <c r="D5" s="54" t="str">
        <f>[3]客户清单!D5</f>
        <v>Victor</v>
      </c>
      <c r="E5" s="111" t="str">
        <f>[3]客户清单!E5</f>
        <v>1.90立柱特殊尺寸（正面孔50），一般用90*70*2.0，喷塑
2.横斜撑24*40*1.2
3. 6m以下H2底板</v>
      </c>
      <c r="O5" t="s">
        <v>1663</v>
      </c>
      <c r="P5" t="s">
        <v>1664</v>
      </c>
      <c r="Q5" t="s">
        <v>1663</v>
      </c>
      <c r="Y5" s="115" t="s">
        <v>141</v>
      </c>
      <c r="Z5" s="112">
        <v>705.63</v>
      </c>
      <c r="AA5" s="112">
        <v>705.63</v>
      </c>
      <c r="AB5" s="112">
        <v>708.6</v>
      </c>
      <c r="AC5" s="112">
        <v>708.6</v>
      </c>
      <c r="AD5" s="112">
        <v>707.64</v>
      </c>
      <c r="AE5" s="116">
        <v>45999</v>
      </c>
      <c r="AF5" s="117">
        <v>0.62275462962963002</v>
      </c>
    </row>
    <row r="6" spans="1:32" ht="95.25" customHeight="1">
      <c r="A6" s="54" t="str">
        <f>[3]客户清单!A6</f>
        <v>卡塔尔</v>
      </c>
      <c r="B6" s="54" t="str">
        <f>[3]客户清单!B6</f>
        <v>FTC Qatar W.LL</v>
      </c>
      <c r="C6" s="54" t="str">
        <f>[3]客户清单!C6</f>
        <v>FTC</v>
      </c>
      <c r="D6" s="54" t="str">
        <f>[3]客户清单!D6</f>
        <v>Ibrahim Al Fil/Subramanian</v>
      </c>
      <c r="E6" s="111" t="str">
        <f>[3]客户清单!E6</f>
        <v>1.立柱喷塑，横斜撑预镀锌，脚底板喷塑
2.横斜撑一般24*40*1.2，预镀锌
3.驶入式货架使用U型地轨，以及较坚固的护脚。</v>
      </c>
      <c r="M6" s="118"/>
      <c r="O6" t="s">
        <v>1665</v>
      </c>
      <c r="P6" t="s">
        <v>1666</v>
      </c>
      <c r="Q6" t="s">
        <v>1665</v>
      </c>
    </row>
    <row r="7" spans="1:32" ht="69" customHeight="1">
      <c r="A7" s="54" t="str">
        <f>[3]客户清单!A7</f>
        <v>黎巴嫩</v>
      </c>
      <c r="B7" s="54" t="str">
        <f>[3]客户清单!B7</f>
        <v>FTC Lebanon</v>
      </c>
      <c r="C7" s="54" t="str">
        <f>[3]客户清单!C7</f>
        <v>FTC</v>
      </c>
      <c r="D7" s="54" t="str">
        <f>[3]客户清单!D7</f>
        <v>Caren Hakim</v>
      </c>
      <c r="E7" s="111" t="str">
        <f>[3]客户清单!E7</f>
        <v>1.立柱喷塑，横斜撑预镀锌，脚底板喷塑
2.横斜撑一般35*24*1.4，预镀锌
3.底板用H4</v>
      </c>
      <c r="O7" t="s">
        <v>1667</v>
      </c>
      <c r="P7" t="s">
        <v>1668</v>
      </c>
      <c r="Q7" t="s">
        <v>1667</v>
      </c>
    </row>
    <row r="8" spans="1:32" ht="138" customHeight="1">
      <c r="A8" s="54" t="str">
        <f>[3]客户清单!A8</f>
        <v>新西兰</v>
      </c>
      <c r="B8" s="54" t="str">
        <f>[3]客户清单!B8</f>
        <v>Capital Racking Ltd</v>
      </c>
      <c r="C8" s="54" t="str">
        <f>[3]客户清单!C8</f>
        <v>CPJ</v>
      </c>
      <c r="D8" s="54" t="str">
        <f>[3]客户清单!D8</f>
        <v>Fraser/Chad</v>
      </c>
      <c r="E8" s="111" t="str">
        <f>[3]客户清单!E8</f>
        <v>1.横斜撑40*24*1.5mm；
2.脚底板特制，并镀锌
3.脚底板不配膨胀螺栓。
4.立柱使用Q355 材料
5. 特殊柱卡
6.76.2节距
7.重型悬臂货架用焊接式底座
8.立柱和横梁都需要字码
9.横梁配弹簧销</v>
      </c>
      <c r="M8" s="119"/>
      <c r="O8" t="s">
        <v>1669</v>
      </c>
      <c r="P8" t="s">
        <v>1670</v>
      </c>
      <c r="Q8" t="s">
        <v>1669</v>
      </c>
    </row>
    <row r="9" spans="1:32" ht="99" customHeight="1">
      <c r="A9" s="54" t="str">
        <f>[3]客户清单!A9</f>
        <v>英国</v>
      </c>
      <c r="B9" s="54" t="str">
        <f>[3]客户清单!B9</f>
        <v>Stamina</v>
      </c>
      <c r="C9" s="54" t="str">
        <f>[3]客户清单!C9</f>
        <v>SHJ</v>
      </c>
      <c r="D9" s="54" t="s">
        <v>1671</v>
      </c>
      <c r="E9" s="111" t="str">
        <f>[3]客户清单!E9</f>
        <v>1. 特殊防撞栏和护脚，高度400，
2.横斜撑用24*35*1.4
3.预镀锌立柱和横斜撑
4.分段规格2850, 3450, 4650. 5850 and 6450
5.立柱对接件用焊接一体式
6. 立柱需要打字码，以及厚度区分字码</v>
      </c>
      <c r="M9" s="120"/>
      <c r="O9" t="s">
        <v>1672</v>
      </c>
      <c r="P9" t="s">
        <v>1673</v>
      </c>
      <c r="Q9" t="s">
        <v>1672</v>
      </c>
    </row>
    <row r="10" spans="1:32" ht="69" customHeight="1">
      <c r="A10" s="54" t="str">
        <f>[3]客户清单!A10</f>
        <v>洪都拉斯</v>
      </c>
      <c r="B10" s="54" t="str">
        <f>[3]客户清单!B10</f>
        <v>Dura rack</v>
      </c>
      <c r="C10" s="54" t="str">
        <f>[3]客户清单!C10</f>
        <v>MHJ</v>
      </c>
      <c r="D10" s="54" t="str">
        <f>[3]客户清单!D10</f>
        <v>Daniel, Suyapa</v>
      </c>
      <c r="E10" s="111" t="str">
        <f>[3]客户清单!E10</f>
        <v>1. 脚底板统一镀锌
2.6m以下用H2底板
3.立柱和横梁都需要字码
4. 护脚为定制</v>
      </c>
      <c r="O10" t="s">
        <v>1674</v>
      </c>
      <c r="P10" t="s">
        <v>1675</v>
      </c>
      <c r="Q10" t="s">
        <v>1674</v>
      </c>
    </row>
    <row r="11" spans="1:32" ht="69" customHeight="1">
      <c r="A11" s="54">
        <f>[3]客户清单!A11</f>
        <v>0</v>
      </c>
      <c r="B11" s="54" t="str">
        <f>[3]客户清单!B11</f>
        <v>johnkumbluvelil@gmail.com</v>
      </c>
      <c r="C11" s="54">
        <f>[3]客户清单!C11</f>
        <v>0</v>
      </c>
      <c r="D11" s="54">
        <f>[3]客户清单!D11</f>
        <v>0</v>
      </c>
      <c r="E11" s="111">
        <f>[3]客户清单!E11</f>
        <v>0</v>
      </c>
      <c r="M11" s="119"/>
      <c r="O11" t="s">
        <v>478</v>
      </c>
      <c r="P11" t="s">
        <v>1676</v>
      </c>
      <c r="Q11" t="s">
        <v>478</v>
      </c>
    </row>
    <row r="12" spans="1:32" ht="105" customHeight="1">
      <c r="A12" s="54" t="str">
        <f>[3]客户清单!A12</f>
        <v>印度</v>
      </c>
      <c r="B12" s="54" t="str">
        <f>[3]客户清单!B12</f>
        <v>BEYOND RETAIL SOLUTION</v>
      </c>
      <c r="C12" s="54" t="str">
        <f>[3]客户清单!C12</f>
        <v>RDJ</v>
      </c>
      <c r="D12" s="54" t="str">
        <f>[3]客户清单!D12</f>
        <v>Prakash ji</v>
      </c>
      <c r="E12" s="111" t="str">
        <f>[3]客户清单!E12</f>
        <v>1.W2700,承载2吨，用110*50*1.5，不用100*50*1.5
2.提醒请客户技术检查截面和厚度
3.通道拉不用立柱形式，矩管需要套材，K抱梁与项目横梁一致
4.护脚用角钢焊接底板
5.特殊客户的P型梁需要打孔（有前挡网）</v>
      </c>
      <c r="M12" s="120"/>
      <c r="O12" t="s">
        <v>486</v>
      </c>
      <c r="P12" t="s">
        <v>1677</v>
      </c>
      <c r="Q12" t="s">
        <v>486</v>
      </c>
    </row>
    <row r="13" spans="1:32" ht="69" customHeight="1">
      <c r="A13" s="54" t="str">
        <f>[3]客户清单!A13</f>
        <v>泰国</v>
      </c>
      <c r="B13" s="54" t="str">
        <f>[3]客户清单!B13</f>
        <v>CHENG HUA (Thailand) Co., Ltd.</v>
      </c>
      <c r="C13" s="54">
        <f>[3]客户清单!C13</f>
        <v>0</v>
      </c>
      <c r="D13" s="54" t="str">
        <f>[3]客户清单!D13</f>
        <v>Armstrong</v>
      </c>
      <c r="E13" s="111">
        <f>[3]客户清单!E13</f>
        <v>0</v>
      </c>
      <c r="O13" t="s">
        <v>1678</v>
      </c>
      <c r="P13" t="s">
        <v>1679</v>
      </c>
      <c r="Q13" t="s">
        <v>1678</v>
      </c>
    </row>
    <row r="14" spans="1:32" ht="69" customHeight="1">
      <c r="A14" s="54">
        <f>[3]客户清单!A14</f>
        <v>0</v>
      </c>
      <c r="B14" s="54" t="str">
        <f>[3]客户清单!B14</f>
        <v>张君杰</v>
      </c>
      <c r="C14" s="54">
        <f>[3]客户清单!C14</f>
        <v>0</v>
      </c>
      <c r="D14" s="54" t="str">
        <f>[3]客户清单!D14</f>
        <v>张君杰</v>
      </c>
      <c r="E14" s="111">
        <f>[3]客户清单!E14</f>
        <v>0</v>
      </c>
      <c r="M14" s="119"/>
      <c r="O14" t="s">
        <v>1680</v>
      </c>
      <c r="P14" t="s">
        <v>1681</v>
      </c>
      <c r="Q14" t="s">
        <v>1680</v>
      </c>
    </row>
    <row r="15" spans="1:32" ht="69" customHeight="1">
      <c r="A15" s="54" t="str">
        <f>[3]客户清单!A15</f>
        <v>菲律宾</v>
      </c>
      <c r="B15" s="54" t="str">
        <f>[3]客户清单!B15</f>
        <v>MRC</v>
      </c>
      <c r="C15" s="54" t="str">
        <f>[3]客户清单!C15</f>
        <v>MRC</v>
      </c>
      <c r="D15" s="54" t="str">
        <f>[3]客户清单!D15</f>
        <v>Tania</v>
      </c>
      <c r="E15" s="111" t="str">
        <f>[3]客户清单!E15</f>
        <v>1.用90H4脚底板
2.库存90*70*2.0，横斜撑35*24*1.4
3.网层板筋厚1.8mm</v>
      </c>
      <c r="M15" s="120"/>
      <c r="O15" t="s">
        <v>1682</v>
      </c>
      <c r="P15" t="s">
        <v>1683</v>
      </c>
      <c r="Q15" t="s">
        <v>1682</v>
      </c>
    </row>
    <row r="16" spans="1:32" ht="17.25" customHeight="1">
      <c r="A16" s="54" t="str">
        <f>[3]客户清单!A16</f>
        <v>墨西哥</v>
      </c>
      <c r="B16" s="54" t="str">
        <f>[3]客户清单!B16</f>
        <v>Power Trade</v>
      </c>
      <c r="C16" s="54" t="str">
        <f>[3]客户清单!C16</f>
        <v>PTJ</v>
      </c>
      <c r="D16" s="54" t="str">
        <f>[3]客户清单!D16</f>
        <v>Miguel Castillo</v>
      </c>
      <c r="E16" s="111">
        <f>[3]客户清单!E16</f>
        <v>0</v>
      </c>
      <c r="O16" t="s">
        <v>694</v>
      </c>
      <c r="P16" t="s">
        <v>695</v>
      </c>
      <c r="Q16" t="s">
        <v>694</v>
      </c>
    </row>
    <row r="17" spans="1:17" ht="17.25" customHeight="1">
      <c r="A17" s="54">
        <f>[3]客户清单!A17</f>
        <v>0</v>
      </c>
      <c r="B17" s="54" t="str">
        <f>[3]客户清单!B17</f>
        <v>SYNERGY</v>
      </c>
      <c r="C17" s="54">
        <f>[3]客户清单!C17</f>
        <v>0</v>
      </c>
      <c r="D17" s="54" t="str">
        <f>[3]客户清单!D17</f>
        <v>Jose Juan Sanchez</v>
      </c>
      <c r="E17" s="111">
        <f>[3]客户清单!E17</f>
        <v>0</v>
      </c>
      <c r="M17" s="121"/>
      <c r="O17" t="s">
        <v>1684</v>
      </c>
      <c r="P17" t="s">
        <v>1685</v>
      </c>
      <c r="Q17" t="s">
        <v>1684</v>
      </c>
    </row>
    <row r="18" spans="1:17">
      <c r="A18" s="54">
        <f>[3]客户清单!A18</f>
        <v>0</v>
      </c>
      <c r="B18" s="54" t="str">
        <f>[3]客户清单!B18</f>
        <v>MEIR ANTEBI</v>
      </c>
      <c r="C18" s="54">
        <f>[3]客户清单!C18</f>
        <v>0</v>
      </c>
      <c r="D18" s="54" t="str">
        <f>[3]客户清单!D18</f>
        <v>Confecciones Turkimex da de cv</v>
      </c>
      <c r="E18" s="111">
        <f>[3]客户清单!E18</f>
        <v>0</v>
      </c>
      <c r="M18" s="118"/>
      <c r="O18" t="s">
        <v>1686</v>
      </c>
      <c r="P18" t="s">
        <v>1687</v>
      </c>
      <c r="Q18" t="s">
        <v>1686</v>
      </c>
    </row>
    <row r="19" spans="1:17">
      <c r="A19" s="54">
        <f>[3]客户清单!A19</f>
        <v>0</v>
      </c>
      <c r="B19" s="54" t="str">
        <f>[3]客户清单!B19</f>
        <v>UB bio Ltd</v>
      </c>
      <c r="C19" s="54">
        <f>[3]客户清单!C19</f>
        <v>0</v>
      </c>
      <c r="D19" s="54" t="str">
        <f>[3]客户清单!D19</f>
        <v>Dan Jin</v>
      </c>
      <c r="E19" s="111">
        <f>[3]客户清单!E19</f>
        <v>0</v>
      </c>
      <c r="O19" t="s">
        <v>1688</v>
      </c>
      <c r="P19" t="s">
        <v>1689</v>
      </c>
      <c r="Q19" t="s">
        <v>1688</v>
      </c>
    </row>
    <row r="20" spans="1:17" ht="57">
      <c r="A20" s="54" t="str">
        <f>[3]客户清单!A20</f>
        <v>新西兰</v>
      </c>
      <c r="B20" s="54" t="str">
        <f>[3]客户清单!B20</f>
        <v>VINOX</v>
      </c>
      <c r="C20" s="54" t="str">
        <f>[3]客户清单!C20</f>
        <v>NZS</v>
      </c>
      <c r="D20" s="54" t="str">
        <f>[3]客户清单!D20</f>
        <v>Victor</v>
      </c>
      <c r="E20" s="111" t="str">
        <f>[3]客户清单!E20</f>
        <v xml:space="preserve">1.柱片和横斜撑用预镀锌，横斜撑用24*35*1.4
2.脚底板不配膨胀螺栓。
3.76.2节距
4.隔撑用矩管
</v>
      </c>
      <c r="M20" s="121"/>
      <c r="O20" t="s">
        <v>1690</v>
      </c>
      <c r="P20" t="s">
        <v>1691</v>
      </c>
      <c r="Q20" t="s">
        <v>1690</v>
      </c>
    </row>
    <row r="21" spans="1:17">
      <c r="A21" s="54">
        <f>[3]客户清单!A21</f>
        <v>0</v>
      </c>
      <c r="B21" s="54" t="str">
        <f>[3]客户清单!B21</f>
        <v>SPK Trading &amp; Consulting</v>
      </c>
      <c r="C21" s="54">
        <f>[3]客户清单!C21</f>
        <v>0</v>
      </c>
      <c r="D21" s="54" t="str">
        <f>[3]客户清单!D21</f>
        <v>Mr. S P Kohli</v>
      </c>
      <c r="E21" s="111" t="str">
        <f>[3]客户清单!E21</f>
        <v>spk4africa@gmail.com(</v>
      </c>
      <c r="M21" s="118"/>
      <c r="O21" t="s">
        <v>1692</v>
      </c>
      <c r="P21" t="s">
        <v>1693</v>
      </c>
      <c r="Q21" t="s">
        <v>1692</v>
      </c>
    </row>
    <row r="22" spans="1:17">
      <c r="A22" s="54">
        <f>[3]客户清单!A22</f>
        <v>0</v>
      </c>
      <c r="B22" s="54" t="str">
        <f>[3]客户清单!B22</f>
        <v>BALVIKA</v>
      </c>
      <c r="C22" s="54" t="str">
        <f>[3]客户清单!C22</f>
        <v>BALVIKA</v>
      </c>
      <c r="D22" s="54">
        <f>[3]客户清单!D22</f>
        <v>0</v>
      </c>
      <c r="E22" s="111">
        <f>[3]客户清单!E22</f>
        <v>0</v>
      </c>
      <c r="O22" t="s">
        <v>1694</v>
      </c>
      <c r="P22" t="s">
        <v>1695</v>
      </c>
      <c r="Q22" t="s">
        <v>1694</v>
      </c>
    </row>
    <row r="23" spans="1:17">
      <c r="A23" s="54">
        <f>[3]客户清单!A23</f>
        <v>0</v>
      </c>
      <c r="B23" s="54" t="str">
        <f>[3]客户清单!B23</f>
        <v>Farjallah</v>
      </c>
      <c r="C23" s="54" t="str">
        <f>[3]客户清单!C23</f>
        <v>Farjallah</v>
      </c>
      <c r="D23" s="54" t="str">
        <f>[3]客户清单!D23</f>
        <v>Fouad</v>
      </c>
      <c r="E23" s="111">
        <f>[3]客户清单!E23</f>
        <v>0</v>
      </c>
      <c r="M23" s="121"/>
      <c r="O23" t="s">
        <v>1032</v>
      </c>
      <c r="P23" t="s">
        <v>1696</v>
      </c>
      <c r="Q23" t="s">
        <v>1032</v>
      </c>
    </row>
    <row r="24" spans="1:17">
      <c r="A24" s="54">
        <f>[3]客户清单!A24</f>
        <v>0</v>
      </c>
      <c r="B24" s="54" t="str">
        <f>[3]客户清单!B24</f>
        <v>King of Decoration Est</v>
      </c>
      <c r="C24" s="54" t="str">
        <f>[3]客户清单!C24</f>
        <v>KDJ</v>
      </c>
      <c r="D24" s="54" t="str">
        <f>[3]客户清单!D24</f>
        <v>AHMED YAHYA SALEH AL-ZABIDI</v>
      </c>
      <c r="E24" s="111">
        <f>[3]客户清单!E24</f>
        <v>0</v>
      </c>
      <c r="M24" s="118"/>
      <c r="O24" t="s">
        <v>601</v>
      </c>
      <c r="P24" t="s">
        <v>602</v>
      </c>
      <c r="Q24" t="s">
        <v>601</v>
      </c>
    </row>
    <row r="25" spans="1:17">
      <c r="A25" s="54">
        <f>[3]客户清单!A25</f>
        <v>0</v>
      </c>
      <c r="B25" s="54" t="s">
        <v>1697</v>
      </c>
      <c r="C25" s="54" t="s">
        <v>1698</v>
      </c>
      <c r="D25" s="54" t="s">
        <v>1699</v>
      </c>
      <c r="E25" s="111">
        <f>[3]客户清单!E25</f>
        <v>0</v>
      </c>
      <c r="O25" t="s">
        <v>1700</v>
      </c>
      <c r="P25" t="s">
        <v>1701</v>
      </c>
      <c r="Q25" t="s">
        <v>1700</v>
      </c>
    </row>
    <row r="26" spans="1:17">
      <c r="A26" s="54">
        <f>[3]客户清单!A26</f>
        <v>0</v>
      </c>
      <c r="B26" s="54" t="s">
        <v>1702</v>
      </c>
      <c r="C26" s="54" t="s">
        <v>1703</v>
      </c>
      <c r="D26" s="54" t="s">
        <v>1704</v>
      </c>
      <c r="E26" s="111">
        <f>[3]客户清单!E26</f>
        <v>0</v>
      </c>
      <c r="O26" t="s">
        <v>1705</v>
      </c>
      <c r="P26" t="s">
        <v>1706</v>
      </c>
      <c r="Q26" t="s">
        <v>1705</v>
      </c>
    </row>
    <row r="27" spans="1:17">
      <c r="A27" s="54">
        <f>[3]客户清单!A27</f>
        <v>0</v>
      </c>
      <c r="B27" s="54" t="s">
        <v>2331</v>
      </c>
      <c r="C27" s="904" t="s">
        <v>2332</v>
      </c>
      <c r="D27" s="904" t="s">
        <v>2333</v>
      </c>
      <c r="E27" s="111">
        <f>[3]客户清单!E27</f>
        <v>0</v>
      </c>
      <c r="O27" t="s">
        <v>1707</v>
      </c>
      <c r="P27" t="s">
        <v>1708</v>
      </c>
      <c r="Q27" t="s">
        <v>1707</v>
      </c>
    </row>
    <row r="28" spans="1:17">
      <c r="A28" s="54">
        <f>[3]客户清单!A28</f>
        <v>0</v>
      </c>
      <c r="B28" s="54">
        <f>[3]客户清单!B28</f>
        <v>0</v>
      </c>
      <c r="C28" s="54">
        <f>[3]客户清单!C28</f>
        <v>0</v>
      </c>
      <c r="D28" s="54">
        <f>[3]客户清单!D28</f>
        <v>0</v>
      </c>
      <c r="E28" s="111">
        <f>[3]客户清单!E28</f>
        <v>0</v>
      </c>
      <c r="O28" t="s">
        <v>1709</v>
      </c>
      <c r="P28" t="s">
        <v>1710</v>
      </c>
      <c r="Q28" t="s">
        <v>1709</v>
      </c>
    </row>
    <row r="29" spans="1:17">
      <c r="A29" s="54">
        <f>[3]客户清单!A29</f>
        <v>0</v>
      </c>
      <c r="B29" s="54">
        <f>[3]客户清单!B29</f>
        <v>0</v>
      </c>
      <c r="C29" s="54">
        <f>[3]客户清单!C29</f>
        <v>0</v>
      </c>
      <c r="D29" s="54">
        <f>[3]客户清单!D29</f>
        <v>0</v>
      </c>
      <c r="E29" s="111">
        <f>[3]客户清单!E29</f>
        <v>0</v>
      </c>
      <c r="O29" t="s">
        <v>1711</v>
      </c>
      <c r="P29" t="s">
        <v>1712</v>
      </c>
      <c r="Q29" t="s">
        <v>1711</v>
      </c>
    </row>
    <row r="30" spans="1:17">
      <c r="A30" s="54">
        <f>[3]客户清单!A30</f>
        <v>0</v>
      </c>
      <c r="B30" s="54">
        <f>[3]客户清单!B30</f>
        <v>0</v>
      </c>
      <c r="C30" s="54">
        <f>[3]客户清单!C30</f>
        <v>0</v>
      </c>
      <c r="D30" s="54">
        <f>[3]客户清单!D30</f>
        <v>0</v>
      </c>
      <c r="E30" s="111">
        <f>[3]客户清单!E30</f>
        <v>0</v>
      </c>
      <c r="O30" t="s">
        <v>1713</v>
      </c>
      <c r="P30" t="s">
        <v>1714</v>
      </c>
      <c r="Q30" t="s">
        <v>1713</v>
      </c>
    </row>
    <row r="31" spans="1:17">
      <c r="A31" s="54">
        <f>[3]客户清单!A31</f>
        <v>0</v>
      </c>
      <c r="B31" s="54">
        <f>[3]客户清单!B31</f>
        <v>0</v>
      </c>
      <c r="C31" s="54">
        <f>[3]客户清单!C31</f>
        <v>0</v>
      </c>
      <c r="D31" s="54">
        <f>[3]客户清单!D31</f>
        <v>0</v>
      </c>
      <c r="E31" s="111">
        <f>[3]客户清单!E31</f>
        <v>0</v>
      </c>
      <c r="O31" t="s">
        <v>1715</v>
      </c>
      <c r="P31" t="s">
        <v>1716</v>
      </c>
      <c r="Q31" t="s">
        <v>1715</v>
      </c>
    </row>
    <row r="32" spans="1:17">
      <c r="A32" s="54">
        <f>[3]客户清单!A32</f>
        <v>0</v>
      </c>
      <c r="B32" s="54">
        <f>[3]客户清单!B32</f>
        <v>0</v>
      </c>
      <c r="C32" s="54">
        <f>[3]客户清单!C32</f>
        <v>0</v>
      </c>
      <c r="D32" s="54">
        <f>[3]客户清单!D32</f>
        <v>0</v>
      </c>
      <c r="E32" s="111">
        <f>[3]客户清单!E32</f>
        <v>0</v>
      </c>
      <c r="O32" t="s">
        <v>1717</v>
      </c>
      <c r="P32" t="s">
        <v>1718</v>
      </c>
      <c r="Q32" t="s">
        <v>1717</v>
      </c>
    </row>
    <row r="33" spans="1:17">
      <c r="A33" s="54">
        <f>[3]客户清单!A33</f>
        <v>0</v>
      </c>
      <c r="B33" s="54">
        <f>[3]客户清单!B33</f>
        <v>0</v>
      </c>
      <c r="C33" s="54">
        <f>[3]客户清单!C33</f>
        <v>0</v>
      </c>
      <c r="D33" s="54">
        <f>[3]客户清单!D33</f>
        <v>0</v>
      </c>
      <c r="E33" s="111">
        <f>[3]客户清单!E33</f>
        <v>0</v>
      </c>
      <c r="O33" t="s">
        <v>1719</v>
      </c>
      <c r="P33" t="s">
        <v>1720</v>
      </c>
      <c r="Q33" t="s">
        <v>1719</v>
      </c>
    </row>
    <row r="34" spans="1:17">
      <c r="A34" s="54">
        <f>[3]客户清单!A34</f>
        <v>0</v>
      </c>
      <c r="B34" s="54">
        <f>[3]客户清单!B34</f>
        <v>0</v>
      </c>
      <c r="C34" s="54">
        <f>[3]客户清单!C34</f>
        <v>0</v>
      </c>
      <c r="D34" s="54">
        <f>[3]客户清单!D34</f>
        <v>0</v>
      </c>
      <c r="E34" s="111">
        <f>[3]客户清单!E34</f>
        <v>0</v>
      </c>
      <c r="O34" t="s">
        <v>311</v>
      </c>
      <c r="P34" t="s">
        <v>1721</v>
      </c>
      <c r="Q34" t="s">
        <v>311</v>
      </c>
    </row>
    <row r="35" spans="1:17">
      <c r="A35" s="54">
        <f>[3]客户清单!A35</f>
        <v>0</v>
      </c>
      <c r="B35" s="54">
        <f>[3]客户清单!B35</f>
        <v>0</v>
      </c>
      <c r="C35" s="54">
        <f>[3]客户清单!C35</f>
        <v>0</v>
      </c>
      <c r="D35" s="54">
        <f>[3]客户清单!D35</f>
        <v>0</v>
      </c>
      <c r="E35" s="111">
        <f>[3]客户清单!E35</f>
        <v>0</v>
      </c>
      <c r="O35" t="s">
        <v>1578</v>
      </c>
      <c r="P35" t="s">
        <v>1722</v>
      </c>
      <c r="Q35" t="s">
        <v>1578</v>
      </c>
    </row>
    <row r="36" spans="1:17">
      <c r="A36" s="54">
        <f>[3]客户清单!A36</f>
        <v>0</v>
      </c>
      <c r="B36" s="54">
        <f>[3]客户清单!B36</f>
        <v>0</v>
      </c>
      <c r="C36" s="54">
        <f>[3]客户清单!C36</f>
        <v>0</v>
      </c>
      <c r="D36" s="54">
        <f>[3]客户清单!D36</f>
        <v>0</v>
      </c>
      <c r="E36" s="111">
        <f>[3]客户清单!E36</f>
        <v>0</v>
      </c>
      <c r="O36" t="s">
        <v>1723</v>
      </c>
      <c r="P36" t="s">
        <v>1724</v>
      </c>
      <c r="Q36" t="s">
        <v>1723</v>
      </c>
    </row>
    <row r="37" spans="1:17">
      <c r="A37" s="54">
        <f>[3]客户清单!A37</f>
        <v>0</v>
      </c>
      <c r="B37" s="54">
        <f>[3]客户清单!B37</f>
        <v>0</v>
      </c>
      <c r="C37" s="54">
        <f>[3]客户清单!C37</f>
        <v>0</v>
      </c>
      <c r="D37" s="54">
        <f>[3]客户清单!D37</f>
        <v>0</v>
      </c>
      <c r="E37" s="111">
        <f>[3]客户清单!E37</f>
        <v>0</v>
      </c>
      <c r="O37" t="s">
        <v>488</v>
      </c>
      <c r="P37" t="s">
        <v>1725</v>
      </c>
      <c r="Q37" t="s">
        <v>488</v>
      </c>
    </row>
    <row r="38" spans="1:17">
      <c r="A38" s="54">
        <f>[3]客户清单!A38</f>
        <v>0</v>
      </c>
      <c r="B38" s="54">
        <f>[3]客户清单!B38</f>
        <v>0</v>
      </c>
      <c r="C38" s="54">
        <f>[3]客户清单!C38</f>
        <v>0</v>
      </c>
      <c r="D38" s="54">
        <f>[3]客户清单!D38</f>
        <v>0</v>
      </c>
      <c r="E38" s="111">
        <f>[3]客户清单!E38</f>
        <v>0</v>
      </c>
      <c r="O38" t="s">
        <v>1726</v>
      </c>
      <c r="P38" t="s">
        <v>489</v>
      </c>
      <c r="Q38" t="s">
        <v>1726</v>
      </c>
    </row>
    <row r="39" spans="1:17">
      <c r="A39" s="54">
        <f>[3]客户清单!A39</f>
        <v>0</v>
      </c>
      <c r="B39" s="54">
        <f>[3]客户清单!B39</f>
        <v>0</v>
      </c>
      <c r="C39" s="54">
        <f>[3]客户清单!C39</f>
        <v>0</v>
      </c>
      <c r="D39" s="54">
        <f>[3]客户清单!D39</f>
        <v>0</v>
      </c>
      <c r="E39" s="111">
        <f>[3]客户清单!E39</f>
        <v>0</v>
      </c>
      <c r="O39" t="s">
        <v>1727</v>
      </c>
      <c r="P39" t="s">
        <v>1728</v>
      </c>
      <c r="Q39" t="s">
        <v>1727</v>
      </c>
    </row>
    <row r="40" spans="1:17">
      <c r="A40" s="54">
        <f>[3]客户清单!A40</f>
        <v>0</v>
      </c>
      <c r="B40" s="54">
        <f>[3]客户清单!B40</f>
        <v>0</v>
      </c>
      <c r="C40" s="54">
        <f>[3]客户清单!C40</f>
        <v>0</v>
      </c>
      <c r="D40" s="54">
        <f>[3]客户清单!D40</f>
        <v>0</v>
      </c>
      <c r="E40" s="111">
        <f>[3]客户清单!E40</f>
        <v>0</v>
      </c>
      <c r="O40" t="s">
        <v>1729</v>
      </c>
      <c r="P40" t="s">
        <v>1730</v>
      </c>
      <c r="Q40" t="s">
        <v>1729</v>
      </c>
    </row>
    <row r="41" spans="1:17">
      <c r="A41" s="54">
        <f>[3]客户清单!A41</f>
        <v>0</v>
      </c>
      <c r="B41" s="54">
        <f>[3]客户清单!B41</f>
        <v>0</v>
      </c>
      <c r="C41" s="54">
        <f>[3]客户清单!C41</f>
        <v>0</v>
      </c>
      <c r="D41" s="54">
        <f>[3]客户清单!D41</f>
        <v>0</v>
      </c>
      <c r="E41" s="111">
        <f>[3]客户清单!E41</f>
        <v>0</v>
      </c>
      <c r="O41" t="s">
        <v>1731</v>
      </c>
      <c r="P41" t="s">
        <v>1732</v>
      </c>
      <c r="Q41" t="s">
        <v>1731</v>
      </c>
    </row>
    <row r="42" spans="1:17">
      <c r="A42" s="54">
        <f>[3]客户清单!A42</f>
        <v>0</v>
      </c>
      <c r="B42" s="54">
        <f>[3]客户清单!B42</f>
        <v>0</v>
      </c>
      <c r="C42" s="54">
        <f>[3]客户清单!C42</f>
        <v>0</v>
      </c>
      <c r="D42" s="54">
        <f>[3]客户清单!D42</f>
        <v>0</v>
      </c>
      <c r="E42" s="111">
        <f>[3]客户清单!E42</f>
        <v>0</v>
      </c>
      <c r="O42" t="s">
        <v>1733</v>
      </c>
      <c r="P42" t="s">
        <v>1734</v>
      </c>
      <c r="Q42" t="s">
        <v>1733</v>
      </c>
    </row>
    <row r="43" spans="1:17">
      <c r="A43" s="54">
        <f>[3]客户清单!A43</f>
        <v>0</v>
      </c>
      <c r="B43" s="54">
        <f>[3]客户清单!B43</f>
        <v>0</v>
      </c>
      <c r="C43" s="54">
        <f>[3]客户清单!C43</f>
        <v>0</v>
      </c>
      <c r="D43" s="54">
        <f>[3]客户清单!D43</f>
        <v>0</v>
      </c>
      <c r="E43" s="111">
        <f>[3]客户清单!E43</f>
        <v>0</v>
      </c>
      <c r="O43" t="s">
        <v>1735</v>
      </c>
      <c r="P43" t="s">
        <v>1736</v>
      </c>
      <c r="Q43" t="s">
        <v>1735</v>
      </c>
    </row>
    <row r="44" spans="1:17">
      <c r="A44" s="54">
        <f>[3]客户清单!A44</f>
        <v>0</v>
      </c>
      <c r="B44" s="54">
        <f>[3]客户清单!B44</f>
        <v>0</v>
      </c>
      <c r="C44" s="54">
        <f>[3]客户清单!C44</f>
        <v>0</v>
      </c>
      <c r="D44" s="54">
        <f>[3]客户清单!D44</f>
        <v>0</v>
      </c>
      <c r="E44" s="111">
        <f>[3]客户清单!E44</f>
        <v>0</v>
      </c>
      <c r="O44" t="s">
        <v>1737</v>
      </c>
      <c r="P44" t="s">
        <v>1738</v>
      </c>
      <c r="Q44" t="s">
        <v>1737</v>
      </c>
    </row>
    <row r="45" spans="1:17">
      <c r="A45" s="54">
        <f>[3]客户清单!A45</f>
        <v>0</v>
      </c>
      <c r="B45" s="54">
        <f>[3]客户清单!B45</f>
        <v>0</v>
      </c>
      <c r="C45" s="54">
        <f>[3]客户清单!C45</f>
        <v>0</v>
      </c>
      <c r="D45" s="54">
        <f>[3]客户清单!D45</f>
        <v>0</v>
      </c>
      <c r="E45" s="111">
        <f>[3]客户清单!E45</f>
        <v>0</v>
      </c>
      <c r="O45" t="s">
        <v>1739</v>
      </c>
      <c r="P45" t="s">
        <v>1740</v>
      </c>
      <c r="Q45" t="s">
        <v>1739</v>
      </c>
    </row>
    <row r="46" spans="1:17">
      <c r="A46" s="54">
        <f>[3]客户清单!A46</f>
        <v>0</v>
      </c>
      <c r="B46" s="54">
        <f>[3]客户清单!B46</f>
        <v>0</v>
      </c>
      <c r="C46" s="54">
        <f>[3]客户清单!C46</f>
        <v>0</v>
      </c>
      <c r="D46" s="54">
        <f>[3]客户清单!D46</f>
        <v>0</v>
      </c>
      <c r="E46" s="111">
        <f>[3]客户清单!E46</f>
        <v>0</v>
      </c>
      <c r="O46" t="s">
        <v>635</v>
      </c>
      <c r="P46" t="s">
        <v>1741</v>
      </c>
      <c r="Q46" t="s">
        <v>635</v>
      </c>
    </row>
    <row r="47" spans="1:17">
      <c r="A47" s="54">
        <f>[3]客户清单!A47</f>
        <v>0</v>
      </c>
      <c r="B47" s="54">
        <f>[3]客户清单!B47</f>
        <v>0</v>
      </c>
      <c r="C47" s="54">
        <f>[3]客户清单!C47</f>
        <v>0</v>
      </c>
      <c r="D47" s="54">
        <f>[3]客户清单!D47</f>
        <v>0</v>
      </c>
      <c r="E47" s="111">
        <f>[3]客户清单!E47</f>
        <v>0</v>
      </c>
      <c r="O47" t="s">
        <v>1742</v>
      </c>
      <c r="P47" t="s">
        <v>1743</v>
      </c>
      <c r="Q47" t="s">
        <v>1742</v>
      </c>
    </row>
    <row r="48" spans="1:17">
      <c r="A48" s="54">
        <f>[3]客户清单!A48</f>
        <v>0</v>
      </c>
      <c r="B48" s="54">
        <f>[3]客户清单!B48</f>
        <v>0</v>
      </c>
      <c r="C48" s="54">
        <f>[3]客户清单!C48</f>
        <v>0</v>
      </c>
      <c r="D48" s="54">
        <f>[3]客户清单!D48</f>
        <v>0</v>
      </c>
      <c r="E48" s="111">
        <f>[3]客户清单!E48</f>
        <v>0</v>
      </c>
      <c r="O48" t="s">
        <v>633</v>
      </c>
      <c r="P48" t="s">
        <v>1744</v>
      </c>
      <c r="Q48" t="s">
        <v>633</v>
      </c>
    </row>
    <row r="49" spans="15:17">
      <c r="O49" t="s">
        <v>1745</v>
      </c>
      <c r="P49" t="s">
        <v>1746</v>
      </c>
      <c r="Q49" t="s">
        <v>1745</v>
      </c>
    </row>
    <row r="50" spans="15:17">
      <c r="O50" t="s">
        <v>291</v>
      </c>
      <c r="P50" t="s">
        <v>1747</v>
      </c>
      <c r="Q50" t="s">
        <v>291</v>
      </c>
    </row>
    <row r="51" spans="15:17">
      <c r="O51" t="s">
        <v>1748</v>
      </c>
      <c r="P51" t="s">
        <v>1749</v>
      </c>
      <c r="Q51" t="s">
        <v>1748</v>
      </c>
    </row>
    <row r="52" spans="15:17">
      <c r="O52" t="s">
        <v>482</v>
      </c>
      <c r="P52" t="s">
        <v>483</v>
      </c>
      <c r="Q52" t="s">
        <v>482</v>
      </c>
    </row>
    <row r="53" spans="15:17">
      <c r="O53" t="s">
        <v>484</v>
      </c>
      <c r="P53" t="s">
        <v>1750</v>
      </c>
      <c r="Q53" t="s">
        <v>484</v>
      </c>
    </row>
    <row r="54" spans="15:17">
      <c r="O54" t="s">
        <v>1751</v>
      </c>
      <c r="P54" t="s">
        <v>1752</v>
      </c>
      <c r="Q54" t="s">
        <v>1751</v>
      </c>
    </row>
    <row r="55" spans="15:17">
      <c r="O55" t="s">
        <v>1753</v>
      </c>
      <c r="P55" t="s">
        <v>1754</v>
      </c>
      <c r="Q55" t="s">
        <v>1753</v>
      </c>
    </row>
    <row r="56" spans="15:17">
      <c r="O56" t="s">
        <v>1755</v>
      </c>
      <c r="P56" t="s">
        <v>1756</v>
      </c>
      <c r="Q56" t="s">
        <v>1755</v>
      </c>
    </row>
    <row r="57" spans="15:17">
      <c r="O57" t="s">
        <v>1757</v>
      </c>
      <c r="P57" t="s">
        <v>1758</v>
      </c>
      <c r="Q57" t="s">
        <v>1757</v>
      </c>
    </row>
    <row r="58" spans="15:17">
      <c r="O58" t="s">
        <v>1759</v>
      </c>
      <c r="P58" t="s">
        <v>1760</v>
      </c>
      <c r="Q58" t="s">
        <v>1759</v>
      </c>
    </row>
    <row r="59" spans="15:17">
      <c r="O59" t="s">
        <v>1761</v>
      </c>
      <c r="P59" t="s">
        <v>1762</v>
      </c>
      <c r="Q59" t="s">
        <v>1761</v>
      </c>
    </row>
    <row r="60" spans="15:17">
      <c r="O60" t="s">
        <v>1763</v>
      </c>
      <c r="P60" t="s">
        <v>683</v>
      </c>
      <c r="Q60" t="s">
        <v>1763</v>
      </c>
    </row>
    <row r="61" spans="15:17">
      <c r="O61" t="s">
        <v>1764</v>
      </c>
      <c r="P61" t="s">
        <v>1765</v>
      </c>
      <c r="Q61" t="s">
        <v>1764</v>
      </c>
    </row>
    <row r="62" spans="15:17">
      <c r="O62" t="s">
        <v>1766</v>
      </c>
      <c r="P62" t="s">
        <v>1767</v>
      </c>
      <c r="Q62" t="s">
        <v>1766</v>
      </c>
    </row>
    <row r="63" spans="15:17">
      <c r="O63" t="s">
        <v>1768</v>
      </c>
      <c r="P63" t="s">
        <v>1769</v>
      </c>
      <c r="Q63" t="s">
        <v>1768</v>
      </c>
    </row>
    <row r="64" spans="15:17">
      <c r="O64" t="s">
        <v>393</v>
      </c>
      <c r="P64" t="s">
        <v>1770</v>
      </c>
      <c r="Q64" t="s">
        <v>393</v>
      </c>
    </row>
    <row r="65" spans="15:17">
      <c r="O65" t="s">
        <v>1771</v>
      </c>
      <c r="P65" t="s">
        <v>1772</v>
      </c>
      <c r="Q65" t="s">
        <v>1771</v>
      </c>
    </row>
    <row r="66" spans="15:17">
      <c r="O66" t="s">
        <v>1773</v>
      </c>
      <c r="P66" t="s">
        <v>1774</v>
      </c>
      <c r="Q66" t="s">
        <v>1773</v>
      </c>
    </row>
    <row r="67" spans="15:17">
      <c r="O67" t="s">
        <v>555</v>
      </c>
      <c r="P67" t="s">
        <v>1775</v>
      </c>
      <c r="Q67" t="s">
        <v>555</v>
      </c>
    </row>
    <row r="68" spans="15:17">
      <c r="O68" t="s">
        <v>1776</v>
      </c>
      <c r="P68" t="s">
        <v>1777</v>
      </c>
      <c r="Q68" t="s">
        <v>1776</v>
      </c>
    </row>
    <row r="69" spans="15:17">
      <c r="O69" t="s">
        <v>426</v>
      </c>
      <c r="P69" t="s">
        <v>1778</v>
      </c>
      <c r="Q69" t="s">
        <v>426</v>
      </c>
    </row>
    <row r="70" spans="15:17">
      <c r="O70" t="s">
        <v>1779</v>
      </c>
      <c r="P70" t="s">
        <v>1780</v>
      </c>
      <c r="Q70" t="s">
        <v>1779</v>
      </c>
    </row>
    <row r="71" spans="15:17">
      <c r="O71" t="s">
        <v>1781</v>
      </c>
      <c r="P71" t="s">
        <v>1782</v>
      </c>
      <c r="Q71" t="s">
        <v>1781</v>
      </c>
    </row>
    <row r="72" spans="15:17">
      <c r="O72" t="s">
        <v>345</v>
      </c>
      <c r="P72" t="s">
        <v>343</v>
      </c>
      <c r="Q72" t="s">
        <v>345</v>
      </c>
    </row>
    <row r="73" spans="15:17">
      <c r="O73" t="s">
        <v>328</v>
      </c>
      <c r="P73" t="s">
        <v>1783</v>
      </c>
      <c r="Q73" t="s">
        <v>328</v>
      </c>
    </row>
    <row r="74" spans="15:17">
      <c r="O74" t="s">
        <v>1784</v>
      </c>
      <c r="P74" t="s">
        <v>647</v>
      </c>
      <c r="Q74" t="s">
        <v>1784</v>
      </c>
    </row>
    <row r="75" spans="15:17">
      <c r="O75" t="s">
        <v>1454</v>
      </c>
      <c r="P75" t="s">
        <v>1785</v>
      </c>
      <c r="Q75" t="s">
        <v>1454</v>
      </c>
    </row>
    <row r="76" spans="15:17">
      <c r="O76" t="s">
        <v>1786</v>
      </c>
      <c r="P76" t="s">
        <v>1787</v>
      </c>
      <c r="Q76" t="s">
        <v>1786</v>
      </c>
    </row>
    <row r="77" spans="15:17">
      <c r="O77" t="s">
        <v>1788</v>
      </c>
      <c r="P77" t="s">
        <v>1789</v>
      </c>
      <c r="Q77" t="s">
        <v>1788</v>
      </c>
    </row>
    <row r="78" spans="15:17">
      <c r="O78" t="s">
        <v>1790</v>
      </c>
      <c r="P78" t="s">
        <v>584</v>
      </c>
      <c r="Q78" t="s">
        <v>1790</v>
      </c>
    </row>
    <row r="79" spans="15:17">
      <c r="O79" t="s">
        <v>1791</v>
      </c>
      <c r="P79" t="s">
        <v>1792</v>
      </c>
      <c r="Q79" t="s">
        <v>1791</v>
      </c>
    </row>
    <row r="80" spans="15:17">
      <c r="O80" t="s">
        <v>1793</v>
      </c>
      <c r="P80" t="s">
        <v>1794</v>
      </c>
      <c r="Q80" t="s">
        <v>1793</v>
      </c>
    </row>
    <row r="81" spans="15:17">
      <c r="O81" t="s">
        <v>1795</v>
      </c>
      <c r="P81" t="s">
        <v>1796</v>
      </c>
      <c r="Q81" t="s">
        <v>1795</v>
      </c>
    </row>
    <row r="82" spans="15:17">
      <c r="O82" t="s">
        <v>450</v>
      </c>
      <c r="P82" t="s">
        <v>1797</v>
      </c>
      <c r="Q82" t="s">
        <v>450</v>
      </c>
    </row>
    <row r="83" spans="15:17">
      <c r="O83" t="s">
        <v>1798</v>
      </c>
      <c r="P83" t="s">
        <v>1799</v>
      </c>
      <c r="Q83" t="s">
        <v>1798</v>
      </c>
    </row>
    <row r="84" spans="15:17">
      <c r="O84" t="s">
        <v>1800</v>
      </c>
      <c r="P84" t="s">
        <v>1801</v>
      </c>
      <c r="Q84" t="s">
        <v>1800</v>
      </c>
    </row>
    <row r="85" spans="15:17">
      <c r="O85" t="s">
        <v>1802</v>
      </c>
      <c r="P85" t="s">
        <v>1803</v>
      </c>
      <c r="Q85" t="s">
        <v>1802</v>
      </c>
    </row>
    <row r="86" spans="15:17">
      <c r="O86" t="s">
        <v>1804</v>
      </c>
      <c r="P86" t="s">
        <v>1805</v>
      </c>
      <c r="Q86" t="s">
        <v>1804</v>
      </c>
    </row>
    <row r="87" spans="15:17">
      <c r="O87" t="s">
        <v>509</v>
      </c>
      <c r="P87" t="s">
        <v>1806</v>
      </c>
      <c r="Q87" t="s">
        <v>509</v>
      </c>
    </row>
    <row r="88" spans="15:17">
      <c r="O88" t="s">
        <v>1807</v>
      </c>
      <c r="P88" t="s">
        <v>1808</v>
      </c>
      <c r="Q88" t="s">
        <v>1807</v>
      </c>
    </row>
    <row r="89" spans="15:17">
      <c r="O89" t="s">
        <v>1809</v>
      </c>
      <c r="P89" t="s">
        <v>1691</v>
      </c>
      <c r="Q89" t="s">
        <v>1809</v>
      </c>
    </row>
    <row r="90" spans="15:17">
      <c r="O90" t="s">
        <v>1810</v>
      </c>
      <c r="P90" t="s">
        <v>1811</v>
      </c>
      <c r="Q90" t="s">
        <v>1810</v>
      </c>
    </row>
    <row r="91" spans="15:17">
      <c r="O91" t="s">
        <v>1812</v>
      </c>
      <c r="P91" t="s">
        <v>1813</v>
      </c>
      <c r="Q91" t="s">
        <v>1812</v>
      </c>
    </row>
    <row r="92" spans="15:17">
      <c r="O92" t="s">
        <v>1814</v>
      </c>
      <c r="P92" t="s">
        <v>1815</v>
      </c>
      <c r="Q92" t="s">
        <v>1814</v>
      </c>
    </row>
    <row r="93" spans="15:17">
      <c r="O93" t="s">
        <v>1816</v>
      </c>
      <c r="P93" t="s">
        <v>1817</v>
      </c>
      <c r="Q93" t="s">
        <v>1816</v>
      </c>
    </row>
    <row r="94" spans="15:17">
      <c r="O94" t="s">
        <v>537</v>
      </c>
      <c r="P94" t="s">
        <v>534</v>
      </c>
      <c r="Q94" t="s">
        <v>537</v>
      </c>
    </row>
    <row r="95" spans="15:17">
      <c r="O95" t="s">
        <v>1818</v>
      </c>
      <c r="P95" t="s">
        <v>1819</v>
      </c>
      <c r="Q95" t="s">
        <v>1818</v>
      </c>
    </row>
    <row r="96" spans="15:17">
      <c r="O96" t="s">
        <v>1820</v>
      </c>
      <c r="P96" t="s">
        <v>1821</v>
      </c>
      <c r="Q96" t="s">
        <v>1820</v>
      </c>
    </row>
    <row r="97" spans="15:17">
      <c r="O97" t="s">
        <v>1295</v>
      </c>
      <c r="P97" t="s">
        <v>1822</v>
      </c>
      <c r="Q97" t="s">
        <v>1295</v>
      </c>
    </row>
    <row r="98" spans="15:17">
      <c r="O98" t="s">
        <v>1823</v>
      </c>
      <c r="P98" t="s">
        <v>1824</v>
      </c>
      <c r="Q98" t="s">
        <v>1823</v>
      </c>
    </row>
    <row r="99" spans="15:17">
      <c r="O99" t="s">
        <v>1825</v>
      </c>
      <c r="P99" t="s">
        <v>1826</v>
      </c>
      <c r="Q99" t="s">
        <v>1825</v>
      </c>
    </row>
    <row r="100" spans="15:17">
      <c r="O100" t="s">
        <v>1827</v>
      </c>
      <c r="P100" t="s">
        <v>1828</v>
      </c>
      <c r="Q100" t="s">
        <v>1827</v>
      </c>
    </row>
    <row r="101" spans="15:17">
      <c r="O101" t="s">
        <v>1234</v>
      </c>
      <c r="P101" t="s">
        <v>323</v>
      </c>
      <c r="Q101" t="s">
        <v>1234</v>
      </c>
    </row>
    <row r="102" spans="15:17">
      <c r="O102" t="s">
        <v>1829</v>
      </c>
      <c r="P102" t="s">
        <v>1830</v>
      </c>
      <c r="Q102" t="s">
        <v>1829</v>
      </c>
    </row>
    <row r="103" spans="15:17">
      <c r="O103" t="s">
        <v>1373</v>
      </c>
      <c r="P103" t="s">
        <v>1831</v>
      </c>
      <c r="Q103" t="s">
        <v>1373</v>
      </c>
    </row>
    <row r="104" spans="15:17">
      <c r="O104" t="s">
        <v>459</v>
      </c>
      <c r="P104" t="s">
        <v>1832</v>
      </c>
      <c r="Q104" t="s">
        <v>459</v>
      </c>
    </row>
    <row r="105" spans="15:17">
      <c r="O105" t="s">
        <v>1833</v>
      </c>
      <c r="P105" t="s">
        <v>1834</v>
      </c>
      <c r="Q105" t="s">
        <v>1833</v>
      </c>
    </row>
    <row r="106" spans="15:17">
      <c r="O106" t="s">
        <v>372</v>
      </c>
      <c r="P106" t="s">
        <v>370</v>
      </c>
      <c r="Q106" t="s">
        <v>372</v>
      </c>
    </row>
    <row r="107" spans="15:17">
      <c r="O107" t="s">
        <v>1835</v>
      </c>
      <c r="P107" t="s">
        <v>1836</v>
      </c>
      <c r="Q107" t="s">
        <v>1835</v>
      </c>
    </row>
    <row r="108" spans="15:17">
      <c r="O108" t="s">
        <v>1837</v>
      </c>
      <c r="P108" t="s">
        <v>1838</v>
      </c>
      <c r="Q108" t="s">
        <v>1837</v>
      </c>
    </row>
    <row r="109" spans="15:17">
      <c r="O109" t="s">
        <v>1839</v>
      </c>
      <c r="P109" t="s">
        <v>1840</v>
      </c>
      <c r="Q109" t="s">
        <v>1839</v>
      </c>
    </row>
    <row r="110" spans="15:17">
      <c r="O110" t="s">
        <v>1841</v>
      </c>
      <c r="P110" t="s">
        <v>1842</v>
      </c>
      <c r="Q110" t="s">
        <v>1841</v>
      </c>
    </row>
    <row r="111" spans="15:17">
      <c r="O111" t="s">
        <v>1843</v>
      </c>
      <c r="P111" t="s">
        <v>1844</v>
      </c>
      <c r="Q111" t="s">
        <v>1843</v>
      </c>
    </row>
    <row r="112" spans="15:17">
      <c r="O112" t="s">
        <v>10</v>
      </c>
      <c r="P112" t="s">
        <v>1845</v>
      </c>
      <c r="Q112" t="s">
        <v>10</v>
      </c>
    </row>
    <row r="113" spans="15:17">
      <c r="O113" t="s">
        <v>1846</v>
      </c>
      <c r="P113" t="s">
        <v>1847</v>
      </c>
      <c r="Q113" t="s">
        <v>1846</v>
      </c>
    </row>
    <row r="114" spans="15:17">
      <c r="O114" t="s">
        <v>1848</v>
      </c>
      <c r="P114" t="s">
        <v>1849</v>
      </c>
      <c r="Q114" t="s">
        <v>1848</v>
      </c>
    </row>
    <row r="115" spans="15:17">
      <c r="O115" t="s">
        <v>1850</v>
      </c>
      <c r="P115" t="s">
        <v>1851</v>
      </c>
      <c r="Q115" t="s">
        <v>1850</v>
      </c>
    </row>
    <row r="116" spans="15:17">
      <c r="O116" t="s">
        <v>1852</v>
      </c>
      <c r="P116" t="s">
        <v>1853</v>
      </c>
      <c r="Q116" t="s">
        <v>1852</v>
      </c>
    </row>
    <row r="117" spans="15:17">
      <c r="O117" t="s">
        <v>329</v>
      </c>
      <c r="P117" t="s">
        <v>1854</v>
      </c>
      <c r="Q117" t="s">
        <v>329</v>
      </c>
    </row>
    <row r="118" spans="15:17">
      <c r="O118" t="s">
        <v>1855</v>
      </c>
      <c r="P118" t="s">
        <v>1854</v>
      </c>
      <c r="Q118" t="s">
        <v>1855</v>
      </c>
    </row>
    <row r="119" spans="15:17">
      <c r="O119" t="s">
        <v>543</v>
      </c>
      <c r="P119" t="s">
        <v>1856</v>
      </c>
      <c r="Q119" t="s">
        <v>543</v>
      </c>
    </row>
    <row r="120" spans="15:17">
      <c r="O120" t="s">
        <v>547</v>
      </c>
      <c r="P120" t="s">
        <v>1857</v>
      </c>
      <c r="Q120" t="s">
        <v>547</v>
      </c>
    </row>
    <row r="121" spans="15:17">
      <c r="O121" t="s">
        <v>1858</v>
      </c>
      <c r="P121" t="s">
        <v>1859</v>
      </c>
      <c r="Q121" t="s">
        <v>1858</v>
      </c>
    </row>
    <row r="122" spans="15:17">
      <c r="O122" t="s">
        <v>1860</v>
      </c>
      <c r="P122" t="s">
        <v>1861</v>
      </c>
      <c r="Q122" t="s">
        <v>1860</v>
      </c>
    </row>
    <row r="123" spans="15:17">
      <c r="O123" t="s">
        <v>1862</v>
      </c>
      <c r="P123" t="s">
        <v>1863</v>
      </c>
      <c r="Q123" t="s">
        <v>1862</v>
      </c>
    </row>
    <row r="124" spans="15:17">
      <c r="O124" t="s">
        <v>1864</v>
      </c>
      <c r="P124" t="s">
        <v>1865</v>
      </c>
      <c r="Q124" t="s">
        <v>1864</v>
      </c>
    </row>
    <row r="125" spans="15:17">
      <c r="O125" t="s">
        <v>1866</v>
      </c>
      <c r="P125" t="s">
        <v>1867</v>
      </c>
      <c r="Q125" t="s">
        <v>1866</v>
      </c>
    </row>
    <row r="126" spans="15:17">
      <c r="O126" t="s">
        <v>1868</v>
      </c>
      <c r="P126" t="s">
        <v>1869</v>
      </c>
      <c r="Q126" t="s">
        <v>1868</v>
      </c>
    </row>
    <row r="127" spans="15:17">
      <c r="O127" t="s">
        <v>1870</v>
      </c>
      <c r="P127" t="s">
        <v>1871</v>
      </c>
      <c r="Q127" t="s">
        <v>1870</v>
      </c>
    </row>
    <row r="128" spans="15:17">
      <c r="O128" t="s">
        <v>1872</v>
      </c>
      <c r="P128" t="s">
        <v>1873</v>
      </c>
      <c r="Q128" t="s">
        <v>1872</v>
      </c>
    </row>
    <row r="129" spans="15:17">
      <c r="O129" t="s">
        <v>1874</v>
      </c>
      <c r="P129" t="s">
        <v>1875</v>
      </c>
      <c r="Q129" t="s">
        <v>1874</v>
      </c>
    </row>
    <row r="130" spans="15:17">
      <c r="O130" t="s">
        <v>1876</v>
      </c>
      <c r="P130" t="s">
        <v>1877</v>
      </c>
      <c r="Q130" t="s">
        <v>1876</v>
      </c>
    </row>
    <row r="131" spans="15:17">
      <c r="O131" t="s">
        <v>1878</v>
      </c>
      <c r="P131" t="s">
        <v>1879</v>
      </c>
      <c r="Q131" t="s">
        <v>1878</v>
      </c>
    </row>
    <row r="132" spans="15:17">
      <c r="O132" t="s">
        <v>1880</v>
      </c>
      <c r="P132" t="s">
        <v>1881</v>
      </c>
      <c r="Q132" t="s">
        <v>1880</v>
      </c>
    </row>
    <row r="133" spans="15:17">
      <c r="O133" t="s">
        <v>1882</v>
      </c>
      <c r="P133" t="s">
        <v>1883</v>
      </c>
      <c r="Q133" t="s">
        <v>1882</v>
      </c>
    </row>
    <row r="134" spans="15:17">
      <c r="O134" t="s">
        <v>1884</v>
      </c>
      <c r="P134" t="s">
        <v>1885</v>
      </c>
      <c r="Q134" t="s">
        <v>1884</v>
      </c>
    </row>
    <row r="135" spans="15:17">
      <c r="O135" t="s">
        <v>1886</v>
      </c>
      <c r="P135" t="s">
        <v>1887</v>
      </c>
      <c r="Q135" t="s">
        <v>1886</v>
      </c>
    </row>
    <row r="136" spans="15:17">
      <c r="O136" t="s">
        <v>496</v>
      </c>
      <c r="P136" t="s">
        <v>1888</v>
      </c>
      <c r="Q136" t="s">
        <v>496</v>
      </c>
    </row>
    <row r="137" spans="15:17">
      <c r="O137" t="s">
        <v>231</v>
      </c>
      <c r="P137" t="s">
        <v>1889</v>
      </c>
      <c r="Q137" t="s">
        <v>231</v>
      </c>
    </row>
    <row r="138" spans="15:17">
      <c r="O138" t="s">
        <v>1890</v>
      </c>
      <c r="P138" t="s">
        <v>1891</v>
      </c>
      <c r="Q138" t="s">
        <v>1890</v>
      </c>
    </row>
    <row r="139" spans="15:17">
      <c r="O139" t="s">
        <v>591</v>
      </c>
      <c r="P139" t="s">
        <v>1892</v>
      </c>
      <c r="Q139" t="s">
        <v>591</v>
      </c>
    </row>
    <row r="140" spans="15:17">
      <c r="O140" t="s">
        <v>1893</v>
      </c>
      <c r="P140" t="s">
        <v>1894</v>
      </c>
      <c r="Q140" t="s">
        <v>1893</v>
      </c>
    </row>
    <row r="141" spans="15:17">
      <c r="O141" t="s">
        <v>1895</v>
      </c>
      <c r="P141" t="s">
        <v>1896</v>
      </c>
      <c r="Q141" t="s">
        <v>1895</v>
      </c>
    </row>
    <row r="142" spans="15:17">
      <c r="O142" t="s">
        <v>1897</v>
      </c>
      <c r="P142" t="s">
        <v>1898</v>
      </c>
      <c r="Q142" t="s">
        <v>1897</v>
      </c>
    </row>
    <row r="143" spans="15:17">
      <c r="O143" t="s">
        <v>1899</v>
      </c>
      <c r="P143" t="s">
        <v>1900</v>
      </c>
      <c r="Q143" t="s">
        <v>1899</v>
      </c>
    </row>
    <row r="144" spans="15:17">
      <c r="O144" t="s">
        <v>1901</v>
      </c>
      <c r="P144" t="s">
        <v>1902</v>
      </c>
      <c r="Q144" t="s">
        <v>1901</v>
      </c>
    </row>
    <row r="145" spans="15:17">
      <c r="O145" t="s">
        <v>1903</v>
      </c>
      <c r="P145" t="s">
        <v>1904</v>
      </c>
      <c r="Q145" t="s">
        <v>1903</v>
      </c>
    </row>
    <row r="146" spans="15:17">
      <c r="O146" t="s">
        <v>491</v>
      </c>
      <c r="P146" t="s">
        <v>1905</v>
      </c>
      <c r="Q146" t="s">
        <v>491</v>
      </c>
    </row>
    <row r="147" spans="15:17">
      <c r="O147" t="s">
        <v>474</v>
      </c>
      <c r="P147" t="s">
        <v>1906</v>
      </c>
      <c r="Q147" t="s">
        <v>474</v>
      </c>
    </row>
    <row r="148" spans="15:17">
      <c r="O148" t="s">
        <v>1907</v>
      </c>
      <c r="P148" t="s">
        <v>1908</v>
      </c>
      <c r="Q148" t="s">
        <v>1907</v>
      </c>
    </row>
    <row r="149" spans="15:17">
      <c r="O149" t="s">
        <v>1909</v>
      </c>
      <c r="P149" t="s">
        <v>1910</v>
      </c>
      <c r="Q149" t="s">
        <v>1909</v>
      </c>
    </row>
    <row r="150" spans="15:17">
      <c r="O150" t="s">
        <v>1911</v>
      </c>
      <c r="P150" t="s">
        <v>1912</v>
      </c>
      <c r="Q150" t="s">
        <v>1911</v>
      </c>
    </row>
    <row r="151" spans="15:17">
      <c r="O151" t="s">
        <v>1913</v>
      </c>
      <c r="P151" t="s">
        <v>1914</v>
      </c>
      <c r="Q151" t="s">
        <v>1913</v>
      </c>
    </row>
    <row r="152" spans="15:17">
      <c r="O152" t="s">
        <v>1458</v>
      </c>
      <c r="P152" t="s">
        <v>1915</v>
      </c>
      <c r="Q152" t="s">
        <v>1458</v>
      </c>
    </row>
    <row r="153" spans="15:17">
      <c r="O153" t="s">
        <v>1916</v>
      </c>
      <c r="P153" t="s">
        <v>1917</v>
      </c>
      <c r="Q153" t="s">
        <v>1916</v>
      </c>
    </row>
    <row r="154" spans="15:17">
      <c r="O154" t="s">
        <v>1918</v>
      </c>
      <c r="P154" t="s">
        <v>1919</v>
      </c>
      <c r="Q154" t="s">
        <v>1918</v>
      </c>
    </row>
    <row r="155" spans="15:17">
      <c r="O155" t="s">
        <v>553</v>
      </c>
      <c r="P155" t="s">
        <v>1920</v>
      </c>
      <c r="Q155" t="s">
        <v>553</v>
      </c>
    </row>
    <row r="156" spans="15:17">
      <c r="O156" t="s">
        <v>1921</v>
      </c>
      <c r="P156" t="s">
        <v>1922</v>
      </c>
      <c r="Q156" t="s">
        <v>1921</v>
      </c>
    </row>
    <row r="157" spans="15:17">
      <c r="O157" t="s">
        <v>1923</v>
      </c>
      <c r="P157" t="s">
        <v>1924</v>
      </c>
      <c r="Q157" t="s">
        <v>1923</v>
      </c>
    </row>
    <row r="158" spans="15:17">
      <c r="O158" t="s">
        <v>1925</v>
      </c>
      <c r="P158" t="s">
        <v>1926</v>
      </c>
      <c r="Q158" t="s">
        <v>1925</v>
      </c>
    </row>
    <row r="159" spans="15:17">
      <c r="O159" t="s">
        <v>1927</v>
      </c>
      <c r="P159" t="s">
        <v>1928</v>
      </c>
      <c r="Q159" t="s">
        <v>1927</v>
      </c>
    </row>
    <row r="160" spans="15:17">
      <c r="O160" t="s">
        <v>1929</v>
      </c>
      <c r="P160" t="s">
        <v>1930</v>
      </c>
      <c r="Q160" t="s">
        <v>1929</v>
      </c>
    </row>
    <row r="161" spans="15:17">
      <c r="O161" t="s">
        <v>467</v>
      </c>
      <c r="P161" t="s">
        <v>469</v>
      </c>
      <c r="Q161" t="s">
        <v>467</v>
      </c>
    </row>
    <row r="162" spans="15:17">
      <c r="O162" t="s">
        <v>1931</v>
      </c>
      <c r="P162" t="s">
        <v>1932</v>
      </c>
      <c r="Q162" t="s">
        <v>1931</v>
      </c>
    </row>
    <row r="163" spans="15:17">
      <c r="O163" t="s">
        <v>1297</v>
      </c>
      <c r="P163" t="s">
        <v>1933</v>
      </c>
      <c r="Q163" t="s">
        <v>1297</v>
      </c>
    </row>
    <row r="164" spans="15:17">
      <c r="O164" t="s">
        <v>1934</v>
      </c>
      <c r="P164" t="s">
        <v>1887</v>
      </c>
      <c r="Q164" t="s">
        <v>1934</v>
      </c>
    </row>
    <row r="165" spans="15:17">
      <c r="O165" t="s">
        <v>1935</v>
      </c>
      <c r="P165" t="s">
        <v>1936</v>
      </c>
      <c r="Q165" t="s">
        <v>1935</v>
      </c>
    </row>
    <row r="166" spans="15:17">
      <c r="O166" t="s">
        <v>1937</v>
      </c>
      <c r="P166" t="s">
        <v>1938</v>
      </c>
      <c r="Q166" t="s">
        <v>1937</v>
      </c>
    </row>
    <row r="167" spans="15:17">
      <c r="O167" t="s">
        <v>397</v>
      </c>
      <c r="P167" t="s">
        <v>408</v>
      </c>
      <c r="Q167" t="s">
        <v>397</v>
      </c>
    </row>
    <row r="168" spans="15:17">
      <c r="O168" t="s">
        <v>1939</v>
      </c>
      <c r="P168" t="s">
        <v>1940</v>
      </c>
      <c r="Q168" t="s">
        <v>1939</v>
      </c>
    </row>
    <row r="169" spans="15:17">
      <c r="O169" t="s">
        <v>1941</v>
      </c>
      <c r="P169" t="s">
        <v>1942</v>
      </c>
      <c r="Q169" t="s">
        <v>1941</v>
      </c>
    </row>
    <row r="170" spans="15:17">
      <c r="O170" t="s">
        <v>1943</v>
      </c>
      <c r="P170" t="s">
        <v>1944</v>
      </c>
      <c r="Q170" t="s">
        <v>1943</v>
      </c>
    </row>
    <row r="171" spans="15:17">
      <c r="O171" t="s">
        <v>1945</v>
      </c>
      <c r="P171" t="s">
        <v>1946</v>
      </c>
      <c r="Q171" t="s">
        <v>1945</v>
      </c>
    </row>
    <row r="172" spans="15:17">
      <c r="O172" t="s">
        <v>1947</v>
      </c>
      <c r="P172" t="s">
        <v>1948</v>
      </c>
      <c r="Q172" t="s">
        <v>1947</v>
      </c>
    </row>
    <row r="173" spans="15:17">
      <c r="O173" t="s">
        <v>1949</v>
      </c>
      <c r="P173" t="s">
        <v>1950</v>
      </c>
      <c r="Q173" t="s">
        <v>1949</v>
      </c>
    </row>
    <row r="174" spans="15:17">
      <c r="O174" t="s">
        <v>1951</v>
      </c>
      <c r="P174" t="s">
        <v>1952</v>
      </c>
      <c r="Q174" t="s">
        <v>1951</v>
      </c>
    </row>
    <row r="175" spans="15:17">
      <c r="O175" t="s">
        <v>1953</v>
      </c>
      <c r="P175" t="s">
        <v>1954</v>
      </c>
      <c r="Q175" t="s">
        <v>1953</v>
      </c>
    </row>
    <row r="176" spans="15:17">
      <c r="O176" t="s">
        <v>454</v>
      </c>
      <c r="P176" t="s">
        <v>1955</v>
      </c>
      <c r="Q176" t="s">
        <v>454</v>
      </c>
    </row>
    <row r="177" spans="15:17">
      <c r="O177" t="s">
        <v>1956</v>
      </c>
      <c r="P177" t="s">
        <v>1957</v>
      </c>
      <c r="Q177" t="s">
        <v>1956</v>
      </c>
    </row>
    <row r="178" spans="15:17">
      <c r="O178" t="s">
        <v>650</v>
      </c>
      <c r="P178" t="s">
        <v>647</v>
      </c>
      <c r="Q178" t="s">
        <v>650</v>
      </c>
    </row>
    <row r="179" spans="15:17">
      <c r="O179" t="s">
        <v>1958</v>
      </c>
      <c r="P179" t="s">
        <v>1959</v>
      </c>
      <c r="Q179" t="s">
        <v>1958</v>
      </c>
    </row>
    <row r="180" spans="15:17">
      <c r="O180" t="s">
        <v>609</v>
      </c>
      <c r="P180" t="s">
        <v>1960</v>
      </c>
      <c r="Q180" t="s">
        <v>609</v>
      </c>
    </row>
    <row r="181" spans="15:17">
      <c r="O181" t="s">
        <v>1961</v>
      </c>
      <c r="P181" t="s">
        <v>1962</v>
      </c>
      <c r="Q181" t="s">
        <v>1961</v>
      </c>
    </row>
    <row r="182" spans="15:17">
      <c r="O182" t="s">
        <v>1963</v>
      </c>
      <c r="P182" t="s">
        <v>1964</v>
      </c>
      <c r="Q182" t="s">
        <v>1963</v>
      </c>
    </row>
    <row r="183" spans="15:17">
      <c r="O183" t="s">
        <v>1965</v>
      </c>
      <c r="P183" t="s">
        <v>595</v>
      </c>
      <c r="Q183" t="s">
        <v>1965</v>
      </c>
    </row>
    <row r="184" spans="15:17">
      <c r="O184" t="s">
        <v>1966</v>
      </c>
      <c r="P184" t="s">
        <v>1967</v>
      </c>
      <c r="Q184" t="s">
        <v>1966</v>
      </c>
    </row>
    <row r="185" spans="15:17">
      <c r="O185" t="s">
        <v>1968</v>
      </c>
      <c r="P185" t="s">
        <v>1969</v>
      </c>
      <c r="Q185" t="s">
        <v>1968</v>
      </c>
    </row>
    <row r="186" spans="15:17">
      <c r="O186" t="s">
        <v>1970</v>
      </c>
      <c r="P186" t="s">
        <v>1971</v>
      </c>
      <c r="Q186" t="s">
        <v>1970</v>
      </c>
    </row>
    <row r="187" spans="15:17">
      <c r="O187" t="s">
        <v>1972</v>
      </c>
      <c r="P187" t="s">
        <v>1973</v>
      </c>
      <c r="Q187" t="s">
        <v>1972</v>
      </c>
    </row>
    <row r="188" spans="15:17">
      <c r="O188" t="s">
        <v>1974</v>
      </c>
      <c r="P188" t="s">
        <v>1975</v>
      </c>
      <c r="Q188" t="s">
        <v>1974</v>
      </c>
    </row>
    <row r="189" spans="15:17">
      <c r="O189" t="s">
        <v>1976</v>
      </c>
      <c r="P189" t="s">
        <v>1977</v>
      </c>
      <c r="Q189" t="s">
        <v>1976</v>
      </c>
    </row>
    <row r="190" spans="15:17">
      <c r="O190" t="s">
        <v>1978</v>
      </c>
      <c r="P190" t="s">
        <v>1979</v>
      </c>
      <c r="Q190" t="s">
        <v>1978</v>
      </c>
    </row>
    <row r="191" spans="15:17">
      <c r="O191" t="s">
        <v>1980</v>
      </c>
      <c r="P191" t="s">
        <v>1981</v>
      </c>
      <c r="Q191" t="s">
        <v>1980</v>
      </c>
    </row>
    <row r="192" spans="15:17">
      <c r="O192" t="s">
        <v>1982</v>
      </c>
      <c r="P192" t="s">
        <v>1885</v>
      </c>
      <c r="Q192" t="s">
        <v>1982</v>
      </c>
    </row>
    <row r="193" spans="15:17">
      <c r="O193" t="s">
        <v>1983</v>
      </c>
      <c r="P193" t="s">
        <v>1984</v>
      </c>
      <c r="Q193" t="s">
        <v>1983</v>
      </c>
    </row>
    <row r="194" spans="15:17">
      <c r="O194" t="s">
        <v>1985</v>
      </c>
      <c r="P194" t="s">
        <v>1986</v>
      </c>
      <c r="Q194" t="s">
        <v>1985</v>
      </c>
    </row>
    <row r="195" spans="15:17">
      <c r="O195" t="s">
        <v>1987</v>
      </c>
      <c r="P195" t="s">
        <v>1988</v>
      </c>
      <c r="Q195" t="s">
        <v>1987</v>
      </c>
    </row>
    <row r="196" spans="15:17">
      <c r="O196" t="s">
        <v>1989</v>
      </c>
      <c r="P196" t="s">
        <v>1762</v>
      </c>
      <c r="Q196" t="s">
        <v>1989</v>
      </c>
    </row>
    <row r="197" spans="15:17">
      <c r="O197" t="s">
        <v>1990</v>
      </c>
      <c r="P197" t="s">
        <v>1991</v>
      </c>
      <c r="Q197" t="s">
        <v>1990</v>
      </c>
    </row>
    <row r="198" spans="15:17">
      <c r="O198" t="s">
        <v>1058</v>
      </c>
      <c r="P198" t="s">
        <v>577</v>
      </c>
      <c r="Q198" t="s">
        <v>1058</v>
      </c>
    </row>
    <row r="199" spans="15:17">
      <c r="O199" t="s">
        <v>1992</v>
      </c>
      <c r="P199" t="s">
        <v>1993</v>
      </c>
      <c r="Q199" t="s">
        <v>1992</v>
      </c>
    </row>
    <row r="200" spans="15:17">
      <c r="O200" t="s">
        <v>1994</v>
      </c>
      <c r="P200" t="s">
        <v>1995</v>
      </c>
      <c r="Q200" t="s">
        <v>1994</v>
      </c>
    </row>
    <row r="201" spans="15:17">
      <c r="O201" t="s">
        <v>1996</v>
      </c>
      <c r="P201" t="s">
        <v>1997</v>
      </c>
      <c r="Q201" t="s">
        <v>1996</v>
      </c>
    </row>
    <row r="202" spans="15:17">
      <c r="O202" t="s">
        <v>362</v>
      </c>
      <c r="P202" t="s">
        <v>1998</v>
      </c>
      <c r="Q202" t="s">
        <v>362</v>
      </c>
    </row>
    <row r="203" spans="15:17">
      <c r="O203" t="s">
        <v>1999</v>
      </c>
      <c r="P203" t="s">
        <v>2000</v>
      </c>
      <c r="Q203" t="s">
        <v>1999</v>
      </c>
    </row>
    <row r="204" spans="15:17">
      <c r="O204" t="s">
        <v>2001</v>
      </c>
      <c r="P204" t="s">
        <v>2002</v>
      </c>
      <c r="Q204" t="s">
        <v>2001</v>
      </c>
    </row>
    <row r="206" spans="15:17">
      <c r="Q206" s="122"/>
    </row>
    <row r="207" spans="15:17">
      <c r="Q207" s="122"/>
    </row>
    <row r="208" spans="15:17">
      <c r="Q208" s="122"/>
    </row>
    <row r="209" spans="17:17">
      <c r="Q209" s="122"/>
    </row>
    <row r="210" spans="17:17">
      <c r="Q210" s="122"/>
    </row>
    <row r="211" spans="17:17">
      <c r="Q211" s="122"/>
    </row>
    <row r="212" spans="17:17">
      <c r="Q212" s="122"/>
    </row>
    <row r="213" spans="17:17">
      <c r="Q213" s="122"/>
    </row>
    <row r="214" spans="17:17">
      <c r="Q214" s="122"/>
    </row>
    <row r="215" spans="17:17">
      <c r="Q215" s="122"/>
    </row>
    <row r="216" spans="17:17">
      <c r="Q216" s="122"/>
    </row>
    <row r="217" spans="17:17">
      <c r="Q217" s="122"/>
    </row>
  </sheetData>
  <sheetProtection selectLockedCells="1" selectUnlockedCells="1"/>
  <autoFilter ref="B1:Q204" xr:uid="{00000000-0009-0000-0000-00000C000000}"/>
  <phoneticPr fontId="120" type="noConversion"/>
  <conditionalFormatting sqref="R2:R205">
    <cfRule type="cellIs" dxfId="14" priority="2" operator="equal">
      <formula>1</formula>
    </cfRule>
  </conditionalFormatting>
  <conditionalFormatting sqref="L2 M2:M3">
    <cfRule type="containsBlanks" dxfId="13" priority="6">
      <formula>LEN(TRIM(L2))=0</formula>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1" id="{00000000-000E-0000-0C00-000001000000}">
            <xm:f>Sheet1!$A$3&lt;&gt;1</xm:f>
            <x14:dxf>
              <font>
                <color theme="3" tint="0.79992065187536243"/>
              </font>
              <fill>
                <patternFill patternType="solid">
                  <bgColor theme="3" tint="0.79992065187536243"/>
                </patternFill>
              </fill>
            </x14:dxf>
          </x14:cfRule>
          <xm:sqref>A1:XFD3 A6:XFD1048576 A4:X5 AG4:XFD5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下拉菜单!$BP:$BP</xm:f>
          </x14:formula1>
          <xm:sqref>Y5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1:IV18"/>
  <sheetViews>
    <sheetView workbookViewId="0">
      <selection activeCell="G27" sqref="G27"/>
    </sheetView>
  </sheetViews>
  <sheetFormatPr defaultColWidth="8.125" defaultRowHeight="12" outlineLevelCol="1"/>
  <cols>
    <col min="1" max="1" width="7.375" style="87" customWidth="1"/>
    <col min="2" max="2" width="6.875" style="88" customWidth="1" outlineLevel="1"/>
    <col min="3" max="3" width="6.5" style="89" customWidth="1"/>
    <col min="4" max="17" width="6.5" style="88" customWidth="1"/>
    <col min="18" max="18" width="5.125" style="89" customWidth="1" outlineLevel="1"/>
    <col min="19" max="20" width="6.375" style="88" customWidth="1"/>
    <col min="21" max="21" width="7" style="88" customWidth="1"/>
    <col min="22" max="24" width="6.375" style="88" customWidth="1"/>
    <col min="25" max="16384" width="8.125" style="88"/>
  </cols>
  <sheetData>
    <row r="1" spans="1:256" ht="15">
      <c r="A1" s="90" t="s">
        <v>2003</v>
      </c>
      <c r="C1" s="91"/>
      <c r="D1" s="91"/>
      <c r="E1" s="91"/>
      <c r="F1" s="91"/>
      <c r="G1" s="91"/>
      <c r="H1" s="91"/>
      <c r="I1" s="91"/>
      <c r="J1" s="91"/>
      <c r="K1" s="91"/>
      <c r="L1" s="91"/>
      <c r="M1" s="91"/>
      <c r="N1" s="91"/>
      <c r="O1" s="91"/>
      <c r="P1" s="91"/>
      <c r="Q1" s="92"/>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92"/>
      <c r="BO1" s="92"/>
      <c r="BP1" s="92"/>
      <c r="BQ1" s="92"/>
      <c r="BR1" s="92"/>
      <c r="BS1" s="92"/>
      <c r="BT1" s="92"/>
      <c r="BU1" s="92"/>
      <c r="BV1" s="92"/>
      <c r="BW1" s="92"/>
      <c r="BX1" s="92"/>
      <c r="BY1" s="92"/>
      <c r="BZ1" s="92"/>
      <c r="CA1" s="92"/>
      <c r="CB1" s="92"/>
      <c r="CC1" s="92"/>
      <c r="CD1" s="92"/>
      <c r="CE1" s="92"/>
      <c r="CF1" s="92"/>
      <c r="CG1" s="92"/>
      <c r="CH1" s="92"/>
      <c r="CI1" s="92"/>
      <c r="CJ1" s="92"/>
      <c r="CK1" s="92"/>
      <c r="CL1" s="92"/>
      <c r="CM1" s="92"/>
      <c r="CN1" s="92"/>
      <c r="CO1" s="92"/>
      <c r="CP1" s="92"/>
      <c r="CQ1" s="92"/>
      <c r="CR1" s="92"/>
      <c r="CS1" s="92"/>
      <c r="CT1" s="92"/>
      <c r="CU1" s="92"/>
      <c r="CV1" s="92"/>
      <c r="CW1" s="92"/>
      <c r="CX1" s="92"/>
      <c r="CY1" s="92"/>
      <c r="CZ1" s="92"/>
      <c r="DA1" s="92"/>
      <c r="DB1" s="92"/>
      <c r="DC1" s="92"/>
      <c r="DD1" s="92"/>
      <c r="DE1" s="92"/>
      <c r="DF1" s="92"/>
      <c r="DG1" s="92"/>
      <c r="DH1" s="92"/>
      <c r="DI1" s="92"/>
      <c r="DJ1" s="92"/>
      <c r="DK1" s="92"/>
      <c r="DL1" s="92"/>
      <c r="DM1" s="92"/>
      <c r="DN1" s="92"/>
      <c r="DO1" s="92"/>
      <c r="DP1" s="92"/>
      <c r="DQ1" s="92"/>
      <c r="DR1" s="92"/>
      <c r="DS1" s="92"/>
      <c r="DT1" s="92"/>
      <c r="DU1" s="92"/>
      <c r="DV1" s="92"/>
      <c r="DW1" s="92"/>
      <c r="DX1" s="92"/>
      <c r="DY1" s="92"/>
      <c r="DZ1" s="92"/>
      <c r="EA1" s="92"/>
      <c r="EB1" s="92"/>
      <c r="EC1" s="92"/>
      <c r="ED1" s="92"/>
      <c r="EE1" s="92"/>
      <c r="EF1" s="92"/>
      <c r="EG1" s="92"/>
      <c r="EH1" s="92"/>
      <c r="EI1" s="92"/>
      <c r="EJ1" s="92"/>
      <c r="EK1" s="92"/>
      <c r="EL1" s="92"/>
      <c r="EM1" s="92"/>
      <c r="EN1" s="92"/>
      <c r="EO1" s="92"/>
      <c r="EP1" s="92"/>
      <c r="EQ1" s="92"/>
      <c r="ER1" s="92"/>
      <c r="ES1" s="92"/>
      <c r="ET1" s="92"/>
      <c r="EU1" s="92"/>
      <c r="EV1" s="92"/>
      <c r="EW1" s="92"/>
      <c r="EX1" s="92"/>
      <c r="EY1" s="92"/>
      <c r="EZ1" s="92"/>
      <c r="FA1" s="92"/>
      <c r="FB1" s="92"/>
      <c r="FC1" s="92"/>
      <c r="FD1" s="92"/>
      <c r="FE1" s="92"/>
      <c r="FF1" s="92"/>
      <c r="FG1" s="92"/>
      <c r="FH1" s="92"/>
      <c r="FI1" s="92"/>
      <c r="FJ1" s="92"/>
      <c r="FK1" s="92"/>
      <c r="FL1" s="92"/>
      <c r="FM1" s="92"/>
      <c r="FN1" s="92"/>
      <c r="FO1" s="92"/>
      <c r="FP1" s="92"/>
      <c r="FQ1" s="92"/>
      <c r="FR1" s="92"/>
      <c r="FS1" s="92"/>
      <c r="FT1" s="92"/>
      <c r="FU1" s="92"/>
      <c r="FV1" s="92"/>
      <c r="FW1" s="92"/>
      <c r="FX1" s="92"/>
      <c r="FY1" s="92"/>
      <c r="FZ1" s="92"/>
      <c r="GA1" s="92"/>
      <c r="GB1" s="92"/>
      <c r="GC1" s="92"/>
      <c r="GD1" s="92"/>
      <c r="GE1" s="92"/>
      <c r="GF1" s="92"/>
      <c r="GG1" s="92"/>
      <c r="GH1" s="92"/>
      <c r="GI1" s="92"/>
      <c r="GJ1" s="92"/>
      <c r="GK1" s="92"/>
      <c r="GL1" s="92"/>
      <c r="GM1" s="92"/>
      <c r="GN1" s="92"/>
      <c r="GO1" s="92"/>
      <c r="GP1" s="92"/>
      <c r="GQ1" s="92"/>
      <c r="GR1" s="92"/>
      <c r="GS1" s="92"/>
      <c r="GT1" s="92"/>
      <c r="GU1" s="92"/>
      <c r="GV1" s="92"/>
      <c r="GW1" s="92"/>
      <c r="GX1" s="92"/>
      <c r="GY1" s="92"/>
      <c r="GZ1" s="92"/>
      <c r="HA1" s="92"/>
      <c r="HB1" s="92"/>
      <c r="HC1" s="92"/>
      <c r="HD1" s="92"/>
      <c r="HE1" s="92"/>
      <c r="HF1" s="92"/>
      <c r="HG1" s="92"/>
      <c r="HH1" s="92"/>
      <c r="HI1" s="92"/>
      <c r="HJ1" s="92"/>
      <c r="HK1" s="92"/>
      <c r="HL1" s="92"/>
      <c r="HM1" s="92"/>
      <c r="HN1" s="92"/>
      <c r="HO1" s="92"/>
      <c r="HP1" s="92"/>
      <c r="HQ1" s="92"/>
      <c r="HR1" s="92"/>
      <c r="HS1" s="92"/>
      <c r="HT1" s="92"/>
      <c r="HU1" s="92"/>
      <c r="HV1" s="92"/>
      <c r="HW1" s="92"/>
      <c r="HX1" s="92"/>
      <c r="HY1" s="92"/>
      <c r="HZ1" s="92"/>
      <c r="IA1" s="92"/>
      <c r="IB1" s="92"/>
      <c r="IC1" s="92"/>
      <c r="ID1" s="92"/>
      <c r="IE1" s="92"/>
      <c r="IF1" s="92"/>
      <c r="IG1" s="92"/>
      <c r="IH1" s="92"/>
      <c r="II1" s="92"/>
      <c r="IJ1" s="92"/>
      <c r="IK1" s="92"/>
      <c r="IL1" s="92"/>
      <c r="IM1" s="92"/>
      <c r="IN1" s="92"/>
      <c r="IO1" s="92"/>
      <c r="IP1" s="92"/>
      <c r="IQ1" s="92"/>
      <c r="IR1" s="92"/>
      <c r="IS1" s="92"/>
      <c r="IT1" s="92"/>
      <c r="IU1" s="92"/>
      <c r="IV1" s="92"/>
    </row>
    <row r="2" spans="1:256" ht="15">
      <c r="A2" s="90"/>
      <c r="C2" s="93"/>
      <c r="D2" s="92"/>
      <c r="E2" s="92"/>
      <c r="F2" s="92"/>
      <c r="G2" s="92"/>
      <c r="H2" s="92"/>
      <c r="I2" s="92"/>
      <c r="J2" s="92"/>
      <c r="K2" s="92"/>
      <c r="L2" s="92"/>
      <c r="M2" s="92"/>
      <c r="N2" s="92"/>
      <c r="O2" s="92"/>
      <c r="P2" s="92"/>
      <c r="Q2" s="92"/>
      <c r="R2" s="92"/>
      <c r="S2" s="92"/>
      <c r="T2" s="92"/>
      <c r="U2" s="92"/>
      <c r="V2" s="92"/>
      <c r="W2" s="92"/>
      <c r="X2" s="92"/>
      <c r="Y2" s="92"/>
      <c r="Z2" s="92"/>
      <c r="AA2" s="92"/>
      <c r="AB2" s="92"/>
      <c r="AC2" s="92"/>
      <c r="AD2" s="92"/>
      <c r="AE2" s="92"/>
      <c r="AF2" s="92"/>
      <c r="AG2" s="92"/>
      <c r="AH2" s="92"/>
      <c r="AI2" s="92"/>
      <c r="AJ2" s="92"/>
      <c r="AK2" s="92"/>
      <c r="AL2" s="92"/>
      <c r="AM2" s="92"/>
      <c r="AN2" s="92"/>
      <c r="AO2" s="92"/>
      <c r="AP2" s="92"/>
      <c r="AQ2" s="92"/>
      <c r="AR2" s="92"/>
      <c r="AS2" s="92"/>
      <c r="AT2" s="92"/>
      <c r="AU2" s="92"/>
      <c r="AV2" s="92"/>
      <c r="AW2" s="92"/>
      <c r="AX2" s="92"/>
      <c r="AY2" s="92"/>
      <c r="AZ2" s="92"/>
      <c r="BA2" s="92"/>
      <c r="BB2" s="92"/>
      <c r="BC2" s="92"/>
      <c r="BD2" s="92"/>
      <c r="BE2" s="92"/>
      <c r="BF2" s="92"/>
      <c r="BG2" s="92"/>
      <c r="BH2" s="92"/>
      <c r="BI2" s="92"/>
      <c r="BJ2" s="92"/>
      <c r="BK2" s="92"/>
      <c r="BL2" s="92"/>
      <c r="BM2" s="92"/>
      <c r="BN2" s="92"/>
      <c r="BO2" s="92"/>
      <c r="BP2" s="92"/>
      <c r="BQ2" s="92"/>
      <c r="BR2" s="92"/>
      <c r="BS2" s="92"/>
      <c r="BT2" s="92"/>
      <c r="BU2" s="92"/>
      <c r="BV2" s="92"/>
      <c r="BW2" s="92"/>
      <c r="BX2" s="92"/>
      <c r="BY2" s="92"/>
      <c r="BZ2" s="92"/>
      <c r="CA2" s="92"/>
      <c r="CB2" s="92"/>
      <c r="CC2" s="92"/>
      <c r="CD2" s="92"/>
      <c r="CE2" s="92"/>
      <c r="CF2" s="92"/>
      <c r="CG2" s="92"/>
      <c r="CH2" s="92"/>
      <c r="CI2" s="92"/>
      <c r="CJ2" s="92"/>
      <c r="CK2" s="92"/>
      <c r="CL2" s="92"/>
      <c r="CM2" s="92"/>
      <c r="CN2" s="92"/>
      <c r="CO2" s="92"/>
      <c r="CP2" s="92"/>
      <c r="CQ2" s="92"/>
      <c r="CR2" s="92"/>
      <c r="CS2" s="92"/>
      <c r="CT2" s="92"/>
      <c r="CU2" s="92"/>
      <c r="CV2" s="92"/>
      <c r="CW2" s="92"/>
      <c r="CX2" s="92"/>
      <c r="CY2" s="92"/>
      <c r="CZ2" s="92"/>
      <c r="DA2" s="92"/>
      <c r="DB2" s="92"/>
      <c r="DC2" s="92"/>
      <c r="DD2" s="92"/>
      <c r="DE2" s="92"/>
      <c r="DF2" s="92"/>
      <c r="DG2" s="92"/>
      <c r="DH2" s="92"/>
      <c r="DI2" s="92"/>
      <c r="DJ2" s="92"/>
      <c r="DK2" s="92"/>
      <c r="DL2" s="92"/>
      <c r="DM2" s="92"/>
      <c r="DN2" s="92"/>
      <c r="DO2" s="92"/>
      <c r="DP2" s="92"/>
      <c r="DQ2" s="92"/>
      <c r="DR2" s="92"/>
      <c r="DS2" s="92"/>
      <c r="DT2" s="92"/>
      <c r="DU2" s="92"/>
      <c r="DV2" s="92"/>
      <c r="DW2" s="92"/>
      <c r="DX2" s="92"/>
      <c r="DY2" s="92"/>
      <c r="DZ2" s="92"/>
      <c r="EA2" s="92"/>
      <c r="EB2" s="92"/>
      <c r="EC2" s="92"/>
      <c r="ED2" s="92"/>
      <c r="EE2" s="92"/>
      <c r="EF2" s="92"/>
      <c r="EG2" s="92"/>
      <c r="EH2" s="92"/>
      <c r="EI2" s="92"/>
      <c r="EJ2" s="92"/>
      <c r="EK2" s="92"/>
      <c r="EL2" s="92"/>
      <c r="EM2" s="92"/>
      <c r="EN2" s="92"/>
      <c r="EO2" s="92"/>
      <c r="EP2" s="92"/>
      <c r="EQ2" s="92"/>
      <c r="ER2" s="92"/>
      <c r="ES2" s="92"/>
      <c r="ET2" s="92"/>
      <c r="EU2" s="92"/>
      <c r="EV2" s="92"/>
      <c r="EW2" s="92"/>
      <c r="EX2" s="92"/>
      <c r="EY2" s="92"/>
      <c r="EZ2" s="92"/>
      <c r="FA2" s="92"/>
      <c r="FB2" s="92"/>
      <c r="FC2" s="92"/>
      <c r="FD2" s="92"/>
      <c r="FE2" s="92"/>
      <c r="FF2" s="92"/>
      <c r="FG2" s="92"/>
      <c r="FH2" s="92"/>
      <c r="FI2" s="92"/>
      <c r="FJ2" s="92"/>
      <c r="FK2" s="92"/>
      <c r="FL2" s="92"/>
      <c r="FM2" s="92"/>
      <c r="FN2" s="92"/>
      <c r="FO2" s="92"/>
      <c r="FP2" s="92"/>
      <c r="FQ2" s="92"/>
      <c r="FR2" s="92"/>
      <c r="FS2" s="92"/>
      <c r="FT2" s="92"/>
      <c r="FU2" s="92"/>
      <c r="FV2" s="92"/>
      <c r="FW2" s="92"/>
      <c r="FX2" s="92"/>
      <c r="FY2" s="92"/>
      <c r="FZ2" s="92"/>
      <c r="GA2" s="92"/>
      <c r="GB2" s="92"/>
      <c r="GC2" s="92"/>
      <c r="GD2" s="92"/>
      <c r="GE2" s="92"/>
      <c r="GF2" s="92"/>
      <c r="GG2" s="92"/>
      <c r="GH2" s="92"/>
      <c r="GI2" s="92"/>
      <c r="GJ2" s="92"/>
      <c r="GK2" s="92"/>
      <c r="GL2" s="92"/>
      <c r="GM2" s="92"/>
      <c r="GN2" s="92"/>
      <c r="GO2" s="92"/>
      <c r="GP2" s="92"/>
      <c r="GQ2" s="92"/>
      <c r="GR2" s="92"/>
      <c r="GS2" s="92"/>
      <c r="GT2" s="92"/>
      <c r="GU2" s="92"/>
      <c r="GV2" s="92"/>
      <c r="GW2" s="92"/>
      <c r="GX2" s="92"/>
      <c r="GY2" s="92"/>
      <c r="GZ2" s="92"/>
      <c r="HA2" s="92"/>
      <c r="HB2" s="92"/>
      <c r="HC2" s="92"/>
      <c r="HD2" s="92"/>
      <c r="HE2" s="92"/>
      <c r="HF2" s="92"/>
      <c r="HG2" s="92"/>
      <c r="HH2" s="92"/>
      <c r="HI2" s="92"/>
      <c r="HJ2" s="92"/>
      <c r="HK2" s="92"/>
      <c r="HL2" s="92"/>
      <c r="HM2" s="92"/>
      <c r="HN2" s="92"/>
      <c r="HO2" s="92"/>
      <c r="HP2" s="92"/>
      <c r="HQ2" s="92"/>
      <c r="HR2" s="92"/>
      <c r="HS2" s="92"/>
      <c r="HT2" s="92"/>
      <c r="HU2" s="92"/>
      <c r="HV2" s="92"/>
      <c r="HW2" s="92"/>
      <c r="HX2" s="92"/>
      <c r="HY2" s="92"/>
      <c r="HZ2" s="92"/>
      <c r="IA2" s="92"/>
      <c r="IB2" s="92"/>
      <c r="IC2" s="92"/>
      <c r="ID2" s="92"/>
      <c r="IE2" s="92"/>
      <c r="IF2" s="92"/>
      <c r="IG2" s="92"/>
      <c r="IH2" s="92"/>
      <c r="II2" s="92"/>
      <c r="IJ2" s="92"/>
      <c r="IK2" s="92"/>
      <c r="IL2" s="92"/>
      <c r="IM2" s="92"/>
      <c r="IN2" s="92"/>
      <c r="IO2" s="92"/>
      <c r="IP2" s="92"/>
      <c r="IQ2" s="92"/>
      <c r="IR2" s="92"/>
      <c r="IS2" s="92"/>
      <c r="IT2" s="92"/>
      <c r="IU2" s="92"/>
      <c r="IV2" s="92"/>
    </row>
    <row r="3" spans="1:256">
      <c r="A3" s="88" t="s">
        <v>2004</v>
      </c>
      <c r="C3" s="88"/>
    </row>
    <row r="4" spans="1:256" ht="24">
      <c r="A4" s="94" t="s">
        <v>2005</v>
      </c>
      <c r="B4" s="94" t="s">
        <v>2006</v>
      </c>
      <c r="C4" s="94" t="s">
        <v>2007</v>
      </c>
      <c r="D4" s="95" t="s">
        <v>2008</v>
      </c>
      <c r="E4" s="94" t="str">
        <f>D4</f>
        <v>90*70 (1.8)</v>
      </c>
      <c r="F4" s="95" t="s">
        <v>2009</v>
      </c>
      <c r="G4" s="94" t="str">
        <f>F4</f>
        <v>90*70 (2.0)</v>
      </c>
      <c r="H4" s="95" t="s">
        <v>2010</v>
      </c>
      <c r="I4" s="94" t="str">
        <f>H4</f>
        <v>90*70 (2.3)</v>
      </c>
      <c r="J4" s="95" t="s">
        <v>2011</v>
      </c>
      <c r="K4" s="94" t="str">
        <f>J4</f>
        <v>100*75 (2.3)</v>
      </c>
      <c r="L4" s="95" t="s">
        <v>2012</v>
      </c>
      <c r="M4" s="94" t="str">
        <f>L4</f>
        <v>100 (2.5)</v>
      </c>
      <c r="N4" s="95" t="s">
        <v>2013</v>
      </c>
      <c r="O4" s="94" t="str">
        <f>N4</f>
        <v>120*75 (2.3)</v>
      </c>
      <c r="P4" s="95" t="s">
        <v>2014</v>
      </c>
      <c r="Q4" s="94" t="str">
        <f>P4</f>
        <v>120*75 (2.5)</v>
      </c>
      <c r="R4" s="94" t="s">
        <v>2015</v>
      </c>
      <c r="S4" s="94" t="s">
        <v>2016</v>
      </c>
      <c r="T4" s="94" t="s">
        <v>2017</v>
      </c>
      <c r="U4" s="94" t="s">
        <v>2018</v>
      </c>
      <c r="V4" s="94" t="s">
        <v>2019</v>
      </c>
      <c r="W4" s="94" t="s">
        <v>2020</v>
      </c>
      <c r="X4" s="94" t="s">
        <v>2021</v>
      </c>
      <c r="Y4" s="94"/>
      <c r="Z4" s="94"/>
      <c r="AA4" s="94"/>
      <c r="AB4" s="94"/>
      <c r="AC4" s="94"/>
      <c r="AD4" s="94"/>
      <c r="AE4" s="94"/>
      <c r="AF4" s="94"/>
      <c r="AG4" s="94"/>
      <c r="AH4" s="94"/>
      <c r="AI4" s="94"/>
      <c r="AJ4" s="94"/>
      <c r="AK4" s="94"/>
      <c r="AL4" s="94"/>
      <c r="AM4" s="94"/>
      <c r="AN4" s="94"/>
      <c r="AO4" s="94"/>
      <c r="AP4" s="94"/>
      <c r="AQ4" s="94"/>
      <c r="AR4" s="94"/>
      <c r="AS4" s="94"/>
      <c r="AT4" s="94"/>
      <c r="AU4" s="94"/>
      <c r="AV4" s="94"/>
      <c r="AW4" s="94"/>
      <c r="AX4" s="94"/>
      <c r="AY4" s="94"/>
      <c r="AZ4" s="94"/>
      <c r="BA4" s="94"/>
      <c r="BB4" s="94"/>
      <c r="BC4" s="94"/>
      <c r="BD4" s="94"/>
      <c r="BE4" s="94"/>
      <c r="BF4" s="94"/>
      <c r="BG4" s="94"/>
      <c r="BH4" s="94"/>
      <c r="BI4" s="94"/>
      <c r="BJ4" s="94"/>
      <c r="BK4" s="94"/>
      <c r="BL4" s="94"/>
      <c r="BM4" s="94"/>
      <c r="BN4" s="94"/>
      <c r="BO4" s="94"/>
      <c r="BP4" s="94"/>
      <c r="BQ4" s="94"/>
      <c r="BR4" s="94"/>
      <c r="BS4" s="94"/>
      <c r="BT4" s="94"/>
      <c r="BU4" s="94"/>
      <c r="BV4" s="94"/>
      <c r="BW4" s="94"/>
      <c r="BX4" s="94"/>
      <c r="BY4" s="94"/>
      <c r="BZ4" s="94"/>
      <c r="CA4" s="94"/>
      <c r="CB4" s="94"/>
      <c r="CC4" s="94"/>
      <c r="CD4" s="94"/>
      <c r="CE4" s="94"/>
      <c r="CF4" s="94"/>
      <c r="CG4" s="94"/>
      <c r="CH4" s="94"/>
      <c r="CI4" s="94"/>
      <c r="CJ4" s="94"/>
      <c r="CK4" s="94"/>
      <c r="CL4" s="94"/>
      <c r="CM4" s="94"/>
      <c r="CN4" s="94"/>
      <c r="CO4" s="94"/>
      <c r="CP4" s="94"/>
      <c r="CQ4" s="94"/>
      <c r="CR4" s="94"/>
      <c r="CS4" s="94"/>
      <c r="CT4" s="94"/>
      <c r="CU4" s="94"/>
      <c r="CV4" s="94"/>
      <c r="CW4" s="94"/>
      <c r="CX4" s="94"/>
      <c r="CY4" s="94"/>
      <c r="CZ4" s="94"/>
      <c r="DA4" s="94"/>
      <c r="DB4" s="94"/>
      <c r="DC4" s="94"/>
      <c r="DD4" s="94"/>
      <c r="DE4" s="94"/>
      <c r="DF4" s="94"/>
      <c r="DG4" s="94"/>
      <c r="DH4" s="94"/>
      <c r="DI4" s="94"/>
      <c r="DJ4" s="94"/>
      <c r="DK4" s="94"/>
      <c r="DL4" s="94"/>
      <c r="DM4" s="94"/>
      <c r="DN4" s="94"/>
      <c r="DO4" s="94"/>
      <c r="DP4" s="94"/>
      <c r="DQ4" s="94"/>
      <c r="DR4" s="94"/>
      <c r="DS4" s="94"/>
      <c r="DT4" s="94"/>
      <c r="DU4" s="94"/>
      <c r="DV4" s="94"/>
      <c r="DW4" s="94"/>
      <c r="DX4" s="94"/>
      <c r="DY4" s="94"/>
      <c r="DZ4" s="94"/>
      <c r="EA4" s="94"/>
      <c r="EB4" s="94"/>
      <c r="EC4" s="94"/>
      <c r="ED4" s="94"/>
      <c r="EE4" s="94"/>
      <c r="EF4" s="94"/>
      <c r="EG4" s="94"/>
      <c r="EH4" s="94"/>
      <c r="EI4" s="94"/>
      <c r="EJ4" s="94"/>
      <c r="EK4" s="94"/>
      <c r="EL4" s="94"/>
      <c r="EM4" s="94"/>
      <c r="EN4" s="94"/>
      <c r="EO4" s="94"/>
      <c r="EP4" s="94"/>
      <c r="EQ4" s="94"/>
      <c r="ER4" s="94"/>
      <c r="ES4" s="94"/>
      <c r="ET4" s="94"/>
      <c r="EU4" s="94"/>
      <c r="EV4" s="94"/>
      <c r="EW4" s="94"/>
      <c r="EX4" s="94"/>
      <c r="EY4" s="94"/>
      <c r="EZ4" s="94"/>
      <c r="FA4" s="94"/>
      <c r="FB4" s="94"/>
      <c r="FC4" s="94"/>
      <c r="FD4" s="94"/>
      <c r="FE4" s="94"/>
      <c r="FF4" s="94"/>
      <c r="FG4" s="94"/>
      <c r="FH4" s="94"/>
      <c r="FI4" s="94"/>
      <c r="FJ4" s="94"/>
      <c r="FK4" s="94"/>
      <c r="FL4" s="94"/>
      <c r="FM4" s="94"/>
      <c r="FN4" s="94"/>
      <c r="FO4" s="94"/>
      <c r="FP4" s="94"/>
      <c r="FQ4" s="94"/>
      <c r="FR4" s="94"/>
      <c r="FS4" s="94"/>
      <c r="FT4" s="94"/>
      <c r="FU4" s="94"/>
      <c r="FV4" s="94"/>
      <c r="FW4" s="94"/>
      <c r="FX4" s="94"/>
      <c r="FY4" s="94"/>
      <c r="FZ4" s="94"/>
      <c r="GA4" s="94"/>
      <c r="GB4" s="94"/>
      <c r="GC4" s="94"/>
      <c r="GD4" s="94"/>
      <c r="GE4" s="94"/>
      <c r="GF4" s="94"/>
      <c r="GG4" s="94"/>
      <c r="GH4" s="94"/>
      <c r="GI4" s="94"/>
      <c r="GJ4" s="94"/>
      <c r="GK4" s="94"/>
      <c r="GL4" s="94"/>
      <c r="GM4" s="94"/>
      <c r="GN4" s="94"/>
      <c r="GO4" s="94"/>
      <c r="GP4" s="94"/>
      <c r="GQ4" s="94"/>
      <c r="GR4" s="94"/>
      <c r="GS4" s="94"/>
      <c r="GT4" s="94"/>
      <c r="GU4" s="94"/>
      <c r="GV4" s="94"/>
      <c r="GW4" s="94"/>
      <c r="GX4" s="94"/>
      <c r="GY4" s="94"/>
      <c r="GZ4" s="94"/>
      <c r="HA4" s="94"/>
      <c r="HB4" s="94"/>
      <c r="HC4" s="94"/>
      <c r="HD4" s="94"/>
      <c r="HE4" s="94"/>
      <c r="HF4" s="94"/>
      <c r="HG4" s="94"/>
      <c r="HH4" s="94"/>
      <c r="HI4" s="94"/>
      <c r="HJ4" s="94"/>
      <c r="HK4" s="94"/>
      <c r="HL4" s="94"/>
      <c r="HM4" s="94"/>
      <c r="HN4" s="94"/>
      <c r="HO4" s="94"/>
      <c r="HP4" s="94"/>
      <c r="HQ4" s="94"/>
      <c r="HR4" s="94"/>
      <c r="HS4" s="94"/>
      <c r="HT4" s="94"/>
      <c r="HU4" s="94"/>
      <c r="HV4" s="94"/>
      <c r="HW4" s="94"/>
      <c r="HX4" s="94"/>
      <c r="HY4" s="94"/>
      <c r="HZ4" s="94"/>
      <c r="IA4" s="94"/>
      <c r="IB4" s="94"/>
      <c r="IC4" s="94"/>
      <c r="ID4" s="94"/>
      <c r="IE4" s="94"/>
      <c r="IF4" s="94"/>
      <c r="IG4" s="94"/>
      <c r="IH4" s="94"/>
      <c r="II4" s="94"/>
      <c r="IJ4" s="94"/>
      <c r="IK4" s="94"/>
      <c r="IL4" s="94"/>
      <c r="IM4" s="94"/>
      <c r="IN4" s="94"/>
      <c r="IO4" s="94"/>
      <c r="IP4" s="94"/>
      <c r="IQ4" s="94"/>
      <c r="IR4" s="94"/>
      <c r="IS4" s="94"/>
      <c r="IT4" s="94"/>
      <c r="IU4" s="94"/>
      <c r="IV4" s="94"/>
    </row>
    <row r="5" spans="1:256" ht="24">
      <c r="A5" s="94" t="s">
        <v>2022</v>
      </c>
      <c r="B5" s="96"/>
      <c r="C5" s="94"/>
      <c r="D5" s="95"/>
      <c r="E5" s="94"/>
      <c r="F5" s="95" t="s">
        <v>2023</v>
      </c>
      <c r="G5" s="94" t="str">
        <f>F5</f>
        <v>88*70 (2.0)</v>
      </c>
      <c r="H5" s="95"/>
      <c r="I5" s="94"/>
      <c r="J5" s="95"/>
      <c r="K5" s="94"/>
      <c r="L5" s="95"/>
      <c r="M5" s="94"/>
      <c r="N5" s="95"/>
      <c r="O5" s="94"/>
      <c r="P5" s="95"/>
      <c r="Q5" s="94"/>
      <c r="R5" s="94"/>
      <c r="S5" s="94"/>
      <c r="T5" s="94"/>
      <c r="U5" s="94"/>
      <c r="V5" s="94"/>
      <c r="W5" s="94"/>
      <c r="X5" s="94"/>
      <c r="Y5" s="94"/>
      <c r="Z5" s="94"/>
      <c r="AA5" s="94"/>
      <c r="AB5" s="94"/>
      <c r="AC5" s="94"/>
      <c r="AD5" s="94"/>
      <c r="AE5" s="94"/>
      <c r="AF5" s="94"/>
      <c r="AG5" s="94"/>
      <c r="AH5" s="94"/>
      <c r="AI5" s="94"/>
      <c r="AJ5" s="94"/>
      <c r="AK5" s="94"/>
      <c r="AL5" s="94"/>
      <c r="AM5" s="94"/>
      <c r="AN5" s="94"/>
      <c r="AO5" s="94"/>
      <c r="AP5" s="94"/>
      <c r="AQ5" s="94"/>
      <c r="AR5" s="94"/>
      <c r="AS5" s="94"/>
      <c r="AT5" s="94"/>
      <c r="AU5" s="94"/>
      <c r="AV5" s="94"/>
      <c r="AW5" s="94"/>
      <c r="AX5" s="94"/>
      <c r="AY5" s="94"/>
      <c r="AZ5" s="94"/>
      <c r="BA5" s="94"/>
      <c r="BB5" s="94"/>
      <c r="BC5" s="94"/>
      <c r="BD5" s="94"/>
      <c r="BE5" s="94"/>
      <c r="BF5" s="94"/>
      <c r="BG5" s="94"/>
      <c r="BH5" s="94"/>
      <c r="BI5" s="94"/>
      <c r="BJ5" s="94"/>
      <c r="BK5" s="94"/>
      <c r="BL5" s="94"/>
      <c r="BM5" s="94"/>
      <c r="BN5" s="94"/>
      <c r="BO5" s="94"/>
      <c r="BP5" s="94"/>
      <c r="BQ5" s="94"/>
      <c r="BR5" s="94"/>
      <c r="BS5" s="94"/>
      <c r="BT5" s="94"/>
      <c r="BU5" s="94"/>
      <c r="BV5" s="94"/>
      <c r="BW5" s="94"/>
      <c r="BX5" s="94"/>
      <c r="BY5" s="94"/>
      <c r="BZ5" s="94"/>
      <c r="CA5" s="94"/>
      <c r="CB5" s="94"/>
      <c r="CC5" s="94"/>
      <c r="CD5" s="94"/>
      <c r="CE5" s="94"/>
      <c r="CF5" s="94"/>
      <c r="CG5" s="94"/>
      <c r="CH5" s="94"/>
      <c r="CI5" s="94"/>
      <c r="CJ5" s="94"/>
      <c r="CK5" s="94"/>
      <c r="CL5" s="94"/>
      <c r="CM5" s="94"/>
      <c r="CN5" s="94"/>
      <c r="CO5" s="94"/>
      <c r="CP5" s="94"/>
      <c r="CQ5" s="94"/>
      <c r="CR5" s="94"/>
      <c r="CS5" s="94"/>
      <c r="CT5" s="94"/>
      <c r="CU5" s="94"/>
      <c r="CV5" s="94"/>
      <c r="CW5" s="94"/>
      <c r="CX5" s="94"/>
      <c r="CY5" s="94"/>
      <c r="CZ5" s="94"/>
      <c r="DA5" s="94"/>
      <c r="DB5" s="94"/>
      <c r="DC5" s="94"/>
      <c r="DD5" s="94"/>
      <c r="DE5" s="94"/>
      <c r="DF5" s="94"/>
      <c r="DG5" s="94"/>
      <c r="DH5" s="94"/>
      <c r="DI5" s="94"/>
      <c r="DJ5" s="94"/>
      <c r="DK5" s="94"/>
      <c r="DL5" s="94"/>
      <c r="DM5" s="94"/>
      <c r="DN5" s="94"/>
      <c r="DO5" s="94"/>
      <c r="DP5" s="94"/>
      <c r="DQ5" s="94"/>
      <c r="DR5" s="94"/>
      <c r="DS5" s="94"/>
      <c r="DT5" s="94"/>
      <c r="DU5" s="94"/>
      <c r="DV5" s="94"/>
      <c r="DW5" s="94"/>
      <c r="DX5" s="94"/>
      <c r="DY5" s="94"/>
      <c r="DZ5" s="94"/>
      <c r="EA5" s="94"/>
      <c r="EB5" s="94"/>
      <c r="EC5" s="94"/>
      <c r="ED5" s="94"/>
      <c r="EE5" s="94"/>
      <c r="EF5" s="94"/>
      <c r="EG5" s="94"/>
      <c r="EH5" s="94"/>
      <c r="EI5" s="94"/>
      <c r="EJ5" s="94"/>
      <c r="EK5" s="94"/>
      <c r="EL5" s="94"/>
      <c r="EM5" s="94"/>
      <c r="EN5" s="94"/>
      <c r="EO5" s="94"/>
      <c r="EP5" s="94"/>
      <c r="EQ5" s="94"/>
      <c r="ER5" s="94"/>
      <c r="ES5" s="94"/>
      <c r="ET5" s="94"/>
      <c r="EU5" s="94"/>
      <c r="EV5" s="94"/>
      <c r="EW5" s="94"/>
      <c r="EX5" s="94"/>
      <c r="EY5" s="94"/>
      <c r="EZ5" s="94"/>
      <c r="FA5" s="94"/>
      <c r="FB5" s="94"/>
      <c r="FC5" s="94"/>
      <c r="FD5" s="94"/>
      <c r="FE5" s="94"/>
      <c r="FF5" s="94"/>
      <c r="FG5" s="94"/>
      <c r="FH5" s="94"/>
      <c r="FI5" s="94"/>
      <c r="FJ5" s="94"/>
      <c r="FK5" s="94"/>
      <c r="FL5" s="94"/>
      <c r="FM5" s="94"/>
      <c r="FN5" s="94"/>
      <c r="FO5" s="94"/>
      <c r="FP5" s="94"/>
      <c r="FQ5" s="94"/>
      <c r="FR5" s="94"/>
      <c r="FS5" s="94"/>
      <c r="FT5" s="94"/>
      <c r="FU5" s="94"/>
      <c r="FV5" s="94"/>
      <c r="FW5" s="94"/>
      <c r="FX5" s="94"/>
      <c r="FY5" s="94"/>
      <c r="FZ5" s="94"/>
      <c r="GA5" s="94"/>
      <c r="GB5" s="94"/>
      <c r="GC5" s="94"/>
      <c r="GD5" s="94"/>
      <c r="GE5" s="94"/>
      <c r="GF5" s="94"/>
      <c r="GG5" s="94"/>
      <c r="GH5" s="94"/>
      <c r="GI5" s="94"/>
      <c r="GJ5" s="94"/>
      <c r="GK5" s="94"/>
      <c r="GL5" s="94"/>
      <c r="GM5" s="94"/>
      <c r="GN5" s="94"/>
      <c r="GO5" s="94"/>
      <c r="GP5" s="94"/>
      <c r="GQ5" s="94"/>
      <c r="GR5" s="94"/>
      <c r="GS5" s="94"/>
      <c r="GT5" s="94"/>
      <c r="GU5" s="94"/>
      <c r="GV5" s="94"/>
      <c r="GW5" s="94"/>
      <c r="GX5" s="94"/>
      <c r="GY5" s="94"/>
      <c r="GZ5" s="94"/>
      <c r="HA5" s="94"/>
      <c r="HB5" s="94"/>
      <c r="HC5" s="94"/>
      <c r="HD5" s="94"/>
      <c r="HE5" s="94"/>
      <c r="HF5" s="94"/>
      <c r="HG5" s="94"/>
      <c r="HH5" s="94"/>
      <c r="HI5" s="94"/>
      <c r="HJ5" s="94"/>
      <c r="HK5" s="94"/>
      <c r="HL5" s="94"/>
      <c r="HM5" s="94"/>
      <c r="HN5" s="94"/>
      <c r="HO5" s="94"/>
      <c r="HP5" s="94"/>
      <c r="HQ5" s="94"/>
      <c r="HR5" s="94"/>
      <c r="HS5" s="94"/>
      <c r="HT5" s="94"/>
      <c r="HU5" s="94"/>
      <c r="HV5" s="94"/>
      <c r="HW5" s="94"/>
      <c r="HX5" s="94"/>
      <c r="HY5" s="94"/>
      <c r="HZ5" s="94"/>
      <c r="IA5" s="94"/>
      <c r="IB5" s="94"/>
      <c r="IC5" s="94"/>
      <c r="ID5" s="94"/>
      <c r="IE5" s="94"/>
      <c r="IF5" s="94"/>
      <c r="IG5" s="94"/>
      <c r="IH5" s="94"/>
      <c r="II5" s="94"/>
      <c r="IJ5" s="94"/>
      <c r="IK5" s="94"/>
      <c r="IL5" s="94"/>
      <c r="IM5" s="94"/>
      <c r="IN5" s="94"/>
      <c r="IO5" s="94"/>
      <c r="IP5" s="94"/>
      <c r="IQ5" s="94"/>
      <c r="IR5" s="94"/>
      <c r="IS5" s="94"/>
      <c r="IT5" s="94"/>
      <c r="IU5" s="94"/>
      <c r="IV5" s="94"/>
    </row>
    <row r="6" spans="1:256">
      <c r="A6" s="94" t="s">
        <v>2024</v>
      </c>
      <c r="B6" s="96"/>
      <c r="C6" s="94" t="s">
        <v>296</v>
      </c>
      <c r="D6" s="95" t="s">
        <v>296</v>
      </c>
      <c r="E6" s="94" t="s">
        <v>2025</v>
      </c>
      <c r="F6" s="95" t="s">
        <v>296</v>
      </c>
      <c r="G6" s="94" t="s">
        <v>2025</v>
      </c>
      <c r="H6" s="95" t="s">
        <v>296</v>
      </c>
      <c r="I6" s="94" t="s">
        <v>2025</v>
      </c>
      <c r="J6" s="95" t="s">
        <v>296</v>
      </c>
      <c r="K6" s="94" t="s">
        <v>2025</v>
      </c>
      <c r="L6" s="95" t="s">
        <v>296</v>
      </c>
      <c r="M6" s="94" t="s">
        <v>2025</v>
      </c>
      <c r="N6" s="95" t="s">
        <v>296</v>
      </c>
      <c r="O6" s="94" t="s">
        <v>2025</v>
      </c>
      <c r="P6" s="95" t="s">
        <v>296</v>
      </c>
      <c r="Q6" s="94" t="s">
        <v>2025</v>
      </c>
      <c r="R6" s="94"/>
      <c r="S6" s="94"/>
      <c r="T6" s="94"/>
      <c r="U6" s="94"/>
      <c r="V6" s="94"/>
      <c r="W6" s="94"/>
      <c r="X6" s="94"/>
      <c r="Y6" s="94"/>
      <c r="Z6" s="94"/>
      <c r="AA6" s="94"/>
      <c r="AB6" s="94"/>
      <c r="AC6" s="94"/>
      <c r="AD6" s="94"/>
      <c r="AE6" s="94"/>
      <c r="AF6" s="94"/>
      <c r="AG6" s="94"/>
      <c r="AH6" s="94"/>
      <c r="AI6" s="94"/>
      <c r="AJ6" s="94"/>
      <c r="AK6" s="94"/>
      <c r="AL6" s="94"/>
      <c r="AM6" s="94"/>
      <c r="AN6" s="94"/>
      <c r="AO6" s="94"/>
      <c r="AP6" s="94"/>
      <c r="AQ6" s="94"/>
      <c r="AR6" s="94"/>
      <c r="AS6" s="94"/>
      <c r="AT6" s="94"/>
      <c r="AU6" s="94"/>
      <c r="AV6" s="94"/>
      <c r="AW6" s="94"/>
      <c r="AX6" s="94"/>
      <c r="AY6" s="94"/>
      <c r="AZ6" s="94"/>
      <c r="BA6" s="94"/>
      <c r="BB6" s="94"/>
      <c r="BC6" s="94"/>
      <c r="BD6" s="94"/>
      <c r="BE6" s="94"/>
      <c r="BF6" s="94"/>
      <c r="BG6" s="94"/>
      <c r="BH6" s="94"/>
      <c r="BI6" s="94"/>
      <c r="BJ6" s="94"/>
      <c r="BK6" s="94"/>
      <c r="BL6" s="94"/>
      <c r="BM6" s="94"/>
      <c r="BN6" s="94"/>
      <c r="BO6" s="94"/>
      <c r="BP6" s="94"/>
      <c r="BQ6" s="94"/>
      <c r="BR6" s="94"/>
      <c r="BS6" s="94"/>
      <c r="BT6" s="94"/>
      <c r="BU6" s="94"/>
      <c r="BV6" s="94"/>
      <c r="BW6" s="94"/>
      <c r="BX6" s="94"/>
      <c r="BY6" s="94"/>
      <c r="BZ6" s="94"/>
      <c r="CA6" s="94"/>
      <c r="CB6" s="94"/>
      <c r="CC6" s="94"/>
      <c r="CD6" s="94"/>
      <c r="CE6" s="94"/>
      <c r="CF6" s="94"/>
      <c r="CG6" s="94"/>
      <c r="CH6" s="94"/>
      <c r="CI6" s="94"/>
      <c r="CJ6" s="94"/>
      <c r="CK6" s="94"/>
      <c r="CL6" s="94"/>
      <c r="CM6" s="94"/>
      <c r="CN6" s="94"/>
      <c r="CO6" s="94"/>
      <c r="CP6" s="94"/>
      <c r="CQ6" s="94"/>
      <c r="CR6" s="94"/>
      <c r="CS6" s="94"/>
      <c r="CT6" s="94"/>
      <c r="CU6" s="94"/>
      <c r="CV6" s="94"/>
      <c r="CW6" s="94"/>
      <c r="CX6" s="94"/>
      <c r="CY6" s="94"/>
      <c r="CZ6" s="94"/>
      <c r="DA6" s="94"/>
      <c r="DB6" s="94"/>
      <c r="DC6" s="94"/>
      <c r="DD6" s="94"/>
      <c r="DE6" s="94"/>
      <c r="DF6" s="94"/>
      <c r="DG6" s="94"/>
      <c r="DH6" s="94"/>
      <c r="DI6" s="94"/>
      <c r="DJ6" s="94"/>
      <c r="DK6" s="94"/>
      <c r="DL6" s="94"/>
      <c r="DM6" s="94"/>
      <c r="DN6" s="94"/>
      <c r="DO6" s="94"/>
      <c r="DP6" s="94"/>
      <c r="DQ6" s="94"/>
      <c r="DR6" s="94"/>
      <c r="DS6" s="94"/>
      <c r="DT6" s="94"/>
      <c r="DU6" s="94"/>
      <c r="DV6" s="94"/>
      <c r="DW6" s="94"/>
      <c r="DX6" s="94"/>
      <c r="DY6" s="94"/>
      <c r="DZ6" s="94"/>
      <c r="EA6" s="94"/>
      <c r="EB6" s="94"/>
      <c r="EC6" s="94"/>
      <c r="ED6" s="94"/>
      <c r="EE6" s="94"/>
      <c r="EF6" s="94"/>
      <c r="EG6" s="94"/>
      <c r="EH6" s="94"/>
      <c r="EI6" s="94"/>
      <c r="EJ6" s="94"/>
      <c r="EK6" s="94"/>
      <c r="EL6" s="94"/>
      <c r="EM6" s="94"/>
      <c r="EN6" s="94"/>
      <c r="EO6" s="94"/>
      <c r="EP6" s="94"/>
      <c r="EQ6" s="94"/>
      <c r="ER6" s="94"/>
      <c r="ES6" s="94"/>
      <c r="ET6" s="94"/>
      <c r="EU6" s="94"/>
      <c r="EV6" s="94"/>
      <c r="EW6" s="94"/>
      <c r="EX6" s="94"/>
      <c r="EY6" s="94"/>
      <c r="EZ6" s="94"/>
      <c r="FA6" s="94"/>
      <c r="FB6" s="94"/>
      <c r="FC6" s="94"/>
      <c r="FD6" s="94"/>
      <c r="FE6" s="94"/>
      <c r="FF6" s="94"/>
      <c r="FG6" s="94"/>
      <c r="FH6" s="94"/>
      <c r="FI6" s="94"/>
      <c r="FJ6" s="94"/>
      <c r="FK6" s="94"/>
      <c r="FL6" s="94"/>
      <c r="FM6" s="94"/>
      <c r="FN6" s="94"/>
      <c r="FO6" s="94"/>
      <c r="FP6" s="94"/>
      <c r="FQ6" s="94"/>
      <c r="FR6" s="94"/>
      <c r="FS6" s="94"/>
      <c r="FT6" s="94"/>
      <c r="FU6" s="94"/>
      <c r="FV6" s="94"/>
      <c r="FW6" s="94"/>
      <c r="FX6" s="94"/>
      <c r="FY6" s="94"/>
      <c r="FZ6" s="94"/>
      <c r="GA6" s="94"/>
      <c r="GB6" s="94"/>
      <c r="GC6" s="94"/>
      <c r="GD6" s="94"/>
      <c r="GE6" s="94"/>
      <c r="GF6" s="94"/>
      <c r="GG6" s="94"/>
      <c r="GH6" s="94"/>
      <c r="GI6" s="94"/>
      <c r="GJ6" s="94"/>
      <c r="GK6" s="94"/>
      <c r="GL6" s="94"/>
      <c r="GM6" s="94"/>
      <c r="GN6" s="94"/>
      <c r="GO6" s="94"/>
      <c r="GP6" s="94"/>
      <c r="GQ6" s="94"/>
      <c r="GR6" s="94"/>
      <c r="GS6" s="94"/>
      <c r="GT6" s="94"/>
      <c r="GU6" s="94"/>
      <c r="GV6" s="94"/>
      <c r="GW6" s="94"/>
      <c r="GX6" s="94"/>
      <c r="GY6" s="94"/>
      <c r="GZ6" s="94"/>
      <c r="HA6" s="94"/>
      <c r="HB6" s="94"/>
      <c r="HC6" s="94"/>
      <c r="HD6" s="94"/>
      <c r="HE6" s="94"/>
      <c r="HF6" s="94"/>
      <c r="HG6" s="94"/>
      <c r="HH6" s="94"/>
      <c r="HI6" s="94"/>
      <c r="HJ6" s="94"/>
      <c r="HK6" s="94"/>
      <c r="HL6" s="94"/>
      <c r="HM6" s="94"/>
      <c r="HN6" s="94"/>
      <c r="HO6" s="94"/>
      <c r="HP6" s="94"/>
      <c r="HQ6" s="94"/>
      <c r="HR6" s="94"/>
      <c r="HS6" s="94"/>
      <c r="HT6" s="94"/>
      <c r="HU6" s="94"/>
      <c r="HV6" s="94"/>
      <c r="HW6" s="94"/>
      <c r="HX6" s="94"/>
      <c r="HY6" s="94"/>
      <c r="HZ6" s="94"/>
      <c r="IA6" s="94"/>
      <c r="IB6" s="94"/>
      <c r="IC6" s="94"/>
      <c r="ID6" s="94"/>
      <c r="IE6" s="94"/>
      <c r="IF6" s="94"/>
      <c r="IG6" s="94"/>
      <c r="IH6" s="94"/>
      <c r="II6" s="94"/>
      <c r="IJ6" s="94"/>
      <c r="IK6" s="94"/>
      <c r="IL6" s="94"/>
      <c r="IM6" s="94"/>
      <c r="IN6" s="94"/>
      <c r="IO6" s="94"/>
      <c r="IP6" s="94"/>
      <c r="IQ6" s="94"/>
      <c r="IR6" s="94"/>
      <c r="IS6" s="94"/>
      <c r="IT6" s="94"/>
      <c r="IU6" s="94"/>
      <c r="IV6" s="94"/>
    </row>
    <row r="7" spans="1:256">
      <c r="A7" s="97">
        <v>300</v>
      </c>
      <c r="B7" s="98">
        <v>9500</v>
      </c>
      <c r="C7" s="99">
        <v>10500</v>
      </c>
      <c r="D7" s="100">
        <v>12300</v>
      </c>
      <c r="E7" s="100">
        <v>12300</v>
      </c>
      <c r="F7" s="100">
        <v>14000</v>
      </c>
      <c r="G7" s="100">
        <v>14000</v>
      </c>
      <c r="H7" s="100">
        <v>15200</v>
      </c>
      <c r="I7" s="100">
        <v>15200</v>
      </c>
      <c r="J7" s="100">
        <v>16900</v>
      </c>
      <c r="K7" s="100">
        <v>16900</v>
      </c>
      <c r="L7" s="100">
        <v>18000</v>
      </c>
      <c r="M7" s="100">
        <v>18000</v>
      </c>
      <c r="N7" s="100">
        <v>19300</v>
      </c>
      <c r="O7" s="100">
        <v>19300</v>
      </c>
      <c r="P7" s="100">
        <v>20500</v>
      </c>
      <c r="Q7" s="100">
        <v>20500</v>
      </c>
      <c r="R7" s="101">
        <v>0</v>
      </c>
      <c r="S7" s="102"/>
      <c r="T7" s="102"/>
      <c r="U7" s="102"/>
      <c r="V7" s="102"/>
      <c r="W7" s="102"/>
      <c r="X7" s="102"/>
      <c r="Y7" s="102"/>
      <c r="Z7" s="102"/>
      <c r="AA7" s="102"/>
      <c r="AB7" s="102"/>
      <c r="AC7" s="102"/>
      <c r="AD7" s="102"/>
      <c r="AE7" s="102"/>
      <c r="AF7" s="102"/>
      <c r="AG7" s="102"/>
      <c r="AH7" s="102"/>
      <c r="AI7" s="102"/>
      <c r="AJ7" s="102"/>
      <c r="AK7" s="102"/>
      <c r="AL7" s="102"/>
      <c r="AM7" s="102"/>
      <c r="AN7" s="102"/>
      <c r="AO7" s="102"/>
      <c r="AP7" s="102"/>
      <c r="AQ7" s="102"/>
      <c r="AR7" s="102"/>
      <c r="AS7" s="102"/>
      <c r="AT7" s="102"/>
      <c r="AU7" s="102"/>
      <c r="AV7" s="102"/>
      <c r="AW7" s="102"/>
      <c r="AX7" s="102"/>
      <c r="AY7" s="102"/>
      <c r="AZ7" s="102"/>
      <c r="BA7" s="102"/>
      <c r="BB7" s="102"/>
      <c r="BC7" s="102"/>
      <c r="BD7" s="102"/>
      <c r="BE7" s="102"/>
      <c r="BF7" s="102"/>
      <c r="BG7" s="102"/>
      <c r="BH7" s="102"/>
      <c r="BI7" s="102"/>
      <c r="BJ7" s="102"/>
      <c r="BK7" s="102"/>
      <c r="BL7" s="102"/>
      <c r="BM7" s="102"/>
      <c r="BN7" s="102"/>
      <c r="BO7" s="102"/>
      <c r="BP7" s="102"/>
      <c r="BQ7" s="102"/>
      <c r="BR7" s="102"/>
      <c r="BS7" s="102"/>
      <c r="BT7" s="102"/>
      <c r="BU7" s="102"/>
      <c r="BV7" s="102"/>
      <c r="BW7" s="102"/>
      <c r="BX7" s="102"/>
      <c r="BY7" s="102"/>
      <c r="BZ7" s="102"/>
      <c r="CA7" s="102"/>
      <c r="CB7" s="102"/>
      <c r="CC7" s="102"/>
      <c r="CD7" s="102"/>
      <c r="CE7" s="102"/>
      <c r="CF7" s="102"/>
      <c r="CG7" s="102"/>
      <c r="CH7" s="102"/>
      <c r="CI7" s="102"/>
      <c r="CJ7" s="102"/>
      <c r="CK7" s="102"/>
      <c r="CL7" s="102"/>
      <c r="CM7" s="102"/>
      <c r="CN7" s="102"/>
      <c r="CO7" s="102"/>
      <c r="CP7" s="102"/>
      <c r="CQ7" s="102"/>
      <c r="CR7" s="102"/>
      <c r="CS7" s="102"/>
      <c r="CT7" s="102"/>
      <c r="CU7" s="102"/>
      <c r="CV7" s="102"/>
      <c r="CW7" s="102"/>
      <c r="CX7" s="102"/>
      <c r="CY7" s="102"/>
      <c r="CZ7" s="102"/>
      <c r="DA7" s="102"/>
      <c r="DB7" s="102"/>
      <c r="DC7" s="102"/>
      <c r="DD7" s="102"/>
      <c r="DE7" s="102"/>
      <c r="DF7" s="102"/>
      <c r="DG7" s="102"/>
      <c r="DH7" s="102"/>
      <c r="DI7" s="102"/>
      <c r="DJ7" s="102"/>
      <c r="DK7" s="102"/>
      <c r="DL7" s="102"/>
      <c r="DM7" s="102"/>
      <c r="DN7" s="102"/>
      <c r="DO7" s="102"/>
      <c r="DP7" s="102"/>
      <c r="DQ7" s="102"/>
      <c r="DR7" s="102"/>
      <c r="DS7" s="102"/>
      <c r="DT7" s="102"/>
      <c r="DU7" s="102"/>
      <c r="DV7" s="102"/>
      <c r="DW7" s="102"/>
      <c r="DX7" s="102"/>
      <c r="DY7" s="102"/>
      <c r="DZ7" s="102"/>
      <c r="EA7" s="102"/>
      <c r="EB7" s="102"/>
      <c r="EC7" s="102"/>
      <c r="ED7" s="102"/>
      <c r="EE7" s="102"/>
      <c r="EF7" s="102"/>
      <c r="EG7" s="102"/>
      <c r="EH7" s="102"/>
      <c r="EI7" s="102"/>
      <c r="EJ7" s="102"/>
      <c r="EK7" s="102"/>
      <c r="EL7" s="102"/>
      <c r="EM7" s="102"/>
      <c r="EN7" s="102"/>
      <c r="EO7" s="102"/>
      <c r="EP7" s="102"/>
      <c r="EQ7" s="102"/>
      <c r="ER7" s="102"/>
      <c r="ES7" s="102"/>
      <c r="ET7" s="102"/>
      <c r="EU7" s="102"/>
      <c r="EV7" s="102"/>
      <c r="EW7" s="102"/>
      <c r="EX7" s="102"/>
      <c r="EY7" s="102"/>
      <c r="EZ7" s="102"/>
      <c r="FA7" s="102"/>
      <c r="FB7" s="102"/>
      <c r="FC7" s="102"/>
      <c r="FD7" s="102"/>
      <c r="FE7" s="102"/>
      <c r="FF7" s="102"/>
      <c r="FG7" s="102"/>
      <c r="FH7" s="102"/>
      <c r="FI7" s="102"/>
      <c r="FJ7" s="102"/>
      <c r="FK7" s="102"/>
      <c r="FL7" s="102"/>
      <c r="FM7" s="102"/>
      <c r="FN7" s="102"/>
      <c r="FO7" s="102"/>
      <c r="FP7" s="102"/>
      <c r="FQ7" s="102"/>
      <c r="FR7" s="102"/>
      <c r="FS7" s="102"/>
      <c r="FT7" s="102"/>
      <c r="FU7" s="102"/>
      <c r="FV7" s="102"/>
      <c r="FW7" s="102"/>
      <c r="FX7" s="102"/>
      <c r="FY7" s="102"/>
      <c r="FZ7" s="102"/>
      <c r="GA7" s="102"/>
      <c r="GB7" s="102"/>
      <c r="GC7" s="102"/>
      <c r="GD7" s="102"/>
      <c r="GE7" s="102"/>
      <c r="GF7" s="102"/>
      <c r="GG7" s="102"/>
      <c r="GH7" s="102"/>
      <c r="GI7" s="102"/>
      <c r="GJ7" s="102"/>
      <c r="GK7" s="102"/>
      <c r="GL7" s="102"/>
      <c r="GM7" s="102"/>
      <c r="GN7" s="102"/>
      <c r="GO7" s="102"/>
      <c r="GP7" s="102"/>
      <c r="GQ7" s="102"/>
      <c r="GR7" s="102"/>
      <c r="GS7" s="102"/>
      <c r="GT7" s="102"/>
      <c r="GU7" s="102"/>
      <c r="GV7" s="102"/>
      <c r="GW7" s="102"/>
      <c r="GX7" s="102"/>
      <c r="GY7" s="102"/>
      <c r="GZ7" s="102"/>
      <c r="HA7" s="102"/>
      <c r="HB7" s="102"/>
      <c r="HC7" s="102"/>
      <c r="HD7" s="102"/>
      <c r="HE7" s="102"/>
      <c r="HF7" s="102"/>
      <c r="HG7" s="102"/>
      <c r="HH7" s="102"/>
      <c r="HI7" s="102"/>
      <c r="HJ7" s="102"/>
      <c r="HK7" s="102"/>
      <c r="HL7" s="102"/>
      <c r="HM7" s="102"/>
      <c r="HN7" s="102"/>
      <c r="HO7" s="102"/>
      <c r="HP7" s="102"/>
      <c r="HQ7" s="102"/>
      <c r="HR7" s="102"/>
      <c r="HS7" s="102"/>
      <c r="HT7" s="102"/>
      <c r="HU7" s="102"/>
      <c r="HV7" s="102"/>
      <c r="HW7" s="102"/>
      <c r="HX7" s="102"/>
      <c r="HY7" s="102"/>
      <c r="HZ7" s="102"/>
      <c r="IA7" s="102"/>
      <c r="IB7" s="102"/>
      <c r="IC7" s="102"/>
      <c r="ID7" s="102"/>
      <c r="IE7" s="102"/>
      <c r="IF7" s="102"/>
      <c r="IG7" s="102"/>
      <c r="IH7" s="102"/>
      <c r="II7" s="102"/>
      <c r="IJ7" s="102"/>
      <c r="IK7" s="102"/>
      <c r="IL7" s="102"/>
      <c r="IM7" s="102"/>
      <c r="IN7" s="102"/>
      <c r="IO7" s="102"/>
      <c r="IP7" s="102"/>
      <c r="IQ7" s="102"/>
      <c r="IR7" s="102"/>
      <c r="IS7" s="102"/>
      <c r="IT7" s="102"/>
      <c r="IU7" s="102"/>
      <c r="IV7" s="102"/>
    </row>
    <row r="8" spans="1:256">
      <c r="A8" s="103">
        <v>900</v>
      </c>
      <c r="B8" s="104">
        <v>8800</v>
      </c>
      <c r="C8" s="105">
        <v>9800</v>
      </c>
      <c r="D8" s="106">
        <v>11500</v>
      </c>
      <c r="E8" s="102">
        <v>11500</v>
      </c>
      <c r="F8" s="106">
        <v>13100</v>
      </c>
      <c r="G8" s="102">
        <v>13100</v>
      </c>
      <c r="H8" s="106">
        <v>14300</v>
      </c>
      <c r="I8" s="102">
        <v>14300</v>
      </c>
      <c r="J8" s="106">
        <v>15800</v>
      </c>
      <c r="K8" s="102">
        <v>15800</v>
      </c>
      <c r="L8" s="106">
        <v>16900</v>
      </c>
      <c r="M8" s="102">
        <v>16900</v>
      </c>
      <c r="N8" s="106">
        <v>17900</v>
      </c>
      <c r="O8" s="102">
        <v>17900</v>
      </c>
      <c r="P8" s="106">
        <v>19100</v>
      </c>
      <c r="Q8" s="102">
        <v>19100</v>
      </c>
      <c r="R8" s="107">
        <v>0</v>
      </c>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102"/>
      <c r="BB8" s="102"/>
      <c r="BC8" s="102"/>
      <c r="BD8" s="102"/>
      <c r="BE8" s="102"/>
      <c r="BF8" s="102"/>
      <c r="BG8" s="102"/>
      <c r="BH8" s="102"/>
      <c r="BI8" s="102"/>
      <c r="BJ8" s="102"/>
      <c r="BK8" s="102"/>
      <c r="BL8" s="102"/>
      <c r="BM8" s="102"/>
      <c r="BN8" s="102"/>
      <c r="BO8" s="102"/>
      <c r="BP8" s="102"/>
      <c r="BQ8" s="102"/>
      <c r="BR8" s="102"/>
      <c r="BS8" s="102"/>
      <c r="BT8" s="102"/>
      <c r="BU8" s="102"/>
      <c r="BV8" s="102"/>
      <c r="BW8" s="102"/>
      <c r="BX8" s="102"/>
      <c r="BY8" s="102"/>
      <c r="BZ8" s="102"/>
      <c r="CA8" s="102"/>
      <c r="CB8" s="102"/>
      <c r="CC8" s="102"/>
      <c r="CD8" s="102"/>
      <c r="CE8" s="102"/>
      <c r="CF8" s="102"/>
      <c r="CG8" s="102"/>
      <c r="CH8" s="102"/>
      <c r="CI8" s="102"/>
      <c r="CJ8" s="102"/>
      <c r="CK8" s="102"/>
      <c r="CL8" s="102"/>
      <c r="CM8" s="102"/>
      <c r="CN8" s="102"/>
      <c r="CO8" s="102"/>
      <c r="CP8" s="102"/>
      <c r="CQ8" s="102"/>
      <c r="CR8" s="102"/>
      <c r="CS8" s="102"/>
      <c r="CT8" s="102"/>
      <c r="CU8" s="102"/>
      <c r="CV8" s="102"/>
      <c r="CW8" s="102"/>
      <c r="CX8" s="102"/>
      <c r="CY8" s="102"/>
      <c r="CZ8" s="102"/>
      <c r="DA8" s="102"/>
      <c r="DB8" s="102"/>
      <c r="DC8" s="102"/>
      <c r="DD8" s="102"/>
      <c r="DE8" s="102"/>
      <c r="DF8" s="102"/>
      <c r="DG8" s="102"/>
      <c r="DH8" s="102"/>
      <c r="DI8" s="102"/>
      <c r="DJ8" s="102"/>
      <c r="DK8" s="102"/>
      <c r="DL8" s="102"/>
      <c r="DM8" s="102"/>
      <c r="DN8" s="102"/>
      <c r="DO8" s="102"/>
      <c r="DP8" s="102"/>
      <c r="DQ8" s="102"/>
      <c r="DR8" s="102"/>
      <c r="DS8" s="102"/>
      <c r="DT8" s="102"/>
      <c r="DU8" s="102"/>
      <c r="DV8" s="102"/>
      <c r="DW8" s="102"/>
      <c r="DX8" s="102"/>
      <c r="DY8" s="102"/>
      <c r="DZ8" s="102"/>
      <c r="EA8" s="102"/>
      <c r="EB8" s="102"/>
      <c r="EC8" s="102"/>
      <c r="ED8" s="102"/>
      <c r="EE8" s="102"/>
      <c r="EF8" s="102"/>
      <c r="EG8" s="102"/>
      <c r="EH8" s="102"/>
      <c r="EI8" s="102"/>
      <c r="EJ8" s="102"/>
      <c r="EK8" s="102"/>
      <c r="EL8" s="102"/>
      <c r="EM8" s="102"/>
      <c r="EN8" s="102"/>
      <c r="EO8" s="102"/>
      <c r="EP8" s="102"/>
      <c r="EQ8" s="102"/>
      <c r="ER8" s="102"/>
      <c r="ES8" s="102"/>
      <c r="ET8" s="102"/>
      <c r="EU8" s="102"/>
      <c r="EV8" s="102"/>
      <c r="EW8" s="102"/>
      <c r="EX8" s="102"/>
      <c r="EY8" s="102"/>
      <c r="EZ8" s="102"/>
      <c r="FA8" s="102"/>
      <c r="FB8" s="102"/>
      <c r="FC8" s="102"/>
      <c r="FD8" s="102"/>
      <c r="FE8" s="102"/>
      <c r="FF8" s="102"/>
      <c r="FG8" s="102"/>
      <c r="FH8" s="102"/>
      <c r="FI8" s="102"/>
      <c r="FJ8" s="102"/>
      <c r="FK8" s="102"/>
      <c r="FL8" s="102"/>
      <c r="FM8" s="102"/>
      <c r="FN8" s="102"/>
      <c r="FO8" s="102"/>
      <c r="FP8" s="102"/>
      <c r="FQ8" s="102"/>
      <c r="FR8" s="102"/>
      <c r="FS8" s="102"/>
      <c r="FT8" s="102"/>
      <c r="FU8" s="102"/>
      <c r="FV8" s="102"/>
      <c r="FW8" s="102"/>
      <c r="FX8" s="102"/>
      <c r="FY8" s="102"/>
      <c r="FZ8" s="102"/>
      <c r="GA8" s="102"/>
      <c r="GB8" s="102"/>
      <c r="GC8" s="102"/>
      <c r="GD8" s="102"/>
      <c r="GE8" s="102"/>
      <c r="GF8" s="102"/>
      <c r="GG8" s="102"/>
      <c r="GH8" s="102"/>
      <c r="GI8" s="102"/>
      <c r="GJ8" s="102"/>
      <c r="GK8" s="102"/>
      <c r="GL8" s="102"/>
      <c r="GM8" s="102"/>
      <c r="GN8" s="102"/>
      <c r="GO8" s="102"/>
      <c r="GP8" s="102"/>
      <c r="GQ8" s="102"/>
      <c r="GR8" s="102"/>
      <c r="GS8" s="102"/>
      <c r="GT8" s="102"/>
      <c r="GU8" s="102"/>
      <c r="GV8" s="102"/>
      <c r="GW8" s="102"/>
      <c r="GX8" s="102"/>
      <c r="GY8" s="102"/>
      <c r="GZ8" s="102"/>
      <c r="HA8" s="102"/>
      <c r="HB8" s="102"/>
      <c r="HC8" s="102"/>
      <c r="HD8" s="102"/>
      <c r="HE8" s="102"/>
      <c r="HF8" s="102"/>
      <c r="HG8" s="102"/>
      <c r="HH8" s="102"/>
      <c r="HI8" s="102"/>
      <c r="HJ8" s="102"/>
      <c r="HK8" s="102"/>
      <c r="HL8" s="102"/>
      <c r="HM8" s="102"/>
      <c r="HN8" s="102"/>
      <c r="HO8" s="102"/>
      <c r="HP8" s="102"/>
      <c r="HQ8" s="102"/>
      <c r="HR8" s="102"/>
      <c r="HS8" s="102"/>
      <c r="HT8" s="102"/>
      <c r="HU8" s="102"/>
      <c r="HV8" s="102"/>
      <c r="HW8" s="102"/>
      <c r="HX8" s="102"/>
      <c r="HY8" s="102"/>
      <c r="HZ8" s="102"/>
      <c r="IA8" s="102"/>
      <c r="IB8" s="102"/>
      <c r="IC8" s="102"/>
      <c r="ID8" s="102"/>
      <c r="IE8" s="102"/>
      <c r="IF8" s="102"/>
      <c r="IG8" s="102"/>
      <c r="IH8" s="102"/>
      <c r="II8" s="102"/>
      <c r="IJ8" s="102"/>
      <c r="IK8" s="102"/>
      <c r="IL8" s="102"/>
      <c r="IM8" s="102"/>
      <c r="IN8" s="102"/>
      <c r="IO8" s="102"/>
      <c r="IP8" s="102"/>
      <c r="IQ8" s="102"/>
      <c r="IR8" s="102"/>
      <c r="IS8" s="102"/>
      <c r="IT8" s="102"/>
      <c r="IU8" s="102"/>
      <c r="IV8" s="102"/>
    </row>
    <row r="9" spans="1:256">
      <c r="A9" s="108">
        <v>1200</v>
      </c>
      <c r="B9" s="109">
        <v>8000</v>
      </c>
      <c r="C9" s="99">
        <v>8800</v>
      </c>
      <c r="D9" s="100">
        <v>10500</v>
      </c>
      <c r="E9" s="100">
        <v>11130</v>
      </c>
      <c r="F9" s="100">
        <v>12000</v>
      </c>
      <c r="G9" s="100">
        <v>12720</v>
      </c>
      <c r="H9" s="100">
        <v>13000</v>
      </c>
      <c r="I9" s="100">
        <v>13780</v>
      </c>
      <c r="J9" s="100">
        <v>14500</v>
      </c>
      <c r="K9" s="100">
        <v>15370</v>
      </c>
      <c r="L9" s="100">
        <v>15500</v>
      </c>
      <c r="M9" s="100">
        <v>16430</v>
      </c>
      <c r="N9" s="100">
        <v>16500</v>
      </c>
      <c r="O9" s="100">
        <v>17490</v>
      </c>
      <c r="P9" s="100">
        <v>17500</v>
      </c>
      <c r="Q9" s="100">
        <v>18550</v>
      </c>
      <c r="R9" s="101">
        <v>0.06</v>
      </c>
      <c r="S9" s="102">
        <v>22470</v>
      </c>
      <c r="T9" s="102">
        <v>20970</v>
      </c>
      <c r="U9" s="102">
        <v>20600</v>
      </c>
      <c r="V9" s="102">
        <v>20230</v>
      </c>
      <c r="W9" s="102">
        <v>18730</v>
      </c>
      <c r="X9" s="102">
        <v>17230</v>
      </c>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c r="BM9" s="102"/>
      <c r="BN9" s="102"/>
      <c r="BO9" s="102"/>
      <c r="BP9" s="102"/>
      <c r="BQ9" s="102"/>
      <c r="BR9" s="102"/>
      <c r="BS9" s="102"/>
      <c r="BT9" s="102"/>
      <c r="BU9" s="102"/>
      <c r="BV9" s="102"/>
      <c r="BW9" s="102"/>
      <c r="BX9" s="102"/>
      <c r="BY9" s="102"/>
      <c r="BZ9" s="102"/>
      <c r="CA9" s="102"/>
      <c r="CB9" s="102"/>
      <c r="CC9" s="102"/>
      <c r="CD9" s="102"/>
      <c r="CE9" s="102"/>
      <c r="CF9" s="102"/>
      <c r="CG9" s="102"/>
      <c r="CH9" s="102"/>
      <c r="CI9" s="102"/>
      <c r="CJ9" s="102"/>
      <c r="CK9" s="102"/>
      <c r="CL9" s="102"/>
      <c r="CM9" s="102"/>
      <c r="CN9" s="102"/>
      <c r="CO9" s="102"/>
      <c r="CP9" s="102"/>
      <c r="CQ9" s="102"/>
      <c r="CR9" s="102"/>
      <c r="CS9" s="102"/>
      <c r="CT9" s="102"/>
      <c r="CU9" s="102"/>
      <c r="CV9" s="102"/>
      <c r="CW9" s="102"/>
      <c r="CX9" s="102"/>
      <c r="CY9" s="102"/>
      <c r="CZ9" s="102"/>
      <c r="DA9" s="102"/>
      <c r="DB9" s="102"/>
      <c r="DC9" s="102"/>
      <c r="DD9" s="102"/>
      <c r="DE9" s="102"/>
      <c r="DF9" s="102"/>
      <c r="DG9" s="102"/>
      <c r="DH9" s="102"/>
      <c r="DI9" s="102"/>
      <c r="DJ9" s="102"/>
      <c r="DK9" s="102"/>
      <c r="DL9" s="102"/>
      <c r="DM9" s="102"/>
      <c r="DN9" s="102"/>
      <c r="DO9" s="102"/>
      <c r="DP9" s="102"/>
      <c r="DQ9" s="102"/>
      <c r="DR9" s="102"/>
      <c r="DS9" s="102"/>
      <c r="DT9" s="102"/>
      <c r="DU9" s="102"/>
      <c r="DV9" s="102"/>
      <c r="DW9" s="102"/>
      <c r="DX9" s="102"/>
      <c r="DY9" s="102"/>
      <c r="DZ9" s="102"/>
      <c r="EA9" s="102"/>
      <c r="EB9" s="102"/>
      <c r="EC9" s="102"/>
      <c r="ED9" s="102"/>
      <c r="EE9" s="102"/>
      <c r="EF9" s="102"/>
      <c r="EG9" s="102"/>
      <c r="EH9" s="102"/>
      <c r="EI9" s="102"/>
      <c r="EJ9" s="102"/>
      <c r="EK9" s="102"/>
      <c r="EL9" s="102"/>
      <c r="EM9" s="102"/>
      <c r="EN9" s="102"/>
      <c r="EO9" s="102"/>
      <c r="EP9" s="102"/>
      <c r="EQ9" s="102"/>
      <c r="ER9" s="102"/>
      <c r="ES9" s="102"/>
      <c r="ET9" s="102"/>
      <c r="EU9" s="102"/>
      <c r="EV9" s="102"/>
      <c r="EW9" s="102"/>
      <c r="EX9" s="102"/>
      <c r="EY9" s="102"/>
      <c r="EZ9" s="102"/>
      <c r="FA9" s="102"/>
      <c r="FB9" s="102"/>
      <c r="FC9" s="102"/>
      <c r="FD9" s="102"/>
      <c r="FE9" s="102"/>
      <c r="FF9" s="102"/>
      <c r="FG9" s="102"/>
      <c r="FH9" s="102"/>
      <c r="FI9" s="102"/>
      <c r="FJ9" s="102"/>
      <c r="FK9" s="102"/>
      <c r="FL9" s="102"/>
      <c r="FM9" s="102"/>
      <c r="FN9" s="102"/>
      <c r="FO9" s="102"/>
      <c r="FP9" s="102"/>
      <c r="FQ9" s="102"/>
      <c r="FR9" s="102"/>
      <c r="FS9" s="102"/>
      <c r="FT9" s="102"/>
      <c r="FU9" s="102"/>
      <c r="FV9" s="102"/>
      <c r="FW9" s="102"/>
      <c r="FX9" s="102"/>
      <c r="FY9" s="102"/>
      <c r="FZ9" s="102"/>
      <c r="GA9" s="102"/>
      <c r="GB9" s="102"/>
      <c r="GC9" s="102"/>
      <c r="GD9" s="102"/>
      <c r="GE9" s="102"/>
      <c r="GF9" s="102"/>
      <c r="GG9" s="102"/>
      <c r="GH9" s="102"/>
      <c r="GI9" s="102"/>
      <c r="GJ9" s="102"/>
      <c r="GK9" s="102"/>
      <c r="GL9" s="102"/>
      <c r="GM9" s="102"/>
      <c r="GN9" s="102"/>
      <c r="GO9" s="102"/>
      <c r="GP9" s="102"/>
      <c r="GQ9" s="102"/>
      <c r="GR9" s="102"/>
      <c r="GS9" s="102"/>
      <c r="GT9" s="102"/>
      <c r="GU9" s="102"/>
      <c r="GV9" s="102"/>
      <c r="GW9" s="102"/>
      <c r="GX9" s="102"/>
      <c r="GY9" s="102"/>
      <c r="GZ9" s="102"/>
      <c r="HA9" s="102"/>
      <c r="HB9" s="102"/>
      <c r="HC9" s="102"/>
      <c r="HD9" s="102"/>
      <c r="HE9" s="102"/>
      <c r="HF9" s="102"/>
      <c r="HG9" s="102"/>
      <c r="HH9" s="102"/>
      <c r="HI9" s="102"/>
      <c r="HJ9" s="102"/>
      <c r="HK9" s="102"/>
      <c r="HL9" s="102"/>
      <c r="HM9" s="102"/>
      <c r="HN9" s="102"/>
      <c r="HO9" s="102"/>
      <c r="HP9" s="102"/>
      <c r="HQ9" s="102"/>
      <c r="HR9" s="102"/>
      <c r="HS9" s="102"/>
      <c r="HT9" s="102"/>
      <c r="HU9" s="102"/>
      <c r="HV9" s="102"/>
      <c r="HW9" s="102"/>
      <c r="HX9" s="102"/>
      <c r="HY9" s="102"/>
      <c r="HZ9" s="102"/>
      <c r="IA9" s="102"/>
      <c r="IB9" s="102"/>
      <c r="IC9" s="102"/>
      <c r="ID9" s="102"/>
      <c r="IE9" s="102"/>
      <c r="IF9" s="102"/>
      <c r="IG9" s="102"/>
      <c r="IH9" s="102"/>
      <c r="II9" s="102"/>
      <c r="IJ9" s="102"/>
      <c r="IK9" s="102"/>
      <c r="IL9" s="102"/>
      <c r="IM9" s="102"/>
      <c r="IN9" s="102"/>
      <c r="IO9" s="102"/>
      <c r="IP9" s="102"/>
      <c r="IQ9" s="102"/>
      <c r="IR9" s="102"/>
      <c r="IS9" s="102"/>
      <c r="IT9" s="102"/>
      <c r="IU9" s="102"/>
      <c r="IV9" s="102"/>
    </row>
    <row r="10" spans="1:256">
      <c r="A10" s="103">
        <v>1350</v>
      </c>
      <c r="B10" s="104">
        <v>7700</v>
      </c>
      <c r="C10" s="105">
        <v>8400</v>
      </c>
      <c r="D10" s="106">
        <v>10100</v>
      </c>
      <c r="E10" s="102">
        <v>11009</v>
      </c>
      <c r="F10" s="106">
        <v>11600</v>
      </c>
      <c r="G10" s="102">
        <v>12644</v>
      </c>
      <c r="H10" s="106">
        <v>12500</v>
      </c>
      <c r="I10" s="102">
        <v>13625</v>
      </c>
      <c r="J10" s="106">
        <v>14000</v>
      </c>
      <c r="K10" s="102">
        <v>15260</v>
      </c>
      <c r="L10" s="106">
        <v>14900</v>
      </c>
      <c r="M10" s="102">
        <v>16241</v>
      </c>
      <c r="N10" s="106">
        <v>15900</v>
      </c>
      <c r="O10" s="102">
        <v>17331</v>
      </c>
      <c r="P10" s="106">
        <v>16900</v>
      </c>
      <c r="Q10" s="102">
        <v>18421</v>
      </c>
      <c r="R10" s="107">
        <v>0.09</v>
      </c>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c r="BN10" s="102"/>
      <c r="BO10" s="102"/>
      <c r="BP10" s="102"/>
      <c r="BQ10" s="102"/>
      <c r="BR10" s="102"/>
      <c r="BS10" s="102"/>
      <c r="BT10" s="102"/>
      <c r="BU10" s="102"/>
      <c r="BV10" s="102"/>
      <c r="BW10" s="102"/>
      <c r="BX10" s="102"/>
      <c r="BY10" s="102"/>
      <c r="BZ10" s="102"/>
      <c r="CA10" s="102"/>
      <c r="CB10" s="102"/>
      <c r="CC10" s="102"/>
      <c r="CD10" s="102"/>
      <c r="CE10" s="102"/>
      <c r="CF10" s="102"/>
      <c r="CG10" s="102"/>
      <c r="CH10" s="102"/>
      <c r="CI10" s="102"/>
      <c r="CJ10" s="102"/>
      <c r="CK10" s="102"/>
      <c r="CL10" s="102"/>
      <c r="CM10" s="102"/>
      <c r="CN10" s="102"/>
      <c r="CO10" s="102"/>
      <c r="CP10" s="102"/>
      <c r="CQ10" s="102"/>
      <c r="CR10" s="102"/>
      <c r="CS10" s="102"/>
      <c r="CT10" s="102"/>
      <c r="CU10" s="102"/>
      <c r="CV10" s="102"/>
      <c r="CW10" s="102"/>
      <c r="CX10" s="102"/>
      <c r="CY10" s="102"/>
      <c r="CZ10" s="102"/>
      <c r="DA10" s="102"/>
      <c r="DB10" s="102"/>
      <c r="DC10" s="102"/>
      <c r="DD10" s="102"/>
      <c r="DE10" s="102"/>
      <c r="DF10" s="102"/>
      <c r="DG10" s="102"/>
      <c r="DH10" s="102"/>
      <c r="DI10" s="102"/>
      <c r="DJ10" s="102"/>
      <c r="DK10" s="102"/>
      <c r="DL10" s="102"/>
      <c r="DM10" s="102"/>
      <c r="DN10" s="102"/>
      <c r="DO10" s="102"/>
      <c r="DP10" s="102"/>
      <c r="DQ10" s="102"/>
      <c r="DR10" s="102"/>
      <c r="DS10" s="102"/>
      <c r="DT10" s="102"/>
      <c r="DU10" s="102"/>
      <c r="DV10" s="102"/>
      <c r="DW10" s="102"/>
      <c r="DX10" s="102"/>
      <c r="DY10" s="102"/>
      <c r="DZ10" s="102"/>
      <c r="EA10" s="102"/>
      <c r="EB10" s="102"/>
      <c r="EC10" s="102"/>
      <c r="ED10" s="102"/>
      <c r="EE10" s="102"/>
      <c r="EF10" s="102"/>
      <c r="EG10" s="102"/>
      <c r="EH10" s="102"/>
      <c r="EI10" s="102"/>
      <c r="EJ10" s="102"/>
      <c r="EK10" s="102"/>
      <c r="EL10" s="102"/>
      <c r="EM10" s="102"/>
      <c r="EN10" s="102"/>
      <c r="EO10" s="102"/>
      <c r="EP10" s="102"/>
      <c r="EQ10" s="102"/>
      <c r="ER10" s="102"/>
      <c r="ES10" s="102"/>
      <c r="ET10" s="102"/>
      <c r="EU10" s="102"/>
      <c r="EV10" s="102"/>
      <c r="EW10" s="102"/>
      <c r="EX10" s="102"/>
      <c r="EY10" s="102"/>
      <c r="EZ10" s="102"/>
      <c r="FA10" s="102"/>
      <c r="FB10" s="102"/>
      <c r="FC10" s="102"/>
      <c r="FD10" s="102"/>
      <c r="FE10" s="102"/>
      <c r="FF10" s="102"/>
      <c r="FG10" s="102"/>
      <c r="FH10" s="102"/>
      <c r="FI10" s="102"/>
      <c r="FJ10" s="102"/>
      <c r="FK10" s="102"/>
      <c r="FL10" s="102"/>
      <c r="FM10" s="102"/>
      <c r="FN10" s="102"/>
      <c r="FO10" s="102"/>
      <c r="FP10" s="102"/>
      <c r="FQ10" s="102"/>
      <c r="FR10" s="102"/>
      <c r="FS10" s="102"/>
      <c r="FT10" s="102"/>
      <c r="FU10" s="102"/>
      <c r="FV10" s="102"/>
      <c r="FW10" s="102"/>
      <c r="FX10" s="102"/>
      <c r="FY10" s="102"/>
      <c r="FZ10" s="102"/>
      <c r="GA10" s="102"/>
      <c r="GB10" s="102"/>
      <c r="GC10" s="102"/>
      <c r="GD10" s="102"/>
      <c r="GE10" s="102"/>
      <c r="GF10" s="102"/>
      <c r="GG10" s="102"/>
      <c r="GH10" s="102"/>
      <c r="GI10" s="102"/>
      <c r="GJ10" s="102"/>
      <c r="GK10" s="102"/>
      <c r="GL10" s="102"/>
      <c r="GM10" s="102"/>
      <c r="GN10" s="102"/>
      <c r="GO10" s="102"/>
      <c r="GP10" s="102"/>
      <c r="GQ10" s="102"/>
      <c r="GR10" s="102"/>
      <c r="GS10" s="102"/>
      <c r="GT10" s="102"/>
      <c r="GU10" s="102"/>
      <c r="GV10" s="102"/>
      <c r="GW10" s="102"/>
      <c r="GX10" s="102"/>
      <c r="GY10" s="102"/>
      <c r="GZ10" s="102"/>
      <c r="HA10" s="102"/>
      <c r="HB10" s="102"/>
      <c r="HC10" s="102"/>
      <c r="HD10" s="102"/>
      <c r="HE10" s="102"/>
      <c r="HF10" s="102"/>
      <c r="HG10" s="102"/>
      <c r="HH10" s="102"/>
      <c r="HI10" s="102"/>
      <c r="HJ10" s="102"/>
      <c r="HK10" s="102"/>
      <c r="HL10" s="102"/>
      <c r="HM10" s="102"/>
      <c r="HN10" s="102"/>
      <c r="HO10" s="102"/>
      <c r="HP10" s="102"/>
      <c r="HQ10" s="102"/>
      <c r="HR10" s="102"/>
      <c r="HS10" s="102"/>
      <c r="HT10" s="102"/>
      <c r="HU10" s="102"/>
      <c r="HV10" s="102"/>
      <c r="HW10" s="102"/>
      <c r="HX10" s="102"/>
      <c r="HY10" s="102"/>
      <c r="HZ10" s="102"/>
      <c r="IA10" s="102"/>
      <c r="IB10" s="102"/>
      <c r="IC10" s="102"/>
      <c r="ID10" s="102"/>
      <c r="IE10" s="102"/>
      <c r="IF10" s="102"/>
      <c r="IG10" s="102"/>
      <c r="IH10" s="102"/>
      <c r="II10" s="102"/>
      <c r="IJ10" s="102"/>
      <c r="IK10" s="102"/>
      <c r="IL10" s="102"/>
      <c r="IM10" s="102"/>
      <c r="IN10" s="102"/>
      <c r="IO10" s="102"/>
      <c r="IP10" s="102"/>
      <c r="IQ10" s="102"/>
      <c r="IR10" s="102"/>
      <c r="IS10" s="102"/>
      <c r="IT10" s="102"/>
      <c r="IU10" s="102"/>
      <c r="IV10" s="102"/>
    </row>
    <row r="11" spans="1:256">
      <c r="A11" s="108">
        <v>1500</v>
      </c>
      <c r="B11" s="109">
        <v>7400</v>
      </c>
      <c r="C11" s="99">
        <v>8100</v>
      </c>
      <c r="D11" s="100">
        <v>9700</v>
      </c>
      <c r="E11" s="100">
        <v>10864</v>
      </c>
      <c r="F11" s="100">
        <v>11200</v>
      </c>
      <c r="G11" s="100">
        <v>12544</v>
      </c>
      <c r="H11" s="100">
        <v>12000</v>
      </c>
      <c r="I11" s="100">
        <v>13440</v>
      </c>
      <c r="J11" s="100">
        <v>13500</v>
      </c>
      <c r="K11" s="100">
        <v>15120</v>
      </c>
      <c r="L11" s="100">
        <v>14400</v>
      </c>
      <c r="M11" s="100">
        <v>16128</v>
      </c>
      <c r="N11" s="100">
        <v>15300</v>
      </c>
      <c r="O11" s="100">
        <v>17136</v>
      </c>
      <c r="P11" s="100">
        <v>16300</v>
      </c>
      <c r="Q11" s="100">
        <v>18256</v>
      </c>
      <c r="R11" s="101">
        <v>0.12</v>
      </c>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02"/>
      <c r="BO11" s="102"/>
      <c r="BP11" s="102"/>
      <c r="BQ11" s="102"/>
      <c r="BR11" s="102"/>
      <c r="BS11" s="102"/>
      <c r="BT11" s="102"/>
      <c r="BU11" s="102"/>
      <c r="BV11" s="102"/>
      <c r="BW11" s="102"/>
      <c r="BX11" s="102"/>
      <c r="BY11" s="102"/>
      <c r="BZ11" s="102"/>
      <c r="CA11" s="102"/>
      <c r="CB11" s="102"/>
      <c r="CC11" s="102"/>
      <c r="CD11" s="102"/>
      <c r="CE11" s="102"/>
      <c r="CF11" s="102"/>
      <c r="CG11" s="102"/>
      <c r="CH11" s="102"/>
      <c r="CI11" s="102"/>
      <c r="CJ11" s="102"/>
      <c r="CK11" s="102"/>
      <c r="CL11" s="102"/>
      <c r="CM11" s="102"/>
      <c r="CN11" s="102"/>
      <c r="CO11" s="102"/>
      <c r="CP11" s="102"/>
      <c r="CQ11" s="102"/>
      <c r="CR11" s="102"/>
      <c r="CS11" s="102"/>
      <c r="CT11" s="102"/>
      <c r="CU11" s="102"/>
      <c r="CV11" s="102"/>
      <c r="CW11" s="102"/>
      <c r="CX11" s="102"/>
      <c r="CY11" s="102"/>
      <c r="CZ11" s="102"/>
      <c r="DA11" s="102"/>
      <c r="DB11" s="102"/>
      <c r="DC11" s="102"/>
      <c r="DD11" s="102"/>
      <c r="DE11" s="102"/>
      <c r="DF11" s="102"/>
      <c r="DG11" s="102"/>
      <c r="DH11" s="102"/>
      <c r="DI11" s="102"/>
      <c r="DJ11" s="102"/>
      <c r="DK11" s="102"/>
      <c r="DL11" s="102"/>
      <c r="DM11" s="102"/>
      <c r="DN11" s="102"/>
      <c r="DO11" s="102"/>
      <c r="DP11" s="102"/>
      <c r="DQ11" s="102"/>
      <c r="DR11" s="102"/>
      <c r="DS11" s="102"/>
      <c r="DT11" s="102"/>
      <c r="DU11" s="102"/>
      <c r="DV11" s="102"/>
      <c r="DW11" s="102"/>
      <c r="DX11" s="102"/>
      <c r="DY11" s="102"/>
      <c r="DZ11" s="102"/>
      <c r="EA11" s="102"/>
      <c r="EB11" s="102"/>
      <c r="EC11" s="102"/>
      <c r="ED11" s="102"/>
      <c r="EE11" s="102"/>
      <c r="EF11" s="102"/>
      <c r="EG11" s="102"/>
      <c r="EH11" s="102"/>
      <c r="EI11" s="102"/>
      <c r="EJ11" s="102"/>
      <c r="EK11" s="102"/>
      <c r="EL11" s="102"/>
      <c r="EM11" s="102"/>
      <c r="EN11" s="102"/>
      <c r="EO11" s="102"/>
      <c r="EP11" s="102"/>
      <c r="EQ11" s="102"/>
      <c r="ER11" s="102"/>
      <c r="ES11" s="102"/>
      <c r="ET11" s="102"/>
      <c r="EU11" s="102"/>
      <c r="EV11" s="102"/>
      <c r="EW11" s="102"/>
      <c r="EX11" s="102"/>
      <c r="EY11" s="102"/>
      <c r="EZ11" s="102"/>
      <c r="FA11" s="102"/>
      <c r="FB11" s="102"/>
      <c r="FC11" s="102"/>
      <c r="FD11" s="102"/>
      <c r="FE11" s="102"/>
      <c r="FF11" s="102"/>
      <c r="FG11" s="102"/>
      <c r="FH11" s="102"/>
      <c r="FI11" s="102"/>
      <c r="FJ11" s="102"/>
      <c r="FK11" s="102"/>
      <c r="FL11" s="102"/>
      <c r="FM11" s="102"/>
      <c r="FN11" s="102"/>
      <c r="FO11" s="102"/>
      <c r="FP11" s="102"/>
      <c r="FQ11" s="102"/>
      <c r="FR11" s="102"/>
      <c r="FS11" s="102"/>
      <c r="FT11" s="102"/>
      <c r="FU11" s="102"/>
      <c r="FV11" s="102"/>
      <c r="FW11" s="102"/>
      <c r="FX11" s="102"/>
      <c r="FY11" s="102"/>
      <c r="FZ11" s="102"/>
      <c r="GA11" s="102"/>
      <c r="GB11" s="102"/>
      <c r="GC11" s="102"/>
      <c r="GD11" s="102"/>
      <c r="GE11" s="102"/>
      <c r="GF11" s="102"/>
      <c r="GG11" s="102"/>
      <c r="GH11" s="102"/>
      <c r="GI11" s="102"/>
      <c r="GJ11" s="102"/>
      <c r="GK11" s="102"/>
      <c r="GL11" s="102"/>
      <c r="GM11" s="102"/>
      <c r="GN11" s="102"/>
      <c r="GO11" s="102"/>
      <c r="GP11" s="102"/>
      <c r="GQ11" s="102"/>
      <c r="GR11" s="102"/>
      <c r="GS11" s="102"/>
      <c r="GT11" s="102"/>
      <c r="GU11" s="102"/>
      <c r="GV11" s="102"/>
      <c r="GW11" s="102"/>
      <c r="GX11" s="102"/>
      <c r="GY11" s="102"/>
      <c r="GZ11" s="102"/>
      <c r="HA11" s="102"/>
      <c r="HB11" s="102"/>
      <c r="HC11" s="102"/>
      <c r="HD11" s="102"/>
      <c r="HE11" s="102"/>
      <c r="HF11" s="102"/>
      <c r="HG11" s="102"/>
      <c r="HH11" s="102"/>
      <c r="HI11" s="102"/>
      <c r="HJ11" s="102"/>
      <c r="HK11" s="102"/>
      <c r="HL11" s="102"/>
      <c r="HM11" s="102"/>
      <c r="HN11" s="102"/>
      <c r="HO11" s="102"/>
      <c r="HP11" s="102"/>
      <c r="HQ11" s="102"/>
      <c r="HR11" s="102"/>
      <c r="HS11" s="102"/>
      <c r="HT11" s="102"/>
      <c r="HU11" s="102"/>
      <c r="HV11" s="102"/>
      <c r="HW11" s="102"/>
      <c r="HX11" s="102"/>
      <c r="HY11" s="102"/>
      <c r="HZ11" s="102"/>
      <c r="IA11" s="102"/>
      <c r="IB11" s="102"/>
      <c r="IC11" s="102"/>
      <c r="ID11" s="102"/>
      <c r="IE11" s="102"/>
      <c r="IF11" s="102"/>
      <c r="IG11" s="102"/>
      <c r="IH11" s="102"/>
      <c r="II11" s="102"/>
      <c r="IJ11" s="102"/>
      <c r="IK11" s="102"/>
      <c r="IL11" s="102"/>
      <c r="IM11" s="102"/>
      <c r="IN11" s="102"/>
      <c r="IO11" s="102"/>
      <c r="IP11" s="102"/>
      <c r="IQ11" s="102"/>
      <c r="IR11" s="102"/>
      <c r="IS11" s="102"/>
      <c r="IT11" s="102"/>
      <c r="IU11" s="102"/>
      <c r="IV11" s="102"/>
    </row>
    <row r="12" spans="1:256">
      <c r="A12" s="103">
        <v>1650</v>
      </c>
      <c r="B12" s="104">
        <v>7100</v>
      </c>
      <c r="C12" s="105">
        <v>7800</v>
      </c>
      <c r="D12" s="106">
        <v>9400</v>
      </c>
      <c r="E12" s="102">
        <v>10528</v>
      </c>
      <c r="F12" s="106">
        <v>10900</v>
      </c>
      <c r="G12" s="102">
        <v>12208</v>
      </c>
      <c r="H12" s="106">
        <v>11600</v>
      </c>
      <c r="I12" s="102">
        <v>12992</v>
      </c>
      <c r="J12" s="106">
        <v>12900</v>
      </c>
      <c r="K12" s="102">
        <v>14448</v>
      </c>
      <c r="L12" s="106">
        <v>13800</v>
      </c>
      <c r="M12" s="102">
        <v>15456</v>
      </c>
      <c r="N12" s="106">
        <v>14600</v>
      </c>
      <c r="O12" s="102">
        <v>16352</v>
      </c>
      <c r="P12" s="106">
        <v>15500</v>
      </c>
      <c r="Q12" s="102">
        <v>17360</v>
      </c>
      <c r="R12" s="107">
        <v>0.12</v>
      </c>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c r="AR12" s="102"/>
      <c r="AS12" s="102"/>
      <c r="AT12" s="102"/>
      <c r="AU12" s="102"/>
      <c r="AV12" s="102"/>
      <c r="AW12" s="102"/>
      <c r="AX12" s="102"/>
      <c r="AY12" s="102"/>
      <c r="AZ12" s="102"/>
      <c r="BA12" s="102"/>
      <c r="BB12" s="102"/>
      <c r="BC12" s="102"/>
      <c r="BD12" s="102"/>
      <c r="BE12" s="102"/>
      <c r="BF12" s="102"/>
      <c r="BG12" s="102"/>
      <c r="BH12" s="102"/>
      <c r="BI12" s="102"/>
      <c r="BJ12" s="102"/>
      <c r="BK12" s="102"/>
      <c r="BL12" s="102"/>
      <c r="BM12" s="102"/>
      <c r="BN12" s="102"/>
      <c r="BO12" s="102"/>
      <c r="BP12" s="102"/>
      <c r="BQ12" s="102"/>
      <c r="BR12" s="102"/>
      <c r="BS12" s="102"/>
      <c r="BT12" s="102"/>
      <c r="BU12" s="102"/>
      <c r="BV12" s="102"/>
      <c r="BW12" s="102"/>
      <c r="BX12" s="102"/>
      <c r="BY12" s="102"/>
      <c r="BZ12" s="102"/>
      <c r="CA12" s="102"/>
      <c r="CB12" s="102"/>
      <c r="CC12" s="102"/>
      <c r="CD12" s="102"/>
      <c r="CE12" s="102"/>
      <c r="CF12" s="102"/>
      <c r="CG12" s="102"/>
      <c r="CH12" s="102"/>
      <c r="CI12" s="102"/>
      <c r="CJ12" s="102"/>
      <c r="CK12" s="102"/>
      <c r="CL12" s="102"/>
      <c r="CM12" s="102"/>
      <c r="CN12" s="102"/>
      <c r="CO12" s="102"/>
      <c r="CP12" s="102"/>
      <c r="CQ12" s="102"/>
      <c r="CR12" s="102"/>
      <c r="CS12" s="102"/>
      <c r="CT12" s="102"/>
      <c r="CU12" s="102"/>
      <c r="CV12" s="102"/>
      <c r="CW12" s="102"/>
      <c r="CX12" s="102"/>
      <c r="CY12" s="102"/>
      <c r="CZ12" s="102"/>
      <c r="DA12" s="102"/>
      <c r="DB12" s="102"/>
      <c r="DC12" s="102"/>
      <c r="DD12" s="102"/>
      <c r="DE12" s="102"/>
      <c r="DF12" s="102"/>
      <c r="DG12" s="102"/>
      <c r="DH12" s="102"/>
      <c r="DI12" s="102"/>
      <c r="DJ12" s="102"/>
      <c r="DK12" s="102"/>
      <c r="DL12" s="102"/>
      <c r="DM12" s="102"/>
      <c r="DN12" s="102"/>
      <c r="DO12" s="102"/>
      <c r="DP12" s="102"/>
      <c r="DQ12" s="102"/>
      <c r="DR12" s="102"/>
      <c r="DS12" s="102"/>
      <c r="DT12" s="102"/>
      <c r="DU12" s="102"/>
      <c r="DV12" s="102"/>
      <c r="DW12" s="102"/>
      <c r="DX12" s="102"/>
      <c r="DY12" s="102"/>
      <c r="DZ12" s="102"/>
      <c r="EA12" s="102"/>
      <c r="EB12" s="102"/>
      <c r="EC12" s="102"/>
      <c r="ED12" s="102"/>
      <c r="EE12" s="102"/>
      <c r="EF12" s="102"/>
      <c r="EG12" s="102"/>
      <c r="EH12" s="102"/>
      <c r="EI12" s="102"/>
      <c r="EJ12" s="102"/>
      <c r="EK12" s="102"/>
      <c r="EL12" s="102"/>
      <c r="EM12" s="102"/>
      <c r="EN12" s="102"/>
      <c r="EO12" s="102"/>
      <c r="EP12" s="102"/>
      <c r="EQ12" s="102"/>
      <c r="ER12" s="102"/>
      <c r="ES12" s="102"/>
      <c r="ET12" s="102"/>
      <c r="EU12" s="102"/>
      <c r="EV12" s="102"/>
      <c r="EW12" s="102"/>
      <c r="EX12" s="102"/>
      <c r="EY12" s="102"/>
      <c r="EZ12" s="102"/>
      <c r="FA12" s="102"/>
      <c r="FB12" s="102"/>
      <c r="FC12" s="102"/>
      <c r="FD12" s="102"/>
      <c r="FE12" s="102"/>
      <c r="FF12" s="102"/>
      <c r="FG12" s="102"/>
      <c r="FH12" s="102"/>
      <c r="FI12" s="102"/>
      <c r="FJ12" s="102"/>
      <c r="FK12" s="102"/>
      <c r="FL12" s="102"/>
      <c r="FM12" s="102"/>
      <c r="FN12" s="102"/>
      <c r="FO12" s="102"/>
      <c r="FP12" s="102"/>
      <c r="FQ12" s="102"/>
      <c r="FR12" s="102"/>
      <c r="FS12" s="102"/>
      <c r="FT12" s="102"/>
      <c r="FU12" s="102"/>
      <c r="FV12" s="102"/>
      <c r="FW12" s="102"/>
      <c r="FX12" s="102"/>
      <c r="FY12" s="102"/>
      <c r="FZ12" s="102"/>
      <c r="GA12" s="102"/>
      <c r="GB12" s="102"/>
      <c r="GC12" s="102"/>
      <c r="GD12" s="102"/>
      <c r="GE12" s="102"/>
      <c r="GF12" s="102"/>
      <c r="GG12" s="102"/>
      <c r="GH12" s="102"/>
      <c r="GI12" s="102"/>
      <c r="GJ12" s="102"/>
      <c r="GK12" s="102"/>
      <c r="GL12" s="102"/>
      <c r="GM12" s="102"/>
      <c r="GN12" s="102"/>
      <c r="GO12" s="102"/>
      <c r="GP12" s="102"/>
      <c r="GQ12" s="102"/>
      <c r="GR12" s="102"/>
      <c r="GS12" s="102"/>
      <c r="GT12" s="102"/>
      <c r="GU12" s="102"/>
      <c r="GV12" s="102"/>
      <c r="GW12" s="102"/>
      <c r="GX12" s="102"/>
      <c r="GY12" s="102"/>
      <c r="GZ12" s="102"/>
      <c r="HA12" s="102"/>
      <c r="HB12" s="102"/>
      <c r="HC12" s="102"/>
      <c r="HD12" s="102"/>
      <c r="HE12" s="102"/>
      <c r="HF12" s="102"/>
      <c r="HG12" s="102"/>
      <c r="HH12" s="102"/>
      <c r="HI12" s="102"/>
      <c r="HJ12" s="102"/>
      <c r="HK12" s="102"/>
      <c r="HL12" s="102"/>
      <c r="HM12" s="102"/>
      <c r="HN12" s="102"/>
      <c r="HO12" s="102"/>
      <c r="HP12" s="102"/>
      <c r="HQ12" s="102"/>
      <c r="HR12" s="102"/>
      <c r="HS12" s="102"/>
      <c r="HT12" s="102"/>
      <c r="HU12" s="102"/>
      <c r="HV12" s="102"/>
      <c r="HW12" s="102"/>
      <c r="HX12" s="102"/>
      <c r="HY12" s="102"/>
      <c r="HZ12" s="102"/>
      <c r="IA12" s="102"/>
      <c r="IB12" s="102"/>
      <c r="IC12" s="102"/>
      <c r="ID12" s="102"/>
      <c r="IE12" s="102"/>
      <c r="IF12" s="102"/>
      <c r="IG12" s="102"/>
      <c r="IH12" s="102"/>
      <c r="II12" s="102"/>
      <c r="IJ12" s="102"/>
      <c r="IK12" s="102"/>
      <c r="IL12" s="102"/>
      <c r="IM12" s="102"/>
      <c r="IN12" s="102"/>
      <c r="IO12" s="102"/>
      <c r="IP12" s="102"/>
      <c r="IQ12" s="102"/>
      <c r="IR12" s="102"/>
      <c r="IS12" s="102"/>
      <c r="IT12" s="102"/>
      <c r="IU12" s="102"/>
      <c r="IV12" s="102"/>
    </row>
    <row r="13" spans="1:256">
      <c r="A13" s="108">
        <v>1800</v>
      </c>
      <c r="B13" s="109">
        <v>6800</v>
      </c>
      <c r="C13" s="99">
        <v>7500</v>
      </c>
      <c r="D13" s="100">
        <v>9000</v>
      </c>
      <c r="E13" s="100">
        <v>9990</v>
      </c>
      <c r="F13" s="100">
        <v>10400</v>
      </c>
      <c r="G13" s="100">
        <v>11544</v>
      </c>
      <c r="H13" s="100">
        <v>11100</v>
      </c>
      <c r="I13" s="100">
        <v>12321</v>
      </c>
      <c r="J13" s="100">
        <v>12200</v>
      </c>
      <c r="K13" s="100">
        <v>13542</v>
      </c>
      <c r="L13" s="100">
        <v>13200</v>
      </c>
      <c r="M13" s="100">
        <v>14652</v>
      </c>
      <c r="N13" s="100">
        <v>13900</v>
      </c>
      <c r="O13" s="100">
        <v>15429</v>
      </c>
      <c r="P13" s="100">
        <v>14800</v>
      </c>
      <c r="Q13" s="100">
        <v>16428</v>
      </c>
      <c r="R13" s="101">
        <v>0.11</v>
      </c>
      <c r="S13" s="102"/>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c r="AQ13" s="102"/>
      <c r="AR13" s="102"/>
      <c r="AS13" s="102"/>
      <c r="AT13" s="102"/>
      <c r="AU13" s="102"/>
      <c r="AV13" s="102"/>
      <c r="AW13" s="102"/>
      <c r="AX13" s="102"/>
      <c r="AY13" s="102"/>
      <c r="AZ13" s="102"/>
      <c r="BA13" s="102"/>
      <c r="BB13" s="102"/>
      <c r="BC13" s="102"/>
      <c r="BD13" s="102"/>
      <c r="BE13" s="102"/>
      <c r="BF13" s="102"/>
      <c r="BG13" s="102"/>
      <c r="BH13" s="102"/>
      <c r="BI13" s="102"/>
      <c r="BJ13" s="102"/>
      <c r="BK13" s="102"/>
      <c r="BL13" s="102"/>
      <c r="BM13" s="102"/>
      <c r="BN13" s="102"/>
      <c r="BO13" s="102"/>
      <c r="BP13" s="102"/>
      <c r="BQ13" s="102"/>
      <c r="BR13" s="102"/>
      <c r="BS13" s="102"/>
      <c r="BT13" s="102"/>
      <c r="BU13" s="102"/>
      <c r="BV13" s="102"/>
      <c r="BW13" s="102"/>
      <c r="BX13" s="102"/>
      <c r="BY13" s="102"/>
      <c r="BZ13" s="102"/>
      <c r="CA13" s="102"/>
      <c r="CB13" s="102"/>
      <c r="CC13" s="102"/>
      <c r="CD13" s="102"/>
      <c r="CE13" s="102"/>
      <c r="CF13" s="102"/>
      <c r="CG13" s="102"/>
      <c r="CH13" s="102"/>
      <c r="CI13" s="102"/>
      <c r="CJ13" s="102"/>
      <c r="CK13" s="102"/>
      <c r="CL13" s="102"/>
      <c r="CM13" s="102"/>
      <c r="CN13" s="102"/>
      <c r="CO13" s="102"/>
      <c r="CP13" s="102"/>
      <c r="CQ13" s="102"/>
      <c r="CR13" s="102"/>
      <c r="CS13" s="102"/>
      <c r="CT13" s="102"/>
      <c r="CU13" s="102"/>
      <c r="CV13" s="102"/>
      <c r="CW13" s="102"/>
      <c r="CX13" s="102"/>
      <c r="CY13" s="102"/>
      <c r="CZ13" s="102"/>
      <c r="DA13" s="102"/>
      <c r="DB13" s="102"/>
      <c r="DC13" s="102"/>
      <c r="DD13" s="102"/>
      <c r="DE13" s="102"/>
      <c r="DF13" s="102"/>
      <c r="DG13" s="102"/>
      <c r="DH13" s="102"/>
      <c r="DI13" s="102"/>
      <c r="DJ13" s="102"/>
      <c r="DK13" s="102"/>
      <c r="DL13" s="102"/>
      <c r="DM13" s="102"/>
      <c r="DN13" s="102"/>
      <c r="DO13" s="102"/>
      <c r="DP13" s="102"/>
      <c r="DQ13" s="102"/>
      <c r="DR13" s="102"/>
      <c r="DS13" s="102"/>
      <c r="DT13" s="102"/>
      <c r="DU13" s="102"/>
      <c r="DV13" s="102"/>
      <c r="DW13" s="102"/>
      <c r="DX13" s="102"/>
      <c r="DY13" s="102"/>
      <c r="DZ13" s="102"/>
      <c r="EA13" s="102"/>
      <c r="EB13" s="102"/>
      <c r="EC13" s="102"/>
      <c r="ED13" s="102"/>
      <c r="EE13" s="102"/>
      <c r="EF13" s="102"/>
      <c r="EG13" s="102"/>
      <c r="EH13" s="102"/>
      <c r="EI13" s="102"/>
      <c r="EJ13" s="102"/>
      <c r="EK13" s="102"/>
      <c r="EL13" s="102"/>
      <c r="EM13" s="102"/>
      <c r="EN13" s="102"/>
      <c r="EO13" s="102"/>
      <c r="EP13" s="102"/>
      <c r="EQ13" s="102"/>
      <c r="ER13" s="102"/>
      <c r="ES13" s="102"/>
      <c r="ET13" s="102"/>
      <c r="EU13" s="102"/>
      <c r="EV13" s="102"/>
      <c r="EW13" s="102"/>
      <c r="EX13" s="102"/>
      <c r="EY13" s="102"/>
      <c r="EZ13" s="102"/>
      <c r="FA13" s="102"/>
      <c r="FB13" s="102"/>
      <c r="FC13" s="102"/>
      <c r="FD13" s="102"/>
      <c r="FE13" s="102"/>
      <c r="FF13" s="102"/>
      <c r="FG13" s="102"/>
      <c r="FH13" s="102"/>
      <c r="FI13" s="102"/>
      <c r="FJ13" s="102"/>
      <c r="FK13" s="102"/>
      <c r="FL13" s="102"/>
      <c r="FM13" s="102"/>
      <c r="FN13" s="102"/>
      <c r="FO13" s="102"/>
      <c r="FP13" s="102"/>
      <c r="FQ13" s="102"/>
      <c r="FR13" s="102"/>
      <c r="FS13" s="102"/>
      <c r="FT13" s="102"/>
      <c r="FU13" s="102"/>
      <c r="FV13" s="102"/>
      <c r="FW13" s="102"/>
      <c r="FX13" s="102"/>
      <c r="FY13" s="102"/>
      <c r="FZ13" s="102"/>
      <c r="GA13" s="102"/>
      <c r="GB13" s="102"/>
      <c r="GC13" s="102"/>
      <c r="GD13" s="102"/>
      <c r="GE13" s="102"/>
      <c r="GF13" s="102"/>
      <c r="GG13" s="102"/>
      <c r="GH13" s="102"/>
      <c r="GI13" s="102"/>
      <c r="GJ13" s="102"/>
      <c r="GK13" s="102"/>
      <c r="GL13" s="102"/>
      <c r="GM13" s="102"/>
      <c r="GN13" s="102"/>
      <c r="GO13" s="102"/>
      <c r="GP13" s="102"/>
      <c r="GQ13" s="102"/>
      <c r="GR13" s="102"/>
      <c r="GS13" s="102"/>
      <c r="GT13" s="102"/>
      <c r="GU13" s="102"/>
      <c r="GV13" s="102"/>
      <c r="GW13" s="102"/>
      <c r="GX13" s="102"/>
      <c r="GY13" s="102"/>
      <c r="GZ13" s="102"/>
      <c r="HA13" s="102"/>
      <c r="HB13" s="102"/>
      <c r="HC13" s="102"/>
      <c r="HD13" s="102"/>
      <c r="HE13" s="102"/>
      <c r="HF13" s="102"/>
      <c r="HG13" s="102"/>
      <c r="HH13" s="102"/>
      <c r="HI13" s="102"/>
      <c r="HJ13" s="102"/>
      <c r="HK13" s="102"/>
      <c r="HL13" s="102"/>
      <c r="HM13" s="102"/>
      <c r="HN13" s="102"/>
      <c r="HO13" s="102"/>
      <c r="HP13" s="102"/>
      <c r="HQ13" s="102"/>
      <c r="HR13" s="102"/>
      <c r="HS13" s="102"/>
      <c r="HT13" s="102"/>
      <c r="HU13" s="102"/>
      <c r="HV13" s="102"/>
      <c r="HW13" s="102"/>
      <c r="HX13" s="102"/>
      <c r="HY13" s="102"/>
      <c r="HZ13" s="102"/>
      <c r="IA13" s="102"/>
      <c r="IB13" s="102"/>
      <c r="IC13" s="102"/>
      <c r="ID13" s="102"/>
      <c r="IE13" s="102"/>
      <c r="IF13" s="102"/>
      <c r="IG13" s="102"/>
      <c r="IH13" s="102"/>
      <c r="II13" s="102"/>
      <c r="IJ13" s="102"/>
      <c r="IK13" s="102"/>
      <c r="IL13" s="102"/>
      <c r="IM13" s="102"/>
      <c r="IN13" s="102"/>
      <c r="IO13" s="102"/>
      <c r="IP13" s="102"/>
      <c r="IQ13" s="102"/>
      <c r="IR13" s="102"/>
      <c r="IS13" s="102"/>
      <c r="IT13" s="102"/>
      <c r="IU13" s="102"/>
      <c r="IV13" s="102"/>
    </row>
    <row r="14" spans="1:256">
      <c r="A14" s="103">
        <v>1950</v>
      </c>
      <c r="B14" s="104">
        <v>6500</v>
      </c>
      <c r="C14" s="105">
        <v>7200</v>
      </c>
      <c r="D14" s="106">
        <v>8600</v>
      </c>
      <c r="E14" s="102">
        <v>9546</v>
      </c>
      <c r="F14" s="106">
        <v>9800</v>
      </c>
      <c r="G14" s="102">
        <v>10878</v>
      </c>
      <c r="H14" s="106">
        <v>10500</v>
      </c>
      <c r="I14" s="102">
        <v>11655</v>
      </c>
      <c r="J14" s="106">
        <v>11400</v>
      </c>
      <c r="K14" s="102">
        <v>12654</v>
      </c>
      <c r="L14" s="106">
        <v>12400</v>
      </c>
      <c r="M14" s="102">
        <v>13764</v>
      </c>
      <c r="N14" s="106">
        <v>13200</v>
      </c>
      <c r="O14" s="102">
        <v>14652</v>
      </c>
      <c r="P14" s="106">
        <v>13900</v>
      </c>
      <c r="Q14" s="102">
        <v>15429</v>
      </c>
      <c r="R14" s="107">
        <v>0.11</v>
      </c>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c r="BN14" s="102"/>
      <c r="BO14" s="102"/>
      <c r="BP14" s="102"/>
      <c r="BQ14" s="102"/>
      <c r="BR14" s="102"/>
      <c r="BS14" s="102"/>
      <c r="BT14" s="102"/>
      <c r="BU14" s="102"/>
      <c r="BV14" s="102"/>
      <c r="BW14" s="102"/>
      <c r="BX14" s="102"/>
      <c r="BY14" s="102"/>
      <c r="BZ14" s="102"/>
      <c r="CA14" s="102"/>
      <c r="CB14" s="102"/>
      <c r="CC14" s="102"/>
      <c r="CD14" s="102"/>
      <c r="CE14" s="102"/>
      <c r="CF14" s="102"/>
      <c r="CG14" s="102"/>
      <c r="CH14" s="102"/>
      <c r="CI14" s="102"/>
      <c r="CJ14" s="102"/>
      <c r="CK14" s="102"/>
      <c r="CL14" s="102"/>
      <c r="CM14" s="102"/>
      <c r="CN14" s="102"/>
      <c r="CO14" s="102"/>
      <c r="CP14" s="102"/>
      <c r="CQ14" s="102"/>
      <c r="CR14" s="102"/>
      <c r="CS14" s="102"/>
      <c r="CT14" s="102"/>
      <c r="CU14" s="102"/>
      <c r="CV14" s="102"/>
      <c r="CW14" s="102"/>
      <c r="CX14" s="102"/>
      <c r="CY14" s="102"/>
      <c r="CZ14" s="102"/>
      <c r="DA14" s="102"/>
      <c r="DB14" s="102"/>
      <c r="DC14" s="102"/>
      <c r="DD14" s="102"/>
      <c r="DE14" s="102"/>
      <c r="DF14" s="102"/>
      <c r="DG14" s="102"/>
      <c r="DH14" s="102"/>
      <c r="DI14" s="102"/>
      <c r="DJ14" s="102"/>
      <c r="DK14" s="102"/>
      <c r="DL14" s="102"/>
      <c r="DM14" s="102"/>
      <c r="DN14" s="102"/>
      <c r="DO14" s="102"/>
      <c r="DP14" s="102"/>
      <c r="DQ14" s="102"/>
      <c r="DR14" s="102"/>
      <c r="DS14" s="102"/>
      <c r="DT14" s="102"/>
      <c r="DU14" s="102"/>
      <c r="DV14" s="102"/>
      <c r="DW14" s="102"/>
      <c r="DX14" s="102"/>
      <c r="DY14" s="102"/>
      <c r="DZ14" s="102"/>
      <c r="EA14" s="102"/>
      <c r="EB14" s="102"/>
      <c r="EC14" s="102"/>
      <c r="ED14" s="102"/>
      <c r="EE14" s="102"/>
      <c r="EF14" s="102"/>
      <c r="EG14" s="102"/>
      <c r="EH14" s="102"/>
      <c r="EI14" s="102"/>
      <c r="EJ14" s="102"/>
      <c r="EK14" s="102"/>
      <c r="EL14" s="102"/>
      <c r="EM14" s="102"/>
      <c r="EN14" s="102"/>
      <c r="EO14" s="102"/>
      <c r="EP14" s="102"/>
      <c r="EQ14" s="102"/>
      <c r="ER14" s="102"/>
      <c r="ES14" s="102"/>
      <c r="ET14" s="102"/>
      <c r="EU14" s="102"/>
      <c r="EV14" s="102"/>
      <c r="EW14" s="102"/>
      <c r="EX14" s="102"/>
      <c r="EY14" s="102"/>
      <c r="EZ14" s="102"/>
      <c r="FA14" s="102"/>
      <c r="FB14" s="102"/>
      <c r="FC14" s="102"/>
      <c r="FD14" s="102"/>
      <c r="FE14" s="102"/>
      <c r="FF14" s="102"/>
      <c r="FG14" s="102"/>
      <c r="FH14" s="102"/>
      <c r="FI14" s="102"/>
      <c r="FJ14" s="102"/>
      <c r="FK14" s="102"/>
      <c r="FL14" s="102"/>
      <c r="FM14" s="102"/>
      <c r="FN14" s="102"/>
      <c r="FO14" s="102"/>
      <c r="FP14" s="102"/>
      <c r="FQ14" s="102"/>
      <c r="FR14" s="102"/>
      <c r="FS14" s="102"/>
      <c r="FT14" s="102"/>
      <c r="FU14" s="102"/>
      <c r="FV14" s="102"/>
      <c r="FW14" s="102"/>
      <c r="FX14" s="102"/>
      <c r="FY14" s="102"/>
      <c r="FZ14" s="102"/>
      <c r="GA14" s="102"/>
      <c r="GB14" s="102"/>
      <c r="GC14" s="102"/>
      <c r="GD14" s="102"/>
      <c r="GE14" s="102"/>
      <c r="GF14" s="102"/>
      <c r="GG14" s="102"/>
      <c r="GH14" s="102"/>
      <c r="GI14" s="102"/>
      <c r="GJ14" s="102"/>
      <c r="GK14" s="102"/>
      <c r="GL14" s="102"/>
      <c r="GM14" s="102"/>
      <c r="GN14" s="102"/>
      <c r="GO14" s="102"/>
      <c r="GP14" s="102"/>
      <c r="GQ14" s="102"/>
      <c r="GR14" s="102"/>
      <c r="GS14" s="102"/>
      <c r="GT14" s="102"/>
      <c r="GU14" s="102"/>
      <c r="GV14" s="102"/>
      <c r="GW14" s="102"/>
      <c r="GX14" s="102"/>
      <c r="GY14" s="102"/>
      <c r="GZ14" s="102"/>
      <c r="HA14" s="102"/>
      <c r="HB14" s="102"/>
      <c r="HC14" s="102"/>
      <c r="HD14" s="102"/>
      <c r="HE14" s="102"/>
      <c r="HF14" s="102"/>
      <c r="HG14" s="102"/>
      <c r="HH14" s="102"/>
      <c r="HI14" s="102"/>
      <c r="HJ14" s="102"/>
      <c r="HK14" s="102"/>
      <c r="HL14" s="102"/>
      <c r="HM14" s="102"/>
      <c r="HN14" s="102"/>
      <c r="HO14" s="102"/>
      <c r="HP14" s="102"/>
      <c r="HQ14" s="102"/>
      <c r="HR14" s="102"/>
      <c r="HS14" s="102"/>
      <c r="HT14" s="102"/>
      <c r="HU14" s="102"/>
      <c r="HV14" s="102"/>
      <c r="HW14" s="102"/>
      <c r="HX14" s="102"/>
      <c r="HY14" s="102"/>
      <c r="HZ14" s="102"/>
      <c r="IA14" s="102"/>
      <c r="IB14" s="102"/>
      <c r="IC14" s="102"/>
      <c r="ID14" s="102"/>
      <c r="IE14" s="102"/>
      <c r="IF14" s="102"/>
      <c r="IG14" s="102"/>
      <c r="IH14" s="102"/>
      <c r="II14" s="102"/>
      <c r="IJ14" s="102"/>
      <c r="IK14" s="102"/>
      <c r="IL14" s="102"/>
      <c r="IM14" s="102"/>
      <c r="IN14" s="102"/>
      <c r="IO14" s="102"/>
      <c r="IP14" s="102"/>
      <c r="IQ14" s="102"/>
      <c r="IR14" s="102"/>
      <c r="IS14" s="102"/>
      <c r="IT14" s="102"/>
      <c r="IU14" s="102"/>
      <c r="IV14" s="102"/>
    </row>
    <row r="15" spans="1:256">
      <c r="A15" s="108">
        <v>2100</v>
      </c>
      <c r="B15" s="109">
        <v>6200</v>
      </c>
      <c r="C15" s="99">
        <v>6900</v>
      </c>
      <c r="D15" s="100">
        <v>8100</v>
      </c>
      <c r="E15" s="100">
        <v>8991</v>
      </c>
      <c r="F15" s="100">
        <v>9200</v>
      </c>
      <c r="G15" s="100">
        <v>10212</v>
      </c>
      <c r="H15" s="100">
        <v>9900</v>
      </c>
      <c r="I15" s="100">
        <v>10989</v>
      </c>
      <c r="J15" s="100">
        <v>10600</v>
      </c>
      <c r="K15" s="100">
        <v>11766</v>
      </c>
      <c r="L15" s="100">
        <v>11600</v>
      </c>
      <c r="M15" s="100">
        <v>12876</v>
      </c>
      <c r="N15" s="100">
        <v>12400</v>
      </c>
      <c r="O15" s="100">
        <v>13764</v>
      </c>
      <c r="P15" s="100">
        <v>13100</v>
      </c>
      <c r="Q15" s="100">
        <v>14541</v>
      </c>
      <c r="R15" s="101">
        <v>0.11</v>
      </c>
      <c r="S15" s="102"/>
      <c r="T15" s="102"/>
      <c r="U15" s="102"/>
      <c r="V15" s="102"/>
      <c r="W15" s="102"/>
      <c r="X15" s="102"/>
      <c r="Y15" s="102"/>
      <c r="Z15" s="102"/>
      <c r="AA15" s="102"/>
      <c r="AB15" s="102"/>
      <c r="AC15" s="102"/>
      <c r="AD15" s="102"/>
      <c r="AE15" s="102"/>
      <c r="AF15" s="102"/>
      <c r="AG15" s="102"/>
      <c r="AH15" s="102"/>
      <c r="AI15" s="102"/>
      <c r="AJ15" s="102"/>
      <c r="AK15" s="102"/>
      <c r="AL15" s="102"/>
      <c r="AM15" s="102"/>
      <c r="AN15" s="102"/>
      <c r="AO15" s="102"/>
      <c r="AP15" s="102"/>
      <c r="AQ15" s="102"/>
      <c r="AR15" s="102"/>
      <c r="AS15" s="102"/>
      <c r="AT15" s="102"/>
      <c r="AU15" s="102"/>
      <c r="AV15" s="102"/>
      <c r="AW15" s="102"/>
      <c r="AX15" s="102"/>
      <c r="AY15" s="102"/>
      <c r="AZ15" s="102"/>
      <c r="BA15" s="102"/>
      <c r="BB15" s="102"/>
      <c r="BC15" s="102"/>
      <c r="BD15" s="102"/>
      <c r="BE15" s="102"/>
      <c r="BF15" s="102"/>
      <c r="BG15" s="102"/>
      <c r="BH15" s="102"/>
      <c r="BI15" s="102"/>
      <c r="BJ15" s="102"/>
      <c r="BK15" s="102"/>
      <c r="BL15" s="102"/>
      <c r="BM15" s="102"/>
      <c r="BN15" s="102"/>
      <c r="BO15" s="102"/>
      <c r="BP15" s="102"/>
      <c r="BQ15" s="102"/>
      <c r="BR15" s="102"/>
      <c r="BS15" s="102"/>
      <c r="BT15" s="102"/>
      <c r="BU15" s="102"/>
      <c r="BV15" s="102"/>
      <c r="BW15" s="102"/>
      <c r="BX15" s="102"/>
      <c r="BY15" s="102"/>
      <c r="BZ15" s="102"/>
      <c r="CA15" s="102"/>
      <c r="CB15" s="102"/>
      <c r="CC15" s="102"/>
      <c r="CD15" s="102"/>
      <c r="CE15" s="102"/>
      <c r="CF15" s="102"/>
      <c r="CG15" s="102"/>
      <c r="CH15" s="102"/>
      <c r="CI15" s="102"/>
      <c r="CJ15" s="102"/>
      <c r="CK15" s="102"/>
      <c r="CL15" s="102"/>
      <c r="CM15" s="102"/>
      <c r="CN15" s="102"/>
      <c r="CO15" s="102"/>
      <c r="CP15" s="102"/>
      <c r="CQ15" s="102"/>
      <c r="CR15" s="102"/>
      <c r="CS15" s="102"/>
      <c r="CT15" s="102"/>
      <c r="CU15" s="102"/>
      <c r="CV15" s="102"/>
      <c r="CW15" s="102"/>
      <c r="CX15" s="102"/>
      <c r="CY15" s="102"/>
      <c r="CZ15" s="102"/>
      <c r="DA15" s="102"/>
      <c r="DB15" s="102"/>
      <c r="DC15" s="102"/>
      <c r="DD15" s="102"/>
      <c r="DE15" s="102"/>
      <c r="DF15" s="102"/>
      <c r="DG15" s="102"/>
      <c r="DH15" s="102"/>
      <c r="DI15" s="102"/>
      <c r="DJ15" s="102"/>
      <c r="DK15" s="102"/>
      <c r="DL15" s="102"/>
      <c r="DM15" s="102"/>
      <c r="DN15" s="102"/>
      <c r="DO15" s="102"/>
      <c r="DP15" s="102"/>
      <c r="DQ15" s="102"/>
      <c r="DR15" s="102"/>
      <c r="DS15" s="102"/>
      <c r="DT15" s="102"/>
      <c r="DU15" s="102"/>
      <c r="DV15" s="102"/>
      <c r="DW15" s="102"/>
      <c r="DX15" s="102"/>
      <c r="DY15" s="102"/>
      <c r="DZ15" s="102"/>
      <c r="EA15" s="102"/>
      <c r="EB15" s="102"/>
      <c r="EC15" s="102"/>
      <c r="ED15" s="102"/>
      <c r="EE15" s="102"/>
      <c r="EF15" s="102"/>
      <c r="EG15" s="102"/>
      <c r="EH15" s="102"/>
      <c r="EI15" s="102"/>
      <c r="EJ15" s="102"/>
      <c r="EK15" s="102"/>
      <c r="EL15" s="102"/>
      <c r="EM15" s="102"/>
      <c r="EN15" s="102"/>
      <c r="EO15" s="102"/>
      <c r="EP15" s="102"/>
      <c r="EQ15" s="102"/>
      <c r="ER15" s="102"/>
      <c r="ES15" s="102"/>
      <c r="ET15" s="102"/>
      <c r="EU15" s="102"/>
      <c r="EV15" s="102"/>
      <c r="EW15" s="102"/>
      <c r="EX15" s="102"/>
      <c r="EY15" s="102"/>
      <c r="EZ15" s="102"/>
      <c r="FA15" s="102"/>
      <c r="FB15" s="102"/>
      <c r="FC15" s="102"/>
      <c r="FD15" s="102"/>
      <c r="FE15" s="102"/>
      <c r="FF15" s="102"/>
      <c r="FG15" s="102"/>
      <c r="FH15" s="102"/>
      <c r="FI15" s="102"/>
      <c r="FJ15" s="102"/>
      <c r="FK15" s="102"/>
      <c r="FL15" s="102"/>
      <c r="FM15" s="102"/>
      <c r="FN15" s="102"/>
      <c r="FO15" s="102"/>
      <c r="FP15" s="102"/>
      <c r="FQ15" s="102"/>
      <c r="FR15" s="102"/>
      <c r="FS15" s="102"/>
      <c r="FT15" s="102"/>
      <c r="FU15" s="102"/>
      <c r="FV15" s="102"/>
      <c r="FW15" s="102"/>
      <c r="FX15" s="102"/>
      <c r="FY15" s="102"/>
      <c r="FZ15" s="102"/>
      <c r="GA15" s="102"/>
      <c r="GB15" s="102"/>
      <c r="GC15" s="102"/>
      <c r="GD15" s="102"/>
      <c r="GE15" s="102"/>
      <c r="GF15" s="102"/>
      <c r="GG15" s="102"/>
      <c r="GH15" s="102"/>
      <c r="GI15" s="102"/>
      <c r="GJ15" s="102"/>
      <c r="GK15" s="102"/>
      <c r="GL15" s="102"/>
      <c r="GM15" s="102"/>
      <c r="GN15" s="102"/>
      <c r="GO15" s="102"/>
      <c r="GP15" s="102"/>
      <c r="GQ15" s="102"/>
      <c r="GR15" s="102"/>
      <c r="GS15" s="102"/>
      <c r="GT15" s="102"/>
      <c r="GU15" s="102"/>
      <c r="GV15" s="102"/>
      <c r="GW15" s="102"/>
      <c r="GX15" s="102"/>
      <c r="GY15" s="102"/>
      <c r="GZ15" s="102"/>
      <c r="HA15" s="102"/>
      <c r="HB15" s="102"/>
      <c r="HC15" s="102"/>
      <c r="HD15" s="102"/>
      <c r="HE15" s="102"/>
      <c r="HF15" s="102"/>
      <c r="HG15" s="102"/>
      <c r="HH15" s="102"/>
      <c r="HI15" s="102"/>
      <c r="HJ15" s="102"/>
      <c r="HK15" s="102"/>
      <c r="HL15" s="102"/>
      <c r="HM15" s="102"/>
      <c r="HN15" s="102"/>
      <c r="HO15" s="102"/>
      <c r="HP15" s="102"/>
      <c r="HQ15" s="102"/>
      <c r="HR15" s="102"/>
      <c r="HS15" s="102"/>
      <c r="HT15" s="102"/>
      <c r="HU15" s="102"/>
      <c r="HV15" s="102"/>
      <c r="HW15" s="102"/>
      <c r="HX15" s="102"/>
      <c r="HY15" s="102"/>
      <c r="HZ15" s="102"/>
      <c r="IA15" s="102"/>
      <c r="IB15" s="102"/>
      <c r="IC15" s="102"/>
      <c r="ID15" s="102"/>
      <c r="IE15" s="102"/>
      <c r="IF15" s="102"/>
      <c r="IG15" s="102"/>
      <c r="IH15" s="102"/>
      <c r="II15" s="102"/>
      <c r="IJ15" s="102"/>
      <c r="IK15" s="102"/>
      <c r="IL15" s="102"/>
      <c r="IM15" s="102"/>
      <c r="IN15" s="102"/>
      <c r="IO15" s="102"/>
      <c r="IP15" s="102"/>
      <c r="IQ15" s="102"/>
      <c r="IR15" s="102"/>
      <c r="IS15" s="102"/>
      <c r="IT15" s="102"/>
      <c r="IU15" s="102"/>
      <c r="IV15" s="102"/>
    </row>
    <row r="16" spans="1:256">
      <c r="A16" s="103">
        <v>2250</v>
      </c>
      <c r="B16" s="104">
        <v>5900</v>
      </c>
      <c r="C16" s="105">
        <v>6600</v>
      </c>
      <c r="D16" s="106">
        <v>7500</v>
      </c>
      <c r="E16" s="102">
        <v>8250</v>
      </c>
      <c r="F16" s="106">
        <v>8600</v>
      </c>
      <c r="G16" s="102">
        <v>9460</v>
      </c>
      <c r="H16" s="106">
        <v>9200</v>
      </c>
      <c r="I16" s="102">
        <v>10120</v>
      </c>
      <c r="J16" s="106">
        <v>9800</v>
      </c>
      <c r="K16" s="102">
        <v>10780</v>
      </c>
      <c r="L16" s="106">
        <v>10700</v>
      </c>
      <c r="M16" s="102">
        <v>11770</v>
      </c>
      <c r="N16" s="106">
        <v>11400</v>
      </c>
      <c r="O16" s="102">
        <v>12540</v>
      </c>
      <c r="P16" s="106">
        <v>12100</v>
      </c>
      <c r="Q16" s="102">
        <v>13310</v>
      </c>
      <c r="R16" s="107">
        <v>0.1</v>
      </c>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02"/>
      <c r="BO16" s="102"/>
      <c r="BP16" s="102"/>
      <c r="BQ16" s="102"/>
      <c r="BR16" s="102"/>
      <c r="BS16" s="102"/>
      <c r="BT16" s="102"/>
      <c r="BU16" s="102"/>
      <c r="BV16" s="102"/>
      <c r="BW16" s="102"/>
      <c r="BX16" s="102"/>
      <c r="BY16" s="102"/>
      <c r="BZ16" s="102"/>
      <c r="CA16" s="102"/>
      <c r="CB16" s="102"/>
      <c r="CC16" s="102"/>
      <c r="CD16" s="102"/>
      <c r="CE16" s="102"/>
      <c r="CF16" s="102"/>
      <c r="CG16" s="102"/>
      <c r="CH16" s="102"/>
      <c r="CI16" s="102"/>
      <c r="CJ16" s="102"/>
      <c r="CK16" s="102"/>
      <c r="CL16" s="102"/>
      <c r="CM16" s="102"/>
      <c r="CN16" s="102"/>
      <c r="CO16" s="102"/>
      <c r="CP16" s="102"/>
      <c r="CQ16" s="102"/>
      <c r="CR16" s="102"/>
      <c r="CS16" s="102"/>
      <c r="CT16" s="102"/>
      <c r="CU16" s="102"/>
      <c r="CV16" s="102"/>
      <c r="CW16" s="102"/>
      <c r="CX16" s="102"/>
      <c r="CY16" s="102"/>
      <c r="CZ16" s="102"/>
      <c r="DA16" s="102"/>
      <c r="DB16" s="102"/>
      <c r="DC16" s="102"/>
      <c r="DD16" s="102"/>
      <c r="DE16" s="102"/>
      <c r="DF16" s="102"/>
      <c r="DG16" s="102"/>
      <c r="DH16" s="102"/>
      <c r="DI16" s="102"/>
      <c r="DJ16" s="102"/>
      <c r="DK16" s="102"/>
      <c r="DL16" s="102"/>
      <c r="DM16" s="102"/>
      <c r="DN16" s="102"/>
      <c r="DO16" s="102"/>
      <c r="DP16" s="102"/>
      <c r="DQ16" s="102"/>
      <c r="DR16" s="102"/>
      <c r="DS16" s="102"/>
      <c r="DT16" s="102"/>
      <c r="DU16" s="102"/>
      <c r="DV16" s="102"/>
      <c r="DW16" s="102"/>
      <c r="DX16" s="102"/>
      <c r="DY16" s="102"/>
      <c r="DZ16" s="102"/>
      <c r="EA16" s="102"/>
      <c r="EB16" s="102"/>
      <c r="EC16" s="102"/>
      <c r="ED16" s="102"/>
      <c r="EE16" s="102"/>
      <c r="EF16" s="102"/>
      <c r="EG16" s="102"/>
      <c r="EH16" s="102"/>
      <c r="EI16" s="102"/>
      <c r="EJ16" s="102"/>
      <c r="EK16" s="102"/>
      <c r="EL16" s="102"/>
      <c r="EM16" s="102"/>
      <c r="EN16" s="102"/>
      <c r="EO16" s="102"/>
      <c r="EP16" s="102"/>
      <c r="EQ16" s="102"/>
      <c r="ER16" s="102"/>
      <c r="ES16" s="102"/>
      <c r="ET16" s="102"/>
      <c r="EU16" s="102"/>
      <c r="EV16" s="102"/>
      <c r="EW16" s="102"/>
      <c r="EX16" s="102"/>
      <c r="EY16" s="102"/>
      <c r="EZ16" s="102"/>
      <c r="FA16" s="102"/>
      <c r="FB16" s="102"/>
      <c r="FC16" s="102"/>
      <c r="FD16" s="102"/>
      <c r="FE16" s="102"/>
      <c r="FF16" s="102"/>
      <c r="FG16" s="102"/>
      <c r="FH16" s="102"/>
      <c r="FI16" s="102"/>
      <c r="FJ16" s="102"/>
      <c r="FK16" s="102"/>
      <c r="FL16" s="102"/>
      <c r="FM16" s="102"/>
      <c r="FN16" s="102"/>
      <c r="FO16" s="102"/>
      <c r="FP16" s="102"/>
      <c r="FQ16" s="102"/>
      <c r="FR16" s="102"/>
      <c r="FS16" s="102"/>
      <c r="FT16" s="102"/>
      <c r="FU16" s="102"/>
      <c r="FV16" s="102"/>
      <c r="FW16" s="102"/>
      <c r="FX16" s="102"/>
      <c r="FY16" s="102"/>
      <c r="FZ16" s="102"/>
      <c r="GA16" s="102"/>
      <c r="GB16" s="102"/>
      <c r="GC16" s="102"/>
      <c r="GD16" s="102"/>
      <c r="GE16" s="102"/>
      <c r="GF16" s="102"/>
      <c r="GG16" s="102"/>
      <c r="GH16" s="102"/>
      <c r="GI16" s="102"/>
      <c r="GJ16" s="102"/>
      <c r="GK16" s="102"/>
      <c r="GL16" s="102"/>
      <c r="GM16" s="102"/>
      <c r="GN16" s="102"/>
      <c r="GO16" s="102"/>
      <c r="GP16" s="102"/>
      <c r="GQ16" s="102"/>
      <c r="GR16" s="102"/>
      <c r="GS16" s="102"/>
      <c r="GT16" s="102"/>
      <c r="GU16" s="102"/>
      <c r="GV16" s="102"/>
      <c r="GW16" s="102"/>
      <c r="GX16" s="102"/>
      <c r="GY16" s="102"/>
      <c r="GZ16" s="102"/>
      <c r="HA16" s="102"/>
      <c r="HB16" s="102"/>
      <c r="HC16" s="102"/>
      <c r="HD16" s="102"/>
      <c r="HE16" s="102"/>
      <c r="HF16" s="102"/>
      <c r="HG16" s="102"/>
      <c r="HH16" s="102"/>
      <c r="HI16" s="102"/>
      <c r="HJ16" s="102"/>
      <c r="HK16" s="102"/>
      <c r="HL16" s="102"/>
      <c r="HM16" s="102"/>
      <c r="HN16" s="102"/>
      <c r="HO16" s="102"/>
      <c r="HP16" s="102"/>
      <c r="HQ16" s="102"/>
      <c r="HR16" s="102"/>
      <c r="HS16" s="102"/>
      <c r="HT16" s="102"/>
      <c r="HU16" s="102"/>
      <c r="HV16" s="102"/>
      <c r="HW16" s="102"/>
      <c r="HX16" s="102"/>
      <c r="HY16" s="102"/>
      <c r="HZ16" s="102"/>
      <c r="IA16" s="102"/>
      <c r="IB16" s="102"/>
      <c r="IC16" s="102"/>
      <c r="ID16" s="102"/>
      <c r="IE16" s="102"/>
      <c r="IF16" s="102"/>
      <c r="IG16" s="102"/>
      <c r="IH16" s="102"/>
      <c r="II16" s="102"/>
      <c r="IJ16" s="102"/>
      <c r="IK16" s="102"/>
      <c r="IL16" s="102"/>
      <c r="IM16" s="102"/>
      <c r="IN16" s="102"/>
      <c r="IO16" s="102"/>
      <c r="IP16" s="102"/>
      <c r="IQ16" s="102"/>
      <c r="IR16" s="102"/>
      <c r="IS16" s="102"/>
      <c r="IT16" s="102"/>
      <c r="IU16" s="102"/>
      <c r="IV16" s="102"/>
    </row>
    <row r="17" spans="1:256">
      <c r="A17" s="108">
        <v>2400</v>
      </c>
      <c r="B17" s="109">
        <v>5500</v>
      </c>
      <c r="C17" s="99">
        <v>6200</v>
      </c>
      <c r="D17" s="100">
        <v>6900</v>
      </c>
      <c r="E17" s="100">
        <v>7590</v>
      </c>
      <c r="F17" s="100">
        <v>7900</v>
      </c>
      <c r="G17" s="100">
        <v>8690</v>
      </c>
      <c r="H17" s="100">
        <v>8400</v>
      </c>
      <c r="I17" s="100">
        <v>9240</v>
      </c>
      <c r="J17" s="100">
        <v>9000</v>
      </c>
      <c r="K17" s="100">
        <v>9900</v>
      </c>
      <c r="L17" s="100">
        <v>9800</v>
      </c>
      <c r="M17" s="100">
        <v>10780</v>
      </c>
      <c r="N17" s="100">
        <v>10400</v>
      </c>
      <c r="O17" s="100">
        <v>11440</v>
      </c>
      <c r="P17" s="100">
        <v>11100</v>
      </c>
      <c r="Q17" s="100">
        <v>12210</v>
      </c>
      <c r="R17" s="101">
        <v>0.1</v>
      </c>
      <c r="S17" s="102"/>
      <c r="T17" s="102"/>
      <c r="U17" s="102"/>
      <c r="V17" s="102"/>
      <c r="W17" s="102"/>
      <c r="X17" s="102"/>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c r="BA17" s="102"/>
      <c r="BB17" s="102"/>
      <c r="BC17" s="102"/>
      <c r="BD17" s="102"/>
      <c r="BE17" s="102"/>
      <c r="BF17" s="102"/>
      <c r="BG17" s="102"/>
      <c r="BH17" s="102"/>
      <c r="BI17" s="102"/>
      <c r="BJ17" s="102"/>
      <c r="BK17" s="102"/>
      <c r="BL17" s="102"/>
      <c r="BM17" s="102"/>
      <c r="BN17" s="102"/>
      <c r="BO17" s="102"/>
      <c r="BP17" s="102"/>
      <c r="BQ17" s="102"/>
      <c r="BR17" s="102"/>
      <c r="BS17" s="102"/>
      <c r="BT17" s="102"/>
      <c r="BU17" s="102"/>
      <c r="BV17" s="102"/>
      <c r="BW17" s="102"/>
      <c r="BX17" s="102"/>
      <c r="BY17" s="102"/>
      <c r="BZ17" s="102"/>
      <c r="CA17" s="102"/>
      <c r="CB17" s="102"/>
      <c r="CC17" s="102"/>
      <c r="CD17" s="102"/>
      <c r="CE17" s="102"/>
      <c r="CF17" s="102"/>
      <c r="CG17" s="102"/>
      <c r="CH17" s="102"/>
      <c r="CI17" s="102"/>
      <c r="CJ17" s="102"/>
      <c r="CK17" s="102"/>
      <c r="CL17" s="102"/>
      <c r="CM17" s="102"/>
      <c r="CN17" s="102"/>
      <c r="CO17" s="102"/>
      <c r="CP17" s="102"/>
      <c r="CQ17" s="102"/>
      <c r="CR17" s="102"/>
      <c r="CS17" s="102"/>
      <c r="CT17" s="102"/>
      <c r="CU17" s="102"/>
      <c r="CV17" s="102"/>
      <c r="CW17" s="102"/>
      <c r="CX17" s="102"/>
      <c r="CY17" s="102"/>
      <c r="CZ17" s="102"/>
      <c r="DA17" s="102"/>
      <c r="DB17" s="102"/>
      <c r="DC17" s="102"/>
      <c r="DD17" s="102"/>
      <c r="DE17" s="102"/>
      <c r="DF17" s="102"/>
      <c r="DG17" s="102"/>
      <c r="DH17" s="102"/>
      <c r="DI17" s="102"/>
      <c r="DJ17" s="102"/>
      <c r="DK17" s="102"/>
      <c r="DL17" s="102"/>
      <c r="DM17" s="102"/>
      <c r="DN17" s="102"/>
      <c r="DO17" s="102"/>
      <c r="DP17" s="102"/>
      <c r="DQ17" s="102"/>
      <c r="DR17" s="102"/>
      <c r="DS17" s="102"/>
      <c r="DT17" s="102"/>
      <c r="DU17" s="102"/>
      <c r="DV17" s="102"/>
      <c r="DW17" s="102"/>
      <c r="DX17" s="102"/>
      <c r="DY17" s="102"/>
      <c r="DZ17" s="102"/>
      <c r="EA17" s="102"/>
      <c r="EB17" s="102"/>
      <c r="EC17" s="102"/>
      <c r="ED17" s="102"/>
      <c r="EE17" s="102"/>
      <c r="EF17" s="102"/>
      <c r="EG17" s="102"/>
      <c r="EH17" s="102"/>
      <c r="EI17" s="102"/>
      <c r="EJ17" s="102"/>
      <c r="EK17" s="102"/>
      <c r="EL17" s="102"/>
      <c r="EM17" s="102"/>
      <c r="EN17" s="102"/>
      <c r="EO17" s="102"/>
      <c r="EP17" s="102"/>
      <c r="EQ17" s="102"/>
      <c r="ER17" s="102"/>
      <c r="ES17" s="102"/>
      <c r="ET17" s="102"/>
      <c r="EU17" s="102"/>
      <c r="EV17" s="102"/>
      <c r="EW17" s="102"/>
      <c r="EX17" s="102"/>
      <c r="EY17" s="102"/>
      <c r="EZ17" s="102"/>
      <c r="FA17" s="102"/>
      <c r="FB17" s="102"/>
      <c r="FC17" s="102"/>
      <c r="FD17" s="102"/>
      <c r="FE17" s="102"/>
      <c r="FF17" s="102"/>
      <c r="FG17" s="102"/>
      <c r="FH17" s="102"/>
      <c r="FI17" s="102"/>
      <c r="FJ17" s="102"/>
      <c r="FK17" s="102"/>
      <c r="FL17" s="102"/>
      <c r="FM17" s="102"/>
      <c r="FN17" s="102"/>
      <c r="FO17" s="102"/>
      <c r="FP17" s="102"/>
      <c r="FQ17" s="102"/>
      <c r="FR17" s="102"/>
      <c r="FS17" s="102"/>
      <c r="FT17" s="102"/>
      <c r="FU17" s="102"/>
      <c r="FV17" s="102"/>
      <c r="FW17" s="102"/>
      <c r="FX17" s="102"/>
      <c r="FY17" s="102"/>
      <c r="FZ17" s="102"/>
      <c r="GA17" s="102"/>
      <c r="GB17" s="102"/>
      <c r="GC17" s="102"/>
      <c r="GD17" s="102"/>
      <c r="GE17" s="102"/>
      <c r="GF17" s="102"/>
      <c r="GG17" s="102"/>
      <c r="GH17" s="102"/>
      <c r="GI17" s="102"/>
      <c r="GJ17" s="102"/>
      <c r="GK17" s="102"/>
      <c r="GL17" s="102"/>
      <c r="GM17" s="102"/>
      <c r="GN17" s="102"/>
      <c r="GO17" s="102"/>
      <c r="GP17" s="102"/>
      <c r="GQ17" s="102"/>
      <c r="GR17" s="102"/>
      <c r="GS17" s="102"/>
      <c r="GT17" s="102"/>
      <c r="GU17" s="102"/>
      <c r="GV17" s="102"/>
      <c r="GW17" s="102"/>
      <c r="GX17" s="102"/>
      <c r="GY17" s="102"/>
      <c r="GZ17" s="102"/>
      <c r="HA17" s="102"/>
      <c r="HB17" s="102"/>
      <c r="HC17" s="102"/>
      <c r="HD17" s="102"/>
      <c r="HE17" s="102"/>
      <c r="HF17" s="102"/>
      <c r="HG17" s="102"/>
      <c r="HH17" s="102"/>
      <c r="HI17" s="102"/>
      <c r="HJ17" s="102"/>
      <c r="HK17" s="102"/>
      <c r="HL17" s="102"/>
      <c r="HM17" s="102"/>
      <c r="HN17" s="102"/>
      <c r="HO17" s="102"/>
      <c r="HP17" s="102"/>
      <c r="HQ17" s="102"/>
      <c r="HR17" s="102"/>
      <c r="HS17" s="102"/>
      <c r="HT17" s="102"/>
      <c r="HU17" s="102"/>
      <c r="HV17" s="102"/>
      <c r="HW17" s="102"/>
      <c r="HX17" s="102"/>
      <c r="HY17" s="102"/>
      <c r="HZ17" s="102"/>
      <c r="IA17" s="102"/>
      <c r="IB17" s="102"/>
      <c r="IC17" s="102"/>
      <c r="ID17" s="102"/>
      <c r="IE17" s="102"/>
      <c r="IF17" s="102"/>
      <c r="IG17" s="102"/>
      <c r="IH17" s="102"/>
      <c r="II17" s="102"/>
      <c r="IJ17" s="102"/>
      <c r="IK17" s="102"/>
      <c r="IL17" s="102"/>
      <c r="IM17" s="102"/>
      <c r="IN17" s="102"/>
      <c r="IO17" s="102"/>
      <c r="IP17" s="102"/>
      <c r="IQ17" s="102"/>
      <c r="IR17" s="102"/>
      <c r="IS17" s="102"/>
      <c r="IT17" s="102"/>
      <c r="IU17" s="102"/>
      <c r="IV17" s="102"/>
    </row>
    <row r="18" spans="1:256">
      <c r="A18" s="103">
        <v>2550</v>
      </c>
      <c r="B18" s="104">
        <v>5100</v>
      </c>
      <c r="C18" s="105">
        <v>5800</v>
      </c>
      <c r="D18" s="106">
        <v>6300</v>
      </c>
      <c r="E18" s="102">
        <v>6867</v>
      </c>
      <c r="F18" s="106">
        <v>7200</v>
      </c>
      <c r="G18" s="102">
        <v>7848</v>
      </c>
      <c r="H18" s="106">
        <v>7600</v>
      </c>
      <c r="I18" s="102">
        <v>8284</v>
      </c>
      <c r="J18" s="106">
        <v>8100</v>
      </c>
      <c r="K18" s="102">
        <v>8829</v>
      </c>
      <c r="L18" s="106">
        <v>8900</v>
      </c>
      <c r="M18" s="102">
        <v>9701</v>
      </c>
      <c r="N18" s="106">
        <v>9400</v>
      </c>
      <c r="O18" s="102">
        <v>10246</v>
      </c>
      <c r="P18" s="106">
        <v>10100</v>
      </c>
      <c r="Q18" s="102">
        <v>11009</v>
      </c>
      <c r="R18" s="107">
        <v>0.09</v>
      </c>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02"/>
      <c r="BO18" s="102"/>
      <c r="BP18" s="102"/>
      <c r="BQ18" s="102"/>
      <c r="BR18" s="102"/>
      <c r="BS18" s="102"/>
      <c r="BT18" s="102"/>
      <c r="BU18" s="102"/>
      <c r="BV18" s="102"/>
      <c r="BW18" s="102"/>
      <c r="BX18" s="102"/>
      <c r="BY18" s="102"/>
      <c r="BZ18" s="102"/>
      <c r="CA18" s="102"/>
      <c r="CB18" s="102"/>
      <c r="CC18" s="102"/>
      <c r="CD18" s="102"/>
      <c r="CE18" s="102"/>
      <c r="CF18" s="102"/>
      <c r="CG18" s="102"/>
      <c r="CH18" s="102"/>
      <c r="CI18" s="102"/>
      <c r="CJ18" s="102"/>
      <c r="CK18" s="102"/>
      <c r="CL18" s="102"/>
      <c r="CM18" s="102"/>
      <c r="CN18" s="102"/>
      <c r="CO18" s="102"/>
      <c r="CP18" s="102"/>
      <c r="CQ18" s="102"/>
      <c r="CR18" s="102"/>
      <c r="CS18" s="102"/>
      <c r="CT18" s="102"/>
      <c r="CU18" s="102"/>
      <c r="CV18" s="102"/>
      <c r="CW18" s="102"/>
      <c r="CX18" s="102"/>
      <c r="CY18" s="102"/>
      <c r="CZ18" s="102"/>
      <c r="DA18" s="102"/>
      <c r="DB18" s="102"/>
      <c r="DC18" s="102"/>
      <c r="DD18" s="102"/>
      <c r="DE18" s="102"/>
      <c r="DF18" s="102"/>
      <c r="DG18" s="102"/>
      <c r="DH18" s="102"/>
      <c r="DI18" s="102"/>
      <c r="DJ18" s="102"/>
      <c r="DK18" s="102"/>
      <c r="DL18" s="102"/>
      <c r="DM18" s="102"/>
      <c r="DN18" s="102"/>
      <c r="DO18" s="102"/>
      <c r="DP18" s="102"/>
      <c r="DQ18" s="102"/>
      <c r="DR18" s="102"/>
      <c r="DS18" s="102"/>
      <c r="DT18" s="102"/>
      <c r="DU18" s="102"/>
      <c r="DV18" s="102"/>
      <c r="DW18" s="102"/>
      <c r="DX18" s="102"/>
      <c r="DY18" s="102"/>
      <c r="DZ18" s="102"/>
      <c r="EA18" s="102"/>
      <c r="EB18" s="102"/>
      <c r="EC18" s="102"/>
      <c r="ED18" s="102"/>
      <c r="EE18" s="102"/>
      <c r="EF18" s="102"/>
      <c r="EG18" s="102"/>
      <c r="EH18" s="102"/>
      <c r="EI18" s="102"/>
      <c r="EJ18" s="102"/>
      <c r="EK18" s="102"/>
      <c r="EL18" s="102"/>
      <c r="EM18" s="102"/>
      <c r="EN18" s="102"/>
      <c r="EO18" s="102"/>
      <c r="EP18" s="102"/>
      <c r="EQ18" s="102"/>
      <c r="ER18" s="102"/>
      <c r="ES18" s="102"/>
      <c r="ET18" s="102"/>
      <c r="EU18" s="102"/>
      <c r="EV18" s="102"/>
      <c r="EW18" s="102"/>
      <c r="EX18" s="102"/>
      <c r="EY18" s="102"/>
      <c r="EZ18" s="102"/>
      <c r="FA18" s="102"/>
      <c r="FB18" s="102"/>
      <c r="FC18" s="102"/>
      <c r="FD18" s="102"/>
      <c r="FE18" s="102"/>
      <c r="FF18" s="102"/>
      <c r="FG18" s="102"/>
      <c r="FH18" s="102"/>
      <c r="FI18" s="102"/>
      <c r="FJ18" s="102"/>
      <c r="FK18" s="102"/>
      <c r="FL18" s="102"/>
      <c r="FM18" s="102"/>
      <c r="FN18" s="102"/>
      <c r="FO18" s="102"/>
      <c r="FP18" s="102"/>
      <c r="FQ18" s="102"/>
      <c r="FR18" s="102"/>
      <c r="FS18" s="102"/>
      <c r="FT18" s="102"/>
      <c r="FU18" s="102"/>
      <c r="FV18" s="102"/>
      <c r="FW18" s="102"/>
      <c r="FX18" s="102"/>
      <c r="FY18" s="102"/>
      <c r="FZ18" s="102"/>
      <c r="GA18" s="102"/>
      <c r="GB18" s="102"/>
      <c r="GC18" s="102"/>
      <c r="GD18" s="102"/>
      <c r="GE18" s="102"/>
      <c r="GF18" s="102"/>
      <c r="GG18" s="102"/>
      <c r="GH18" s="102"/>
      <c r="GI18" s="102"/>
      <c r="GJ18" s="102"/>
      <c r="GK18" s="102"/>
      <c r="GL18" s="102"/>
      <c r="GM18" s="102"/>
      <c r="GN18" s="102"/>
      <c r="GO18" s="102"/>
      <c r="GP18" s="102"/>
      <c r="GQ18" s="102"/>
      <c r="GR18" s="102"/>
      <c r="GS18" s="102"/>
      <c r="GT18" s="102"/>
      <c r="GU18" s="102"/>
      <c r="GV18" s="102"/>
      <c r="GW18" s="102"/>
      <c r="GX18" s="102"/>
      <c r="GY18" s="102"/>
      <c r="GZ18" s="102"/>
      <c r="HA18" s="102"/>
      <c r="HB18" s="102"/>
      <c r="HC18" s="102"/>
      <c r="HD18" s="102"/>
      <c r="HE18" s="102"/>
      <c r="HF18" s="102"/>
      <c r="HG18" s="102"/>
      <c r="HH18" s="102"/>
      <c r="HI18" s="102"/>
      <c r="HJ18" s="102"/>
      <c r="HK18" s="102"/>
      <c r="HL18" s="102"/>
      <c r="HM18" s="102"/>
      <c r="HN18" s="102"/>
      <c r="HO18" s="102"/>
      <c r="HP18" s="102"/>
      <c r="HQ18" s="102"/>
      <c r="HR18" s="102"/>
      <c r="HS18" s="102"/>
      <c r="HT18" s="102"/>
      <c r="HU18" s="102"/>
      <c r="HV18" s="102"/>
      <c r="HW18" s="102"/>
      <c r="HX18" s="102"/>
      <c r="HY18" s="102"/>
      <c r="HZ18" s="102"/>
      <c r="IA18" s="102"/>
      <c r="IB18" s="102"/>
      <c r="IC18" s="102"/>
      <c r="ID18" s="102"/>
      <c r="IE18" s="102"/>
      <c r="IF18" s="102"/>
      <c r="IG18" s="102"/>
      <c r="IH18" s="102"/>
      <c r="II18" s="102"/>
      <c r="IJ18" s="102"/>
      <c r="IK18" s="102"/>
      <c r="IL18" s="102"/>
      <c r="IM18" s="102"/>
      <c r="IN18" s="102"/>
      <c r="IO18" s="102"/>
      <c r="IP18" s="102"/>
      <c r="IQ18" s="102"/>
      <c r="IR18" s="102"/>
      <c r="IS18" s="102"/>
      <c r="IT18" s="102"/>
      <c r="IU18" s="102"/>
      <c r="IV18" s="102"/>
    </row>
  </sheetData>
  <phoneticPr fontId="12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dimension ref="A1:L16"/>
  <sheetViews>
    <sheetView workbookViewId="0">
      <selection activeCell="O21" sqref="O21"/>
    </sheetView>
  </sheetViews>
  <sheetFormatPr defaultColWidth="8.125" defaultRowHeight="14.25" outlineLevelCol="1"/>
  <cols>
    <col min="1" max="1" width="9.625" style="47" customWidth="1"/>
    <col min="2" max="2" width="12.5" style="47" customWidth="1"/>
    <col min="3" max="3" width="9.125" style="47" customWidth="1"/>
    <col min="4" max="4" width="7.5" style="47" customWidth="1"/>
    <col min="5" max="5" width="10.375" style="47" customWidth="1"/>
    <col min="6" max="6" width="6.375" style="47" customWidth="1" outlineLevel="1"/>
    <col min="7" max="7" width="5.375" style="47" customWidth="1" outlineLevel="1"/>
    <col min="8" max="8" width="4.25" style="47" customWidth="1" outlineLevel="1"/>
    <col min="9" max="9" width="8.625" style="47" customWidth="1"/>
    <col min="10" max="16384" width="8.125" style="47"/>
  </cols>
  <sheetData>
    <row r="1" spans="1:12">
      <c r="A1" s="47" t="s">
        <v>2026</v>
      </c>
      <c r="D1" s="68" t="s">
        <v>2027</v>
      </c>
      <c r="E1" s="68" t="s">
        <v>2028</v>
      </c>
    </row>
    <row r="2" spans="1:12">
      <c r="A2" s="79" t="s">
        <v>154</v>
      </c>
      <c r="B2" s="79" t="s">
        <v>156</v>
      </c>
      <c r="C2" s="80" t="s">
        <v>2029</v>
      </c>
      <c r="D2" s="80" t="s">
        <v>2030</v>
      </c>
      <c r="E2" s="62" t="s">
        <v>2031</v>
      </c>
      <c r="H2" s="68"/>
      <c r="I2" s="68"/>
      <c r="J2" s="68"/>
      <c r="K2" s="68"/>
      <c r="L2" s="68"/>
    </row>
    <row r="3" spans="1:12">
      <c r="A3" s="81" t="s">
        <v>1845</v>
      </c>
      <c r="B3" s="80" t="s">
        <v>2032</v>
      </c>
      <c r="C3" s="82">
        <v>11250</v>
      </c>
      <c r="D3" s="62"/>
      <c r="E3" s="82">
        <v>975</v>
      </c>
      <c r="I3" s="83" t="s">
        <v>2033</v>
      </c>
    </row>
    <row r="4" spans="1:12">
      <c r="A4" s="81" t="s">
        <v>2034</v>
      </c>
      <c r="B4" s="80"/>
      <c r="C4" s="82">
        <v>1050</v>
      </c>
      <c r="D4" s="62"/>
      <c r="E4" s="62"/>
      <c r="F4" s="84" t="s">
        <v>2035</v>
      </c>
      <c r="G4" s="84" t="s">
        <v>2036</v>
      </c>
      <c r="H4" s="84" t="s">
        <v>2037</v>
      </c>
    </row>
    <row r="5" spans="1:12">
      <c r="A5" s="81" t="s">
        <v>2038</v>
      </c>
      <c r="B5" s="80" t="s">
        <v>2039</v>
      </c>
      <c r="C5" s="62">
        <f>(C4-110+40)</f>
        <v>980</v>
      </c>
      <c r="D5" s="62">
        <f>IF(G5&lt;375,2,3)</f>
        <v>2</v>
      </c>
      <c r="E5" s="62">
        <f>ROUND(H5-0.5,0)+1</f>
        <v>2</v>
      </c>
      <c r="F5" s="47">
        <f>($C$3-300)/600</f>
        <v>18.25</v>
      </c>
      <c r="G5" s="47">
        <f>(F5-D6)*600</f>
        <v>150</v>
      </c>
      <c r="H5" s="47">
        <f>($E$3-150)/600</f>
        <v>1.375</v>
      </c>
    </row>
    <row r="6" spans="1:12">
      <c r="A6" s="81" t="s">
        <v>2040</v>
      </c>
      <c r="B6" s="80" t="s">
        <v>2039</v>
      </c>
      <c r="C6" s="85">
        <f>SQRT((C4-110)^2+600^2)+40</f>
        <v>1155.16814875605</v>
      </c>
      <c r="D6" s="62">
        <f>ROUND($F$5-0.5,0)</f>
        <v>18</v>
      </c>
      <c r="E6" s="62"/>
      <c r="I6" s="47" t="s">
        <v>2041</v>
      </c>
    </row>
    <row r="7" spans="1:12">
      <c r="C7" s="86"/>
      <c r="D7" s="86"/>
      <c r="E7" s="86"/>
    </row>
    <row r="8" spans="1:12">
      <c r="A8" s="47" t="s">
        <v>2042</v>
      </c>
      <c r="D8" s="68" t="s">
        <v>2027</v>
      </c>
      <c r="E8" s="68" t="s">
        <v>2028</v>
      </c>
    </row>
    <row r="9" spans="1:12">
      <c r="A9" s="79" t="s">
        <v>154</v>
      </c>
      <c r="B9" s="79" t="s">
        <v>156</v>
      </c>
      <c r="C9" s="80" t="s">
        <v>2029</v>
      </c>
      <c r="D9" s="80" t="s">
        <v>2030</v>
      </c>
      <c r="E9" s="62" t="s">
        <v>2031</v>
      </c>
      <c r="H9" s="68"/>
      <c r="I9" s="68"/>
      <c r="J9" s="68"/>
      <c r="K9" s="68"/>
      <c r="L9" s="68"/>
    </row>
    <row r="10" spans="1:12">
      <c r="A10" s="81" t="s">
        <v>1845</v>
      </c>
      <c r="B10" s="80" t="s">
        <v>2043</v>
      </c>
      <c r="C10" s="82">
        <v>5250</v>
      </c>
      <c r="D10" s="62"/>
      <c r="E10" s="82">
        <v>540</v>
      </c>
      <c r="I10" s="83" t="s">
        <v>2033</v>
      </c>
    </row>
    <row r="11" spans="1:12">
      <c r="A11" s="81" t="s">
        <v>2034</v>
      </c>
      <c r="B11" s="80"/>
      <c r="C11" s="82">
        <v>900</v>
      </c>
      <c r="D11" s="62"/>
      <c r="E11" s="62"/>
      <c r="K11" s="47">
        <f>9848+3647-3860-973</f>
        <v>8662</v>
      </c>
    </row>
    <row r="12" spans="1:12">
      <c r="A12" s="81" t="s">
        <v>2038</v>
      </c>
      <c r="B12" s="80" t="s">
        <v>2044</v>
      </c>
      <c r="C12" s="62">
        <f>(C11-78+40)</f>
        <v>862</v>
      </c>
      <c r="D12" s="62">
        <f>IF(G12&lt;225,2,3)</f>
        <v>2</v>
      </c>
      <c r="E12" s="62">
        <f>ROUND(H12-0.5,0)+1</f>
        <v>1</v>
      </c>
      <c r="F12" s="47">
        <f>($C$10-300)/450</f>
        <v>11</v>
      </c>
      <c r="G12" s="47">
        <f>(F12-D13)*450</f>
        <v>0</v>
      </c>
      <c r="H12" s="47">
        <f>($E$10-150)/450</f>
        <v>0.86666666666666703</v>
      </c>
      <c r="K12" s="47">
        <f>K11*0.6</f>
        <v>5197.2</v>
      </c>
      <c r="L12" s="47">
        <f>27*2*0.01</f>
        <v>0.54</v>
      </c>
    </row>
    <row r="13" spans="1:12">
      <c r="A13" s="81" t="s">
        <v>2040</v>
      </c>
      <c r="B13" s="80" t="s">
        <v>2044</v>
      </c>
      <c r="C13" s="85">
        <f>SQRT((C11-78)^2+450^2)+40</f>
        <v>977.11472083197998</v>
      </c>
      <c r="D13" s="62">
        <f>ROUND($F$12-0.5,0)</f>
        <v>11</v>
      </c>
      <c r="E13" s="62"/>
    </row>
    <row r="14" spans="1:12">
      <c r="C14" s="86"/>
      <c r="D14" s="86"/>
      <c r="E14" s="86"/>
    </row>
    <row r="15" spans="1:12">
      <c r="F15" s="47" t="s">
        <v>2045</v>
      </c>
      <c r="K15" s="47">
        <v>1900</v>
      </c>
    </row>
    <row r="16" spans="1:12">
      <c r="F16" s="47" t="s">
        <v>2046</v>
      </c>
      <c r="K16" s="47">
        <f>410*7.1</f>
        <v>2911</v>
      </c>
    </row>
  </sheetData>
  <phoneticPr fontId="120"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filterMode="1">
    <tabColor rgb="FFFFFF00"/>
  </sheetPr>
  <dimension ref="A1:N226"/>
  <sheetViews>
    <sheetView zoomScale="85" zoomScaleNormal="85" workbookViewId="0">
      <selection activeCell="H133" sqref="H133"/>
    </sheetView>
  </sheetViews>
  <sheetFormatPr defaultColWidth="8.125" defaultRowHeight="14.25"/>
  <cols>
    <col min="1" max="1" width="5.375" customWidth="1"/>
    <col min="2" max="2" width="56" style="47" customWidth="1"/>
    <col min="3" max="3" width="20.625" style="48" customWidth="1"/>
    <col min="4" max="4" width="13" style="49" customWidth="1"/>
    <col min="12" max="12" width="23.75" customWidth="1"/>
    <col min="13" max="13" width="25" customWidth="1"/>
    <col min="14" max="14" width="6.875" customWidth="1"/>
  </cols>
  <sheetData>
    <row r="1" spans="1:5" ht="23.1" customHeight="1">
      <c r="A1" s="977" t="s">
        <v>153</v>
      </c>
      <c r="B1" s="980" t="s">
        <v>2047</v>
      </c>
      <c r="C1" s="50" t="s">
        <v>2048</v>
      </c>
      <c r="D1" s="51"/>
    </row>
    <row r="2" spans="1:5" ht="17.45" hidden="1" customHeight="1">
      <c r="A2" s="978"/>
      <c r="B2" s="978"/>
      <c r="C2" s="52"/>
      <c r="D2" s="51"/>
    </row>
    <row r="3" spans="1:5" ht="17.45" customHeight="1">
      <c r="A3" s="979"/>
      <c r="B3" s="979"/>
      <c r="C3" s="50" t="s">
        <v>2049</v>
      </c>
      <c r="D3" s="53" t="s">
        <v>2050</v>
      </c>
      <c r="E3" t="s">
        <v>611</v>
      </c>
    </row>
    <row r="4" spans="1:5" ht="18" hidden="1" customHeight="1">
      <c r="A4" s="54">
        <v>1</v>
      </c>
      <c r="B4" s="55" t="s">
        <v>2051</v>
      </c>
      <c r="C4" s="56" t="s">
        <v>1287</v>
      </c>
      <c r="D4" s="57">
        <f>VLOOKUP(B4,'标准件 每周更新'!$B:$C,2,0)</f>
        <v>2</v>
      </c>
    </row>
    <row r="5" spans="1:5" ht="18" hidden="1" customHeight="1">
      <c r="A5" s="54">
        <v>2</v>
      </c>
      <c r="B5" s="55" t="s">
        <v>2052</v>
      </c>
      <c r="C5" s="56"/>
      <c r="D5" s="57">
        <f>VLOOKUP(B5,'标准件 每周更新'!$B:$C,2,0)</f>
        <v>2.4700000000000002</v>
      </c>
    </row>
    <row r="6" spans="1:5" ht="18" hidden="1" customHeight="1">
      <c r="A6" s="54">
        <v>3</v>
      </c>
      <c r="B6" s="55" t="s">
        <v>2053</v>
      </c>
      <c r="C6" s="56"/>
      <c r="D6" s="57">
        <f>VLOOKUP(B6,'标准件 每周更新'!$B:$C,2,0)</f>
        <v>1.33</v>
      </c>
    </row>
    <row r="7" spans="1:5" ht="18" hidden="1" customHeight="1">
      <c r="A7" s="54">
        <v>4</v>
      </c>
      <c r="B7" s="55" t="s">
        <v>2054</v>
      </c>
      <c r="C7" s="56" t="s">
        <v>1289</v>
      </c>
      <c r="D7" s="57">
        <f>VLOOKUP(B7,'标准件 每周更新'!$B:$C,2,0)</f>
        <v>1</v>
      </c>
    </row>
    <row r="8" spans="1:5" ht="18" hidden="1" customHeight="1">
      <c r="A8" s="54">
        <v>5</v>
      </c>
      <c r="B8" s="55" t="s">
        <v>2055</v>
      </c>
      <c r="C8" s="56" t="s">
        <v>1301</v>
      </c>
      <c r="D8" s="57">
        <f>VLOOKUP(B8,'标准件 每周更新'!$B:$C,2,0)</f>
        <v>0.63</v>
      </c>
    </row>
    <row r="9" spans="1:5" ht="18" hidden="1" customHeight="1">
      <c r="A9" s="54">
        <v>6</v>
      </c>
      <c r="B9" s="55" t="s">
        <v>2056</v>
      </c>
      <c r="C9" s="56" t="s">
        <v>1299</v>
      </c>
      <c r="D9" s="57">
        <f>VLOOKUP(B9,'标准件 每周更新'!$B:$C,2,0)</f>
        <v>0.6</v>
      </c>
    </row>
    <row r="10" spans="1:5" ht="18" hidden="1" customHeight="1">
      <c r="A10" s="54">
        <v>7</v>
      </c>
      <c r="B10" s="55" t="s">
        <v>2057</v>
      </c>
      <c r="C10" s="56"/>
      <c r="D10" s="57">
        <f>VLOOKUP(B10,'标准件 每周更新'!$B:$C,2,0)</f>
        <v>0.19600000000000001</v>
      </c>
    </row>
    <row r="11" spans="1:5" ht="18" hidden="1" customHeight="1">
      <c r="A11" s="54">
        <v>8</v>
      </c>
      <c r="B11" s="55" t="s">
        <v>2058</v>
      </c>
      <c r="C11" s="56" t="s">
        <v>2059</v>
      </c>
      <c r="D11" s="57">
        <f>VLOOKUP(B11,'标准件 每周更新'!$B:$C,2,0)</f>
        <v>0.83</v>
      </c>
    </row>
    <row r="12" spans="1:5" ht="18" hidden="1" customHeight="1">
      <c r="A12" s="54">
        <v>9</v>
      </c>
      <c r="B12" s="55" t="s">
        <v>2060</v>
      </c>
      <c r="C12" s="56"/>
      <c r="D12" s="57">
        <f>VLOOKUP(B12,'标准件 每周更新'!$B:$C,2,0)</f>
        <v>1.31</v>
      </c>
    </row>
    <row r="13" spans="1:5" ht="18" hidden="1" customHeight="1">
      <c r="A13" s="54">
        <v>10</v>
      </c>
      <c r="B13" s="55" t="s">
        <v>2061</v>
      </c>
      <c r="C13" s="56"/>
      <c r="D13" s="57">
        <f>VLOOKUP(B13,'标准件 每周更新'!$B:$C,2,0)</f>
        <v>1.75</v>
      </c>
    </row>
    <row r="14" spans="1:5" ht="18" hidden="1" customHeight="1">
      <c r="A14" s="54">
        <v>11</v>
      </c>
      <c r="B14" s="55" t="s">
        <v>2062</v>
      </c>
      <c r="C14" s="56"/>
      <c r="D14" s="57">
        <f>VLOOKUP(B14,'标准件 每周更新'!$B:$C,2,0)</f>
        <v>1.77</v>
      </c>
    </row>
    <row r="15" spans="1:5" ht="18" hidden="1" customHeight="1">
      <c r="A15" s="54">
        <v>12</v>
      </c>
      <c r="B15" s="55" t="s">
        <v>2063</v>
      </c>
      <c r="C15" s="56" t="s">
        <v>1298</v>
      </c>
      <c r="D15" s="57">
        <f>VLOOKUP(B15,'标准件 每周更新'!$B:$C,2,0)</f>
        <v>0.32</v>
      </c>
    </row>
    <row r="16" spans="1:5" ht="18" hidden="1" customHeight="1">
      <c r="A16" s="54">
        <v>13</v>
      </c>
      <c r="B16" s="55" t="s">
        <v>2064</v>
      </c>
      <c r="C16" s="56" t="s">
        <v>2065</v>
      </c>
      <c r="D16" s="57">
        <f>VLOOKUP(B16,'标准件 每周更新'!$B:$C,2,0)</f>
        <v>0.52</v>
      </c>
    </row>
    <row r="17" spans="1:4" ht="18" customHeight="1">
      <c r="A17" s="54">
        <v>14</v>
      </c>
      <c r="B17" s="58" t="s">
        <v>2066</v>
      </c>
      <c r="C17" s="56"/>
      <c r="D17" s="57">
        <f>VLOOKUP(B17,'标准件 每周更新'!$B:$C,2,0)</f>
        <v>0.41</v>
      </c>
    </row>
    <row r="18" spans="1:4" ht="18" hidden="1" customHeight="1">
      <c r="A18" s="54">
        <v>15</v>
      </c>
      <c r="B18" s="58" t="s">
        <v>2067</v>
      </c>
      <c r="C18" s="56" t="s">
        <v>2068</v>
      </c>
      <c r="D18" s="57">
        <f>VLOOKUP(B18,'标准件 每周更新'!$B:$C,2,0)</f>
        <v>0.48</v>
      </c>
    </row>
    <row r="19" spans="1:4" ht="18" hidden="1" customHeight="1">
      <c r="A19" s="54">
        <v>16</v>
      </c>
      <c r="B19" s="55" t="s">
        <v>2069</v>
      </c>
      <c r="C19" s="59" t="s">
        <v>1034</v>
      </c>
      <c r="D19" s="57">
        <f>VLOOKUP(B19,'标准件 每周更新'!$B:$C,2,0)</f>
        <v>0.6</v>
      </c>
    </row>
    <row r="20" spans="1:4" ht="18" hidden="1" customHeight="1">
      <c r="A20" s="54">
        <v>17</v>
      </c>
      <c r="B20" s="58" t="s">
        <v>2070</v>
      </c>
      <c r="C20" s="56"/>
      <c r="D20" s="57">
        <f>VLOOKUP(B20,'标准件 每周更新'!$B:$C,2,0)</f>
        <v>1.33</v>
      </c>
    </row>
    <row r="21" spans="1:4" ht="18" hidden="1" customHeight="1">
      <c r="A21" s="54">
        <v>18</v>
      </c>
      <c r="B21" s="58" t="s">
        <v>2071</v>
      </c>
      <c r="C21" s="56"/>
      <c r="D21" s="57">
        <f>VLOOKUP(B21,'标准件 每周更新'!$B:$C,2,0)</f>
        <v>4.0999999999999996</v>
      </c>
    </row>
    <row r="22" spans="1:4" ht="18" hidden="1" customHeight="1">
      <c r="A22" s="54">
        <v>19</v>
      </c>
      <c r="B22" s="58" t="s">
        <v>2072</v>
      </c>
      <c r="C22" s="56"/>
      <c r="D22" s="57">
        <f>VLOOKUP(B22,'标准件 每周更新'!$B:$C,2,0)</f>
        <v>1.1499999999999999</v>
      </c>
    </row>
    <row r="23" spans="1:4" ht="18" hidden="1" customHeight="1">
      <c r="A23" s="54">
        <v>20</v>
      </c>
      <c r="B23" s="58" t="s">
        <v>2073</v>
      </c>
      <c r="C23" s="56" t="s">
        <v>638</v>
      </c>
      <c r="D23" s="57">
        <f>VLOOKUP(B23,'标准件 每周更新'!$B:$C,2,0)</f>
        <v>1.35</v>
      </c>
    </row>
    <row r="24" spans="1:4" ht="18" hidden="1" customHeight="1">
      <c r="A24" s="54">
        <v>21</v>
      </c>
      <c r="B24" s="58" t="s">
        <v>2074</v>
      </c>
      <c r="C24" s="56"/>
      <c r="D24" s="57">
        <f>VLOOKUP(B24,'标准件 每周更新'!$B:$C,2,0)</f>
        <v>0.6</v>
      </c>
    </row>
    <row r="25" spans="1:4" ht="18" hidden="1" customHeight="1">
      <c r="A25" s="54">
        <v>22</v>
      </c>
      <c r="B25" s="58" t="s">
        <v>2075</v>
      </c>
      <c r="C25" s="56"/>
      <c r="D25" s="57">
        <f>VLOOKUP(B25,'标准件 每周更新'!$B:$C,2,0)</f>
        <v>0.77</v>
      </c>
    </row>
    <row r="26" spans="1:4" ht="18" hidden="1" customHeight="1">
      <c r="A26" s="54">
        <v>23</v>
      </c>
      <c r="B26" s="58" t="s">
        <v>2076</v>
      </c>
      <c r="C26" s="56"/>
      <c r="D26" s="57">
        <f>VLOOKUP(B26,'标准件 每周更新'!$B:$C,2,0)</f>
        <v>1.65</v>
      </c>
    </row>
    <row r="27" spans="1:4" ht="18" hidden="1" customHeight="1">
      <c r="A27" s="54">
        <v>24</v>
      </c>
      <c r="B27" s="58" t="s">
        <v>2077</v>
      </c>
      <c r="C27" s="56"/>
      <c r="D27" s="57">
        <f>VLOOKUP(B27,'标准件 每周更新'!$B:$C,2,0)</f>
        <v>1.76</v>
      </c>
    </row>
    <row r="28" spans="1:4" ht="18" hidden="1" customHeight="1">
      <c r="A28" s="54">
        <v>25</v>
      </c>
      <c r="B28" s="58" t="s">
        <v>2078</v>
      </c>
      <c r="C28" s="56"/>
      <c r="D28" s="57">
        <f>VLOOKUP(B28,'标准件 每周更新'!$B:$C,2,0)</f>
        <v>1.95</v>
      </c>
    </row>
    <row r="29" spans="1:4" ht="18" hidden="1" customHeight="1">
      <c r="A29" s="54">
        <v>26</v>
      </c>
      <c r="B29" s="58" t="s">
        <v>2079</v>
      </c>
      <c r="C29" s="56"/>
      <c r="D29" s="57">
        <f>VLOOKUP(B29,'标准件 每周更新'!$B:$C,2,0)</f>
        <v>2.5499999999999998</v>
      </c>
    </row>
    <row r="30" spans="1:4" ht="18" hidden="1" customHeight="1">
      <c r="A30" s="54">
        <v>27</v>
      </c>
      <c r="B30" s="58" t="s">
        <v>2080</v>
      </c>
      <c r="C30" s="56" t="s">
        <v>1290</v>
      </c>
      <c r="D30" s="57">
        <f>VLOOKUP(B30,'标准件 每周更新'!$B:$C,2,0)</f>
        <v>3.85</v>
      </c>
    </row>
    <row r="31" spans="1:4" ht="18" hidden="1" customHeight="1">
      <c r="A31" s="54">
        <v>28</v>
      </c>
      <c r="B31" s="55" t="s">
        <v>2081</v>
      </c>
      <c r="C31" s="56" t="s">
        <v>1292</v>
      </c>
      <c r="D31" s="57">
        <f>VLOOKUP(B31,'标准件 每周更新'!$B:$C,2,0)</f>
        <v>0.215</v>
      </c>
    </row>
    <row r="32" spans="1:4" ht="18" hidden="1" customHeight="1">
      <c r="A32" s="54">
        <v>29</v>
      </c>
      <c r="B32" s="55" t="s">
        <v>2082</v>
      </c>
      <c r="C32" s="56"/>
      <c r="D32" s="57">
        <f>VLOOKUP(B32,'标准件 每周更新'!$B:$C,2,0)</f>
        <v>5.89</v>
      </c>
    </row>
    <row r="33" spans="1:4" ht="18" hidden="1" customHeight="1">
      <c r="A33" s="54">
        <v>30</v>
      </c>
      <c r="B33" s="55" t="s">
        <v>2083</v>
      </c>
      <c r="C33" s="56"/>
      <c r="D33" s="57">
        <f>VLOOKUP(B33,'标准件 每周更新'!$B:$C,2,0)</f>
        <v>7.0000000000000007E-2</v>
      </c>
    </row>
    <row r="34" spans="1:4" ht="18" hidden="1" customHeight="1">
      <c r="A34" s="54">
        <v>31</v>
      </c>
      <c r="B34" s="55" t="s">
        <v>2084</v>
      </c>
      <c r="C34" s="56" t="s">
        <v>1300</v>
      </c>
      <c r="D34" s="57">
        <f>VLOOKUP(B34,'标准件 每周更新'!$B:$C,2,0)</f>
        <v>2.2000000000000002</v>
      </c>
    </row>
    <row r="35" spans="1:4" ht="18" hidden="1" customHeight="1">
      <c r="A35" s="54">
        <v>32</v>
      </c>
      <c r="B35" s="55" t="s">
        <v>2085</v>
      </c>
      <c r="C35" s="56"/>
      <c r="D35" s="57">
        <f>VLOOKUP(B35,'标准件 每周更新'!$B:$C,2,0)</f>
        <v>8.8000000000000007</v>
      </c>
    </row>
    <row r="36" spans="1:4" ht="18" hidden="1" customHeight="1">
      <c r="A36" s="54">
        <v>33</v>
      </c>
      <c r="B36" s="58" t="s">
        <v>2086</v>
      </c>
      <c r="C36" s="56"/>
      <c r="D36" s="57">
        <f>VLOOKUP(B36,'标准件 每周更新'!$B:$C,2,0)</f>
        <v>13.2</v>
      </c>
    </row>
    <row r="37" spans="1:4" ht="18" hidden="1" customHeight="1">
      <c r="A37" s="54">
        <v>34</v>
      </c>
      <c r="B37" s="55" t="s">
        <v>2087</v>
      </c>
      <c r="C37" s="56"/>
      <c r="D37" s="57">
        <f>VLOOKUP(B37,'标准件 每周更新'!$B:$C,2,0)</f>
        <v>0.55000000000000004</v>
      </c>
    </row>
    <row r="38" spans="1:4" ht="18" hidden="1" customHeight="1">
      <c r="A38" s="54">
        <v>35</v>
      </c>
      <c r="B38" s="58" t="s">
        <v>2088</v>
      </c>
      <c r="C38" s="56"/>
      <c r="D38" s="57">
        <f>VLOOKUP(B38,'标准件 每周更新'!$B:$C,2,0)</f>
        <v>1.2</v>
      </c>
    </row>
    <row r="39" spans="1:4" ht="18" hidden="1" customHeight="1">
      <c r="A39" s="54">
        <v>36</v>
      </c>
      <c r="B39" s="60" t="s">
        <v>2089</v>
      </c>
      <c r="C39" s="56" t="s">
        <v>1294</v>
      </c>
      <c r="D39" s="57">
        <f>VLOOKUP(B39,'标准件 每周更新'!$B:$C,2,0)</f>
        <v>0.85</v>
      </c>
    </row>
    <row r="40" spans="1:4" ht="18" hidden="1" customHeight="1">
      <c r="A40" s="54">
        <v>37</v>
      </c>
      <c r="B40" s="60" t="s">
        <v>2089</v>
      </c>
      <c r="C40" s="56"/>
      <c r="D40" s="57">
        <f>VLOOKUP(B40,'标准件 每周更新'!$B:$C,2,0)</f>
        <v>0.85</v>
      </c>
    </row>
    <row r="41" spans="1:4" ht="18" hidden="1" customHeight="1">
      <c r="A41" s="54">
        <v>38</v>
      </c>
      <c r="B41" s="60" t="s">
        <v>2090</v>
      </c>
      <c r="C41" s="56"/>
      <c r="D41" s="57">
        <f>VLOOKUP(B41,'标准件 每周更新'!$B:$C,2,0)</f>
        <v>1.05</v>
      </c>
    </row>
    <row r="42" spans="1:4" ht="18" hidden="1" customHeight="1">
      <c r="A42" s="54">
        <v>39</v>
      </c>
      <c r="B42" s="58" t="s">
        <v>2091</v>
      </c>
      <c r="C42" s="56"/>
      <c r="D42" s="57">
        <f>VLOOKUP(B42,'标准件 每周更新'!$B:$C,2,0)</f>
        <v>50</v>
      </c>
    </row>
    <row r="43" spans="1:4" ht="18" hidden="1" customHeight="1">
      <c r="A43" s="54">
        <v>40</v>
      </c>
      <c r="B43" s="58" t="s">
        <v>2092</v>
      </c>
      <c r="C43" s="56"/>
      <c r="D43" s="57">
        <f>VLOOKUP(B43,'标准件 每周更新'!$B:$C,2,0)</f>
        <v>38</v>
      </c>
    </row>
    <row r="44" spans="1:4" ht="18" hidden="1" customHeight="1">
      <c r="A44" s="54">
        <v>41</v>
      </c>
      <c r="B44" s="58" t="s">
        <v>2093</v>
      </c>
      <c r="C44" s="56"/>
      <c r="D44" s="57">
        <f>VLOOKUP(B44,'标准件 每周更新'!$B:$C,2,0)</f>
        <v>30</v>
      </c>
    </row>
    <row r="45" spans="1:4" ht="18" hidden="1" customHeight="1">
      <c r="A45" s="54">
        <v>42</v>
      </c>
      <c r="B45" s="58" t="s">
        <v>2094</v>
      </c>
      <c r="C45" s="56"/>
      <c r="D45" s="57" t="e">
        <f>VLOOKUP(B45,'标准件 每周更新'!$B:$C,2,0)</f>
        <v>#N/A</v>
      </c>
    </row>
    <row r="46" spans="1:4" ht="18" hidden="1" customHeight="1">
      <c r="A46" s="54">
        <v>43</v>
      </c>
      <c r="B46" s="58" t="s">
        <v>2095</v>
      </c>
      <c r="C46" s="56"/>
      <c r="D46" s="57">
        <f>VLOOKUP(B46,'标准件 每周更新'!$B:$C,2,0)</f>
        <v>1.05</v>
      </c>
    </row>
    <row r="47" spans="1:4" ht="18" customHeight="1">
      <c r="A47" s="54">
        <v>44</v>
      </c>
      <c r="B47" s="55" t="s">
        <v>2096</v>
      </c>
      <c r="C47" s="56"/>
      <c r="D47" s="57">
        <f>VLOOKUP(B47,'标准件 每周更新'!$B:$C,2,0)</f>
        <v>2.1</v>
      </c>
    </row>
    <row r="48" spans="1:4" ht="18" hidden="1" customHeight="1">
      <c r="A48" s="54">
        <v>45</v>
      </c>
      <c r="B48" s="55" t="s">
        <v>2097</v>
      </c>
      <c r="C48" s="56" t="s">
        <v>714</v>
      </c>
      <c r="D48" s="57">
        <f>VLOOKUP(B48,'标准件 每周更新'!$B:$C,2,0)</f>
        <v>0.4</v>
      </c>
    </row>
    <row r="49" spans="1:4" ht="18" hidden="1" customHeight="1">
      <c r="A49" s="54">
        <v>46</v>
      </c>
      <c r="B49" s="55" t="s">
        <v>2098</v>
      </c>
      <c r="C49" s="56"/>
      <c r="D49" s="57">
        <f>VLOOKUP(B49,'标准件 每周更新'!$B:$C,2,0)</f>
        <v>1.65</v>
      </c>
    </row>
    <row r="50" spans="1:4" ht="18" hidden="1" customHeight="1">
      <c r="A50" s="54">
        <v>47</v>
      </c>
      <c r="B50" s="55" t="s">
        <v>2099</v>
      </c>
      <c r="C50" s="56" t="s">
        <v>901</v>
      </c>
      <c r="D50" s="57">
        <f>VLOOKUP(B50,'标准件 每周更新'!$B:$C,2,0)</f>
        <v>0.44</v>
      </c>
    </row>
    <row r="51" spans="1:4" ht="18" hidden="1" customHeight="1">
      <c r="A51" s="54">
        <v>48</v>
      </c>
      <c r="B51" s="55" t="s">
        <v>2100</v>
      </c>
      <c r="C51" s="61" t="s">
        <v>907</v>
      </c>
      <c r="D51" s="57">
        <f>VLOOKUP(B51,'标准件 每周更新'!$B:$C,2,0)</f>
        <v>0.57999999999999996</v>
      </c>
    </row>
    <row r="52" spans="1:4" ht="18" hidden="1" customHeight="1">
      <c r="A52" s="54">
        <v>49</v>
      </c>
      <c r="B52" s="55" t="s">
        <v>2101</v>
      </c>
      <c r="C52" s="56"/>
      <c r="D52" s="57">
        <f>VLOOKUP(B52,'标准件 每周更新'!$B:$C,2,0)</f>
        <v>0.12</v>
      </c>
    </row>
    <row r="53" spans="1:4" ht="18" customHeight="1">
      <c r="A53" s="62">
        <v>50</v>
      </c>
      <c r="B53" s="55" t="s">
        <v>2102</v>
      </c>
      <c r="C53" s="61" t="s">
        <v>1040</v>
      </c>
      <c r="D53" s="57">
        <f>VLOOKUP(B53,'标准件 每周更新'!$B:$C,2,0)</f>
        <v>0.14000000000000001</v>
      </c>
    </row>
    <row r="54" spans="1:4" ht="18" customHeight="1">
      <c r="A54" s="54">
        <v>51</v>
      </c>
      <c r="B54" s="55" t="s">
        <v>2103</v>
      </c>
      <c r="C54" s="56"/>
      <c r="D54" s="57">
        <f>VLOOKUP(B54,'标准件 每周更新'!$B:$C,2,0)</f>
        <v>0.15</v>
      </c>
    </row>
    <row r="55" spans="1:4" ht="18" customHeight="1">
      <c r="A55" s="54">
        <v>52</v>
      </c>
      <c r="B55" s="55" t="s">
        <v>2104</v>
      </c>
      <c r="C55" s="56"/>
      <c r="D55" s="57">
        <f>VLOOKUP(B55,'标准件 每周更新'!$B:$C,2,0)</f>
        <v>0.14799999999999999</v>
      </c>
    </row>
    <row r="56" spans="1:4" ht="18" customHeight="1">
      <c r="A56" s="54">
        <v>53</v>
      </c>
      <c r="B56" s="55" t="s">
        <v>2105</v>
      </c>
      <c r="C56" s="56"/>
      <c r="D56" s="57">
        <f>VLOOKUP(B56,'标准件 每周更新'!$B:$C,2,0)</f>
        <v>0.27</v>
      </c>
    </row>
    <row r="57" spans="1:4" ht="18" customHeight="1">
      <c r="A57" s="54">
        <v>54</v>
      </c>
      <c r="B57" s="55" t="s">
        <v>2106</v>
      </c>
      <c r="C57" s="61" t="s">
        <v>2107</v>
      </c>
      <c r="D57" s="57">
        <f>VLOOKUP(B57,'标准件 每周更新'!$B:$C,2,0)</f>
        <v>0.15</v>
      </c>
    </row>
    <row r="58" spans="1:4" ht="18" customHeight="1">
      <c r="A58" s="54">
        <v>55</v>
      </c>
      <c r="B58" s="55" t="s">
        <v>2108</v>
      </c>
      <c r="C58" s="56"/>
      <c r="D58" s="57">
        <f>VLOOKUP(B58,'标准件 每周更新'!$B:$C,2,0)</f>
        <v>0.16</v>
      </c>
    </row>
    <row r="59" spans="1:4" ht="18" customHeight="1">
      <c r="A59" s="54">
        <v>56</v>
      </c>
      <c r="B59" s="55" t="s">
        <v>2109</v>
      </c>
      <c r="C59" s="56"/>
      <c r="D59" s="57">
        <f>VLOOKUP(B59,'标准件 每周更新'!$B:$C,2,0)</f>
        <v>0.17499999999999999</v>
      </c>
    </row>
    <row r="60" spans="1:4" ht="18" hidden="1" customHeight="1">
      <c r="A60" s="54">
        <v>57</v>
      </c>
      <c r="B60" s="55" t="s">
        <v>2110</v>
      </c>
      <c r="C60" s="56"/>
      <c r="D60" s="57">
        <f>VLOOKUP(B60,'标准件 每周更新'!$B:$C,2,0)</f>
        <v>0.16</v>
      </c>
    </row>
    <row r="61" spans="1:4" ht="18" customHeight="1">
      <c r="A61" s="54">
        <v>58</v>
      </c>
      <c r="B61" s="55" t="s">
        <v>2111</v>
      </c>
      <c r="C61" s="61" t="s">
        <v>912</v>
      </c>
      <c r="D61" s="57">
        <f>VLOOKUP(B61,'标准件 每周更新'!$B:$C,2,0)</f>
        <v>0.23</v>
      </c>
    </row>
    <row r="62" spans="1:4" ht="18" customHeight="1">
      <c r="A62" s="54">
        <v>59</v>
      </c>
      <c r="B62" s="55" t="s">
        <v>2112</v>
      </c>
      <c r="C62" s="56"/>
      <c r="D62" s="57">
        <f>VLOOKUP(B62,'标准件 每周更新'!$B:$C,2,0)</f>
        <v>0.221</v>
      </c>
    </row>
    <row r="63" spans="1:4" ht="18" customHeight="1">
      <c r="A63" s="54">
        <v>60</v>
      </c>
      <c r="B63" s="55" t="s">
        <v>2113</v>
      </c>
      <c r="C63" s="56"/>
      <c r="D63" s="57">
        <f>VLOOKUP(B63,'标准件 每周更新'!$B:$C,2,0)</f>
        <v>0.26</v>
      </c>
    </row>
    <row r="64" spans="1:4" ht="18" hidden="1" customHeight="1">
      <c r="A64" s="54">
        <v>61</v>
      </c>
      <c r="B64" s="55" t="s">
        <v>2114</v>
      </c>
      <c r="C64" s="56"/>
      <c r="D64" s="57">
        <f>VLOOKUP(B64,'标准件 每周更新'!$B:$C,2,0)</f>
        <v>0.19</v>
      </c>
    </row>
    <row r="65" spans="1:4" ht="18" hidden="1" customHeight="1">
      <c r="A65" s="54">
        <v>62</v>
      </c>
      <c r="B65" s="55" t="s">
        <v>2115</v>
      </c>
      <c r="C65" s="56"/>
      <c r="D65" s="57">
        <f>VLOOKUP(B65,'标准件 每周更新'!$B:$C,2,0)</f>
        <v>0.38700000000000001</v>
      </c>
    </row>
    <row r="66" spans="1:4" hidden="1">
      <c r="A66" s="54">
        <v>63</v>
      </c>
      <c r="B66" s="55" t="s">
        <v>2116</v>
      </c>
      <c r="C66" s="56"/>
      <c r="D66" s="57">
        <f>VLOOKUP(B66,'标准件 每周更新'!$B:$C,2,0)</f>
        <v>0.97</v>
      </c>
    </row>
    <row r="67" spans="1:4" hidden="1">
      <c r="A67" s="54">
        <v>64</v>
      </c>
      <c r="B67" s="55" t="s">
        <v>2117</v>
      </c>
      <c r="C67" s="56"/>
      <c r="D67" s="57">
        <f>VLOOKUP(B67,'标准件 每周更新'!$B:$C,2,0)</f>
        <v>0.28999999999999998</v>
      </c>
    </row>
    <row r="68" spans="1:4" hidden="1">
      <c r="A68" s="54">
        <v>65</v>
      </c>
      <c r="B68" s="55" t="s">
        <v>2118</v>
      </c>
      <c r="C68" s="56" t="s">
        <v>1302</v>
      </c>
      <c r="D68" s="57">
        <f>VLOOKUP(B68,'标准件 每周更新'!$B:$C,2,0)</f>
        <v>0.25</v>
      </c>
    </row>
    <row r="69" spans="1:4" hidden="1">
      <c r="A69" s="54">
        <v>66</v>
      </c>
      <c r="B69" s="55" t="s">
        <v>2119</v>
      </c>
      <c r="C69" s="56"/>
      <c r="D69" s="57">
        <f>VLOOKUP(B69,'标准件 每周更新'!$B:$C,2,0)</f>
        <v>0.28999999999999998</v>
      </c>
    </row>
    <row r="70" spans="1:4" hidden="1">
      <c r="A70" s="54">
        <v>67</v>
      </c>
      <c r="B70" s="63" t="s">
        <v>2120</v>
      </c>
      <c r="C70" s="56"/>
      <c r="D70" s="57">
        <f>VLOOKUP(B70,'标准件 每周更新'!$B:$C,2,0)</f>
        <v>0.31</v>
      </c>
    </row>
    <row r="71" spans="1:4" hidden="1">
      <c r="A71" s="54">
        <v>68</v>
      </c>
      <c r="B71" s="63" t="s">
        <v>2121</v>
      </c>
      <c r="C71" s="56"/>
      <c r="D71" s="57">
        <f>VLOOKUP(B71,'标准件 每周更新'!$B:$C,2,0)</f>
        <v>0.33</v>
      </c>
    </row>
    <row r="72" spans="1:4" hidden="1">
      <c r="A72">
        <v>69</v>
      </c>
      <c r="B72" s="63" t="s">
        <v>2122</v>
      </c>
      <c r="C72" s="56"/>
      <c r="D72" s="57">
        <f>VLOOKUP(B72,'标准件 每周更新'!$B:$C,2,0)</f>
        <v>0.37</v>
      </c>
    </row>
    <row r="73" spans="1:4" hidden="1">
      <c r="A73">
        <v>70</v>
      </c>
      <c r="B73" s="63" t="s">
        <v>2123</v>
      </c>
      <c r="C73" s="56"/>
      <c r="D73" s="57">
        <f>VLOOKUP(B73,'标准件 每周更新'!$B:$C,2,0)</f>
        <v>0.4</v>
      </c>
    </row>
    <row r="74" spans="1:4" hidden="1">
      <c r="A74">
        <v>71</v>
      </c>
      <c r="B74" s="63" t="s">
        <v>2124</v>
      </c>
      <c r="C74" s="56"/>
      <c r="D74" s="57">
        <f>VLOOKUP(B74,'标准件 每周更新'!$B:$C,2,0)</f>
        <v>0.41</v>
      </c>
    </row>
    <row r="75" spans="1:4" hidden="1">
      <c r="A75">
        <v>72</v>
      </c>
      <c r="B75" s="63" t="s">
        <v>2125</v>
      </c>
      <c r="C75" s="56"/>
      <c r="D75" s="57">
        <f>VLOOKUP(B75,'标准件 每周更新'!$B:$C,2,0)</f>
        <v>0.43</v>
      </c>
    </row>
    <row r="76" spans="1:4" hidden="1">
      <c r="A76">
        <v>73</v>
      </c>
      <c r="B76" s="63" t="s">
        <v>2126</v>
      </c>
      <c r="C76" s="56"/>
      <c r="D76" s="57">
        <f>VLOOKUP(B76,'标准件 每周更新'!$B:$C,2,0)</f>
        <v>0.46</v>
      </c>
    </row>
    <row r="77" spans="1:4" hidden="1">
      <c r="A77">
        <v>74</v>
      </c>
      <c r="B77" s="55" t="s">
        <v>2127</v>
      </c>
      <c r="C77" s="56"/>
      <c r="D77" s="57">
        <f>VLOOKUP(B77,'标准件 每周更新'!$B:$C,2,0)</f>
        <v>0.55000000000000004</v>
      </c>
    </row>
    <row r="78" spans="1:4" hidden="1">
      <c r="A78">
        <v>75</v>
      </c>
      <c r="B78" s="55" t="s">
        <v>2128</v>
      </c>
      <c r="C78" s="56"/>
      <c r="D78" s="57">
        <f>VLOOKUP(B78,'标准件 每周更新'!$B:$C,2,0)</f>
        <v>0.51</v>
      </c>
    </row>
    <row r="79" spans="1:4" hidden="1">
      <c r="A79">
        <v>76</v>
      </c>
      <c r="B79" s="55" t="s">
        <v>2129</v>
      </c>
      <c r="C79" s="56"/>
      <c r="D79" s="57">
        <f>VLOOKUP(B79,'标准件 每周更新'!$B:$C,2,0)</f>
        <v>0.74</v>
      </c>
    </row>
    <row r="80" spans="1:4" hidden="1">
      <c r="A80">
        <v>77</v>
      </c>
      <c r="B80" s="55" t="s">
        <v>2130</v>
      </c>
      <c r="C80" s="56" t="s">
        <v>2131</v>
      </c>
      <c r="D80" s="57">
        <f>VLOOKUP(B80,'标准件 每周更新'!$B:$C,2,0)</f>
        <v>0.8</v>
      </c>
    </row>
    <row r="81" spans="1:4" hidden="1">
      <c r="A81">
        <v>78</v>
      </c>
      <c r="B81" s="58" t="s">
        <v>2132</v>
      </c>
      <c r="C81" s="56"/>
      <c r="D81" s="57">
        <f>VLOOKUP(B81,'标准件 每周更新'!$B:$C,2,0)</f>
        <v>2.4</v>
      </c>
    </row>
    <row r="82" spans="1:4" hidden="1">
      <c r="A82">
        <v>79</v>
      </c>
      <c r="B82" s="55" t="s">
        <v>2133</v>
      </c>
      <c r="C82" s="56" t="s">
        <v>1296</v>
      </c>
      <c r="D82" s="57">
        <f>VLOOKUP(B82,'标准件 每周更新'!$B:$C,2,0)</f>
        <v>0.83</v>
      </c>
    </row>
    <row r="83" spans="1:4" hidden="1">
      <c r="A83">
        <v>80</v>
      </c>
      <c r="B83" s="55" t="s">
        <v>2134</v>
      </c>
      <c r="C83" s="56"/>
      <c r="D83" s="57">
        <f>VLOOKUP(B83,'标准件 每周更新'!$B:$C,2,0)</f>
        <v>0.89</v>
      </c>
    </row>
    <row r="84" spans="1:4" hidden="1">
      <c r="A84">
        <v>81</v>
      </c>
      <c r="B84" s="55" t="s">
        <v>2135</v>
      </c>
      <c r="C84" s="56"/>
      <c r="D84" s="57">
        <f>VLOOKUP(B84,'标准件 每周更新'!$B:$C,2,0)</f>
        <v>0.34</v>
      </c>
    </row>
    <row r="85" spans="1:4" hidden="1">
      <c r="A85">
        <v>82</v>
      </c>
      <c r="B85" s="55" t="s">
        <v>2136</v>
      </c>
      <c r="C85" s="56"/>
      <c r="D85" s="57">
        <f>VLOOKUP(B85,'标准件 每周更新'!$B:$C,2,0)</f>
        <v>0.44</v>
      </c>
    </row>
    <row r="86" spans="1:4" hidden="1">
      <c r="A86">
        <v>83</v>
      </c>
      <c r="B86" s="55" t="s">
        <v>2137</v>
      </c>
      <c r="C86" s="56"/>
      <c r="D86" s="57">
        <f>VLOOKUP(B86,'标准件 每周更新'!$B:$C,2,0)</f>
        <v>0.51</v>
      </c>
    </row>
    <row r="87" spans="1:4" hidden="1">
      <c r="A87">
        <v>84</v>
      </c>
      <c r="B87" s="55" t="s">
        <v>2138</v>
      </c>
      <c r="C87" s="56"/>
      <c r="D87" s="57">
        <f>VLOOKUP(B87,'标准件 每周更新'!$B:$C,2,0)</f>
        <v>0.52</v>
      </c>
    </row>
    <row r="88" spans="1:4" hidden="1">
      <c r="A88">
        <v>85</v>
      </c>
      <c r="B88" s="55" t="s">
        <v>2139</v>
      </c>
      <c r="C88" s="56"/>
      <c r="D88" s="57">
        <f>VLOOKUP(B88,'标准件 每周更新'!$B:$C,2,0)</f>
        <v>0.57999999999999996</v>
      </c>
    </row>
    <row r="89" spans="1:4" hidden="1">
      <c r="A89">
        <v>86</v>
      </c>
      <c r="B89" s="55" t="s">
        <v>2140</v>
      </c>
      <c r="C89" s="56"/>
      <c r="D89" s="57">
        <f>VLOOKUP(B89,'标准件 每周更新'!$B:$C,2,0)</f>
        <v>0.78</v>
      </c>
    </row>
    <row r="90" spans="1:4" hidden="1">
      <c r="A90">
        <v>87</v>
      </c>
      <c r="B90" s="55" t="s">
        <v>2141</v>
      </c>
      <c r="C90" s="56"/>
      <c r="D90" s="57">
        <f>VLOOKUP(B90,'标准件 每周更新'!$B:$C,2,0)</f>
        <v>0.88</v>
      </c>
    </row>
    <row r="91" spans="1:4" hidden="1">
      <c r="A91">
        <v>88</v>
      </c>
      <c r="B91" s="55" t="s">
        <v>2142</v>
      </c>
      <c r="C91" s="56"/>
      <c r="D91" s="57">
        <f>VLOOKUP(B91,'标准件 每周更新'!$B:$C,2,0)</f>
        <v>0.36</v>
      </c>
    </row>
    <row r="92" spans="1:4" hidden="1">
      <c r="A92">
        <v>89</v>
      </c>
      <c r="B92" s="55" t="s">
        <v>2143</v>
      </c>
      <c r="C92" s="56"/>
      <c r="D92" s="57">
        <f>VLOOKUP(B92,'标准件 每周更新'!$B:$C,2,0)</f>
        <v>1.32</v>
      </c>
    </row>
    <row r="93" spans="1:4" hidden="1">
      <c r="A93">
        <v>90</v>
      </c>
      <c r="B93" s="55" t="s">
        <v>2144</v>
      </c>
      <c r="C93" s="56"/>
      <c r="D93" s="57">
        <f>VLOOKUP(B93,'标准件 每周更新'!$B:$C,2,0)</f>
        <v>1.4</v>
      </c>
    </row>
    <row r="94" spans="1:4" hidden="1">
      <c r="A94">
        <v>91</v>
      </c>
      <c r="B94" s="55" t="s">
        <v>2145</v>
      </c>
      <c r="C94" s="56"/>
      <c r="D94" s="57">
        <f>VLOOKUP(B94,'标准件 每周更新'!$B:$C,2,0)</f>
        <v>2.0299999999999998</v>
      </c>
    </row>
    <row r="95" spans="1:4" ht="15" hidden="1">
      <c r="A95">
        <v>92</v>
      </c>
      <c r="B95" s="55" t="s">
        <v>2146</v>
      </c>
      <c r="C95" s="56" t="s">
        <v>2147</v>
      </c>
      <c r="D95" s="57">
        <f>VLOOKUP(B95,'标准件 每周更新'!$B:$C,2,0)</f>
        <v>2.2000000000000002</v>
      </c>
    </row>
    <row r="96" spans="1:4" hidden="1">
      <c r="A96">
        <v>93</v>
      </c>
      <c r="B96" s="55" t="s">
        <v>2148</v>
      </c>
      <c r="C96" s="56"/>
      <c r="D96" s="57">
        <f>VLOOKUP(B96,'标准件 每周更新'!$B:$C,2,0)</f>
        <v>2.71</v>
      </c>
    </row>
    <row r="97" spans="1:4" hidden="1">
      <c r="A97">
        <v>94</v>
      </c>
      <c r="B97" s="55" t="s">
        <v>2149</v>
      </c>
      <c r="C97" s="56"/>
      <c r="D97" s="57">
        <f>VLOOKUP(B97,'标准件 每周更新'!$B:$C,2,0)</f>
        <v>2.85</v>
      </c>
    </row>
    <row r="98" spans="1:4" hidden="1">
      <c r="A98">
        <v>95</v>
      </c>
      <c r="B98" s="55" t="s">
        <v>2150</v>
      </c>
      <c r="C98" s="56"/>
      <c r="D98" s="57">
        <f>VLOOKUP(B98,'标准件 每周更新'!$B:$C,2,0)</f>
        <v>2.59</v>
      </c>
    </row>
    <row r="99" spans="1:4" hidden="1">
      <c r="A99">
        <v>96</v>
      </c>
      <c r="B99" s="55" t="s">
        <v>2151</v>
      </c>
      <c r="C99" s="56"/>
      <c r="D99" s="57">
        <f>VLOOKUP(B99,'标准件 每周更新'!$B:$C,2,0)</f>
        <v>2.75</v>
      </c>
    </row>
    <row r="100" spans="1:4" hidden="1">
      <c r="A100">
        <v>97</v>
      </c>
      <c r="B100" s="55" t="s">
        <v>2152</v>
      </c>
      <c r="C100" s="56"/>
      <c r="D100" s="57">
        <f>VLOOKUP(B100,'标准件 每周更新'!$B:$C,2,0)</f>
        <v>2.5</v>
      </c>
    </row>
    <row r="101" spans="1:4" hidden="1">
      <c r="A101">
        <v>98</v>
      </c>
      <c r="B101" s="55" t="s">
        <v>2153</v>
      </c>
      <c r="C101" s="56"/>
      <c r="D101" s="57">
        <f>VLOOKUP(B101,'标准件 每周更新'!$B:$C,2,0)</f>
        <v>2.6</v>
      </c>
    </row>
    <row r="102" spans="1:4" hidden="1">
      <c r="A102">
        <v>99</v>
      </c>
      <c r="B102" s="55" t="s">
        <v>2154</v>
      </c>
      <c r="C102" s="56"/>
      <c r="D102" s="57">
        <f>VLOOKUP(B102,'标准件 每周更新'!$B:$C,2,0)</f>
        <v>2.7</v>
      </c>
    </row>
    <row r="103" spans="1:4" hidden="1">
      <c r="A103">
        <v>100</v>
      </c>
      <c r="B103" s="55" t="s">
        <v>2155</v>
      </c>
      <c r="C103" s="56"/>
      <c r="D103" s="57">
        <f>VLOOKUP(B103,'标准件 每周更新'!$B:$C,2,0)</f>
        <v>41</v>
      </c>
    </row>
    <row r="104" spans="1:4">
      <c r="A104">
        <v>101</v>
      </c>
      <c r="B104" s="58" t="s">
        <v>2156</v>
      </c>
      <c r="C104" s="56" t="s">
        <v>1176</v>
      </c>
      <c r="D104" s="57">
        <f>VLOOKUP(B104,'标准件 每周更新'!$B:$C,2,0)</f>
        <v>0.32</v>
      </c>
    </row>
    <row r="105" spans="1:4" ht="15">
      <c r="A105">
        <v>102</v>
      </c>
      <c r="B105" s="58" t="s">
        <v>2157</v>
      </c>
      <c r="C105" s="61" t="s">
        <v>1193</v>
      </c>
      <c r="D105" s="57">
        <f>VLOOKUP(B105,'标准件 每周更新'!$B:$C,2,0)</f>
        <v>0.38</v>
      </c>
    </row>
    <row r="106" spans="1:4" hidden="1">
      <c r="A106">
        <v>103</v>
      </c>
      <c r="B106" s="58" t="s">
        <v>2158</v>
      </c>
      <c r="C106" s="56"/>
      <c r="D106" s="57">
        <f>VLOOKUP(B106,'标准件 每周更新'!$B:$C,2,0)</f>
        <v>0.56000000000000005</v>
      </c>
    </row>
    <row r="107" spans="1:4" hidden="1">
      <c r="A107">
        <v>104</v>
      </c>
      <c r="B107" s="55" t="s">
        <v>2159</v>
      </c>
      <c r="C107" s="56"/>
      <c r="D107" s="57">
        <f>VLOOKUP(B107,'标准件 每周更新'!$B:$C,2,0)</f>
        <v>2.5</v>
      </c>
    </row>
    <row r="108" spans="1:4" hidden="1">
      <c r="A108">
        <v>105</v>
      </c>
      <c r="B108" s="55" t="s">
        <v>2160</v>
      </c>
      <c r="C108" s="56"/>
      <c r="D108" s="57">
        <f>VLOOKUP(B108,'标准件 每周更新'!$B:$C,2,0)</f>
        <v>4.4000000000000004</v>
      </c>
    </row>
    <row r="109" spans="1:4" hidden="1">
      <c r="A109">
        <v>106</v>
      </c>
      <c r="B109" s="55" t="s">
        <v>2161</v>
      </c>
      <c r="C109" s="56"/>
      <c r="D109" s="57">
        <f>VLOOKUP(B109,'标准件 每周更新'!$B:$C,2,0)</f>
        <v>4.8</v>
      </c>
    </row>
    <row r="110" spans="1:4" hidden="1">
      <c r="A110">
        <v>107</v>
      </c>
      <c r="B110" s="55" t="s">
        <v>2162</v>
      </c>
      <c r="C110" s="56"/>
      <c r="D110" s="57">
        <f>VLOOKUP(B110,'标准件 每周更新'!$B:$C,2,0)</f>
        <v>19.100000000000001</v>
      </c>
    </row>
    <row r="111" spans="1:4" hidden="1">
      <c r="A111">
        <v>108</v>
      </c>
      <c r="B111" s="64" t="s">
        <v>2163</v>
      </c>
      <c r="C111" s="56"/>
      <c r="D111" s="57">
        <f>VLOOKUP(B111,'标准件 每周更新'!$B:$C,2,0)</f>
        <v>2.97</v>
      </c>
    </row>
    <row r="112" spans="1:4" hidden="1">
      <c r="A112">
        <v>109</v>
      </c>
      <c r="B112" s="64" t="s">
        <v>2164</v>
      </c>
      <c r="C112" s="56"/>
      <c r="D112" s="57">
        <f>VLOOKUP(B112,'标准件 每周更新'!$B:$C,2,0)</f>
        <v>0.5</v>
      </c>
    </row>
    <row r="113" spans="1:4" hidden="1">
      <c r="A113">
        <v>110</v>
      </c>
      <c r="B113" s="64" t="s">
        <v>2165</v>
      </c>
      <c r="C113" s="56"/>
      <c r="D113" s="57">
        <f>VLOOKUP(B113,'标准件 每周更新'!$B:$C,2,0)</f>
        <v>0.98</v>
      </c>
    </row>
    <row r="114" spans="1:4" hidden="1">
      <c r="A114">
        <v>111</v>
      </c>
      <c r="B114" s="64" t="s">
        <v>2166</v>
      </c>
      <c r="C114" s="56"/>
      <c r="D114" s="57">
        <f>VLOOKUP(B114,'标准件 每周更新'!$B:$C,2,0)</f>
        <v>0.3</v>
      </c>
    </row>
    <row r="115" spans="1:4">
      <c r="A115">
        <v>112</v>
      </c>
      <c r="B115" s="55" t="s">
        <v>2167</v>
      </c>
      <c r="C115" s="56"/>
      <c r="D115" s="57">
        <f>VLOOKUP(B115,'标准件 每周更新'!$B:$C,2,0)</f>
        <v>3.5999999999999997E-2</v>
      </c>
    </row>
    <row r="116" spans="1:4">
      <c r="A116">
        <v>113</v>
      </c>
      <c r="B116" s="55" t="s">
        <v>2168</v>
      </c>
      <c r="C116" s="56"/>
      <c r="D116" s="57">
        <f>VLOOKUP(B116,'标准件 每周更新'!$B:$C,2,0)</f>
        <v>4.4999999999999998E-2</v>
      </c>
    </row>
    <row r="117" spans="1:4" hidden="1">
      <c r="A117">
        <v>114</v>
      </c>
      <c r="B117" s="55" t="s">
        <v>2169</v>
      </c>
      <c r="C117" s="56"/>
      <c r="D117" s="57">
        <f>VLOOKUP(B117,'标准件 每周更新'!$B:$C,2,0)</f>
        <v>7.9000000000000001E-2</v>
      </c>
    </row>
    <row r="118" spans="1:4" hidden="1">
      <c r="A118">
        <v>115</v>
      </c>
      <c r="B118" s="55" t="s">
        <v>2170</v>
      </c>
      <c r="C118" s="56"/>
      <c r="D118" s="57">
        <f>VLOOKUP(B118,'标准件 每周更新'!$B:$C,2,0)</f>
        <v>0.09</v>
      </c>
    </row>
    <row r="119" spans="1:4" hidden="1">
      <c r="A119">
        <v>116</v>
      </c>
      <c r="B119" s="55" t="s">
        <v>2171</v>
      </c>
      <c r="C119" s="56"/>
      <c r="D119" s="57">
        <f>VLOOKUP(B119,'标准件 每周更新'!$B:$C,2,0)</f>
        <v>8.5000000000000006E-2</v>
      </c>
    </row>
    <row r="120" spans="1:4" hidden="1">
      <c r="A120">
        <v>117</v>
      </c>
      <c r="B120" s="55" t="s">
        <v>2172</v>
      </c>
      <c r="C120" s="56"/>
      <c r="D120" s="57">
        <f>VLOOKUP(B120,'标准件 每周更新'!$B:$C,2,0)</f>
        <v>0.13</v>
      </c>
    </row>
    <row r="121" spans="1:4" hidden="1">
      <c r="A121">
        <v>118</v>
      </c>
      <c r="B121" s="55" t="s">
        <v>2173</v>
      </c>
      <c r="C121" s="56"/>
      <c r="D121" s="57">
        <f>VLOOKUP(B121,'标准件 每周更新'!$B:$C,2,0)</f>
        <v>0.11</v>
      </c>
    </row>
    <row r="122" spans="1:4" hidden="1">
      <c r="A122">
        <v>119</v>
      </c>
      <c r="B122" s="55" t="s">
        <v>2174</v>
      </c>
      <c r="C122" s="56"/>
      <c r="D122" s="57">
        <f>VLOOKUP(B122,'标准件 每周更新'!$B:$C,2,0)</f>
        <v>0.14000000000000001</v>
      </c>
    </row>
    <row r="123" spans="1:4" hidden="1">
      <c r="A123">
        <v>120</v>
      </c>
      <c r="B123" s="55" t="s">
        <v>2175</v>
      </c>
      <c r="C123" s="56"/>
      <c r="D123" s="57">
        <f>VLOOKUP(B123,'标准件 每周更新'!$B:$C,2,0)</f>
        <v>0.27</v>
      </c>
    </row>
    <row r="124" spans="1:4" hidden="1">
      <c r="A124">
        <v>121</v>
      </c>
      <c r="B124" s="55" t="s">
        <v>2176</v>
      </c>
      <c r="C124" s="56"/>
      <c r="D124" s="57">
        <f>VLOOKUP(B124,'标准件 每周更新'!$B:$C,2,0)</f>
        <v>0.31</v>
      </c>
    </row>
    <row r="125" spans="1:4" hidden="1">
      <c r="A125">
        <v>122</v>
      </c>
      <c r="B125" s="55" t="s">
        <v>2177</v>
      </c>
      <c r="C125" s="56"/>
      <c r="D125" s="57">
        <f>VLOOKUP(B125,'标准件 每周更新'!$B:$C,2,0)</f>
        <v>0.5</v>
      </c>
    </row>
    <row r="126" spans="1:4" hidden="1">
      <c r="A126">
        <v>123</v>
      </c>
      <c r="B126" s="55" t="s">
        <v>2178</v>
      </c>
      <c r="C126" s="56"/>
      <c r="D126" s="57">
        <f>VLOOKUP(B126,'标准件 每周更新'!$B:$C,2,0)</f>
        <v>0.9</v>
      </c>
    </row>
    <row r="127" spans="1:4">
      <c r="A127">
        <v>124</v>
      </c>
      <c r="B127" s="58" t="s">
        <v>2179</v>
      </c>
      <c r="C127" s="56"/>
      <c r="D127" s="57">
        <f>VLOOKUP(B127,'标准件 每周更新'!$B:$C,2,0)</f>
        <v>1.4E-2</v>
      </c>
    </row>
    <row r="128" spans="1:4" hidden="1">
      <c r="A128">
        <v>125</v>
      </c>
      <c r="B128" s="58" t="s">
        <v>2180</v>
      </c>
      <c r="C128" s="56"/>
      <c r="D128" s="57">
        <f>VLOOKUP(B128,'标准件 每周更新'!$B:$C,2,0)</f>
        <v>2.1999999999999999E-2</v>
      </c>
    </row>
    <row r="129" spans="1:4" hidden="1">
      <c r="A129">
        <v>126</v>
      </c>
      <c r="B129" s="58" t="s">
        <v>2181</v>
      </c>
      <c r="C129" s="56"/>
      <c r="D129" s="57">
        <f>VLOOKUP(B129,'标准件 每周更新'!$B:$C,2,0)</f>
        <v>3.4000000000000002E-2</v>
      </c>
    </row>
    <row r="130" spans="1:4" hidden="1">
      <c r="A130">
        <v>127</v>
      </c>
      <c r="B130" s="58" t="s">
        <v>2182</v>
      </c>
      <c r="C130" s="56"/>
      <c r="D130" s="57">
        <f>VLOOKUP(B130,'标准件 每周更新'!$B:$C,2,0)</f>
        <v>5.6000000000000001E-2</v>
      </c>
    </row>
    <row r="131" spans="1:4" hidden="1">
      <c r="A131">
        <v>128</v>
      </c>
      <c r="B131" s="58" t="s">
        <v>2183</v>
      </c>
      <c r="C131" s="56"/>
      <c r="D131" s="57">
        <f>VLOOKUP(B131,'标准件 每周更新'!$B:$C,2,0)</f>
        <v>0.11</v>
      </c>
    </row>
    <row r="132" spans="1:4" hidden="1">
      <c r="A132">
        <v>129</v>
      </c>
      <c r="B132" s="58" t="s">
        <v>2184</v>
      </c>
      <c r="C132" s="56"/>
      <c r="D132" s="57">
        <f>VLOOKUP(B132,'标准件 每周更新'!$B:$C,2,0)</f>
        <v>0.2</v>
      </c>
    </row>
    <row r="133" spans="1:4">
      <c r="A133">
        <v>130</v>
      </c>
      <c r="B133" s="58" t="s">
        <v>2185</v>
      </c>
      <c r="C133" s="56"/>
      <c r="D133" s="57">
        <f>VLOOKUP(B133,'标准件 每周更新'!$B:$C,2,0)</f>
        <v>1.4E-2</v>
      </c>
    </row>
    <row r="134" spans="1:4" hidden="1">
      <c r="A134">
        <v>131</v>
      </c>
      <c r="B134" s="58" t="s">
        <v>2186</v>
      </c>
      <c r="C134" s="56"/>
      <c r="D134" s="57">
        <f>VLOOKUP(B134,'标准件 每周更新'!$B:$C,2,0)</f>
        <v>2.5000000000000001E-2</v>
      </c>
    </row>
    <row r="135" spans="1:4" hidden="1">
      <c r="A135">
        <v>132</v>
      </c>
      <c r="B135" s="58" t="s">
        <v>2187</v>
      </c>
      <c r="C135" s="56"/>
      <c r="D135" s="57">
        <f>VLOOKUP(B135,'标准件 每周更新'!$B:$C,2,0)</f>
        <v>0.09</v>
      </c>
    </row>
    <row r="136" spans="1:4" hidden="1">
      <c r="A136">
        <v>133</v>
      </c>
      <c r="B136" s="58" t="s">
        <v>2188</v>
      </c>
      <c r="C136" s="56"/>
      <c r="D136" s="57">
        <f>VLOOKUP(B136,'标准件 每周更新'!$B:$C,2,0)</f>
        <v>0.16</v>
      </c>
    </row>
    <row r="137" spans="1:4" hidden="1">
      <c r="A137">
        <v>134</v>
      </c>
      <c r="B137" s="58" t="s">
        <v>2189</v>
      </c>
      <c r="C137" s="56"/>
      <c r="D137" s="57">
        <f>VLOOKUP(B137,'标准件 每周更新'!$B:$C,2,0)</f>
        <v>4.4999999999999998E-2</v>
      </c>
    </row>
    <row r="138" spans="1:4" hidden="1">
      <c r="A138">
        <v>135</v>
      </c>
      <c r="B138" s="55" t="s">
        <v>2190</v>
      </c>
      <c r="C138" s="56"/>
      <c r="D138" s="57">
        <f>VLOOKUP(B138,'标准件 每周更新'!$B:$C,2,0)</f>
        <v>7.0000000000000007E-2</v>
      </c>
    </row>
    <row r="139" spans="1:4" hidden="1">
      <c r="A139">
        <v>136</v>
      </c>
      <c r="B139" s="55" t="s">
        <v>2191</v>
      </c>
      <c r="C139" s="56"/>
      <c r="D139" s="57">
        <f>VLOOKUP(B139,'标准件 每周更新'!$B:$C,2,0)</f>
        <v>0.5</v>
      </c>
    </row>
    <row r="140" spans="1:4" hidden="1">
      <c r="A140">
        <v>137</v>
      </c>
      <c r="B140" s="55" t="s">
        <v>2192</v>
      </c>
      <c r="C140" s="56"/>
      <c r="D140" s="57">
        <f>VLOOKUP(B140,'标准件 每周更新'!$B:$C,2,0)</f>
        <v>0.52</v>
      </c>
    </row>
    <row r="141" spans="1:4" hidden="1">
      <c r="A141">
        <v>138</v>
      </c>
      <c r="B141" s="58" t="s">
        <v>2193</v>
      </c>
      <c r="C141" s="56"/>
      <c r="D141" s="57">
        <f>VLOOKUP(B141,'标准件 每周更新'!$B:$C,2,0)</f>
        <v>0.09</v>
      </c>
    </row>
    <row r="142" spans="1:4" hidden="1">
      <c r="A142">
        <v>139</v>
      </c>
      <c r="B142" s="58" t="s">
        <v>2194</v>
      </c>
      <c r="C142" s="56"/>
      <c r="D142" s="57">
        <f>VLOOKUP(B142,'标准件 每周更新'!$B:$C,2,0)</f>
        <v>9.5000000000000001E-2</v>
      </c>
    </row>
    <row r="143" spans="1:4" hidden="1">
      <c r="A143">
        <v>140</v>
      </c>
      <c r="B143" s="58" t="s">
        <v>2195</v>
      </c>
      <c r="C143" s="56"/>
      <c r="D143" s="57">
        <f>VLOOKUP(B143,'标准件 每周更新'!$B:$C,2,0)</f>
        <v>0.13500000000000001</v>
      </c>
    </row>
    <row r="144" spans="1:4" hidden="1">
      <c r="A144">
        <v>141</v>
      </c>
      <c r="B144" s="58" t="s">
        <v>2196</v>
      </c>
      <c r="C144" s="56"/>
      <c r="D144" s="57">
        <f>VLOOKUP(B144,'标准件 每周更新'!$B:$C,2,0)</f>
        <v>0.17</v>
      </c>
    </row>
    <row r="145" spans="1:4" hidden="1">
      <c r="A145">
        <v>142</v>
      </c>
      <c r="B145" s="58" t="s">
        <v>2197</v>
      </c>
      <c r="C145" s="56"/>
      <c r="D145" s="57">
        <f>VLOOKUP(B145,'标准件 每周更新'!$B:$C,2,0)</f>
        <v>0.245</v>
      </c>
    </row>
    <row r="146" spans="1:4" hidden="1">
      <c r="A146">
        <v>143</v>
      </c>
      <c r="B146" s="65" t="s">
        <v>2198</v>
      </c>
      <c r="C146" s="66" t="s">
        <v>1123</v>
      </c>
      <c r="D146" s="57">
        <f>VLOOKUP(B146,'标准件 每周更新'!$B:$C,2,0)</f>
        <v>0.09</v>
      </c>
    </row>
    <row r="147" spans="1:4" hidden="1">
      <c r="A147">
        <v>144</v>
      </c>
      <c r="B147" s="67" t="s">
        <v>2199</v>
      </c>
      <c r="C147" s="66" t="s">
        <v>1116</v>
      </c>
      <c r="D147" s="57">
        <f>VLOOKUP(B147,'标准件 每周更新'!$B:$C,2,0)</f>
        <v>0.1</v>
      </c>
    </row>
    <row r="148" spans="1:4" hidden="1">
      <c r="A148">
        <v>145</v>
      </c>
      <c r="B148" s="67" t="s">
        <v>2200</v>
      </c>
      <c r="C148" s="56" t="s">
        <v>1087</v>
      </c>
      <c r="D148" s="57">
        <f>VLOOKUP(B148,'标准件 每周更新'!$B:$C,2,0)</f>
        <v>0.18</v>
      </c>
    </row>
    <row r="149" spans="1:4" hidden="1">
      <c r="A149">
        <v>146</v>
      </c>
      <c r="B149" s="67" t="s">
        <v>2201</v>
      </c>
      <c r="C149" s="56"/>
      <c r="D149" s="57">
        <f>VLOOKUP(B149,'标准件 每周更新'!$B:$C,2,0)</f>
        <v>0.13</v>
      </c>
    </row>
    <row r="150" spans="1:4" hidden="1">
      <c r="A150">
        <v>147</v>
      </c>
      <c r="B150" s="67" t="s">
        <v>2202</v>
      </c>
      <c r="C150" s="56"/>
      <c r="D150" s="57">
        <f>VLOOKUP(B150,'标准件 每周更新'!$B:$C,2,0)</f>
        <v>0.35</v>
      </c>
    </row>
    <row r="151" spans="1:4" hidden="1">
      <c r="A151">
        <v>148</v>
      </c>
      <c r="B151" s="58" t="s">
        <v>2203</v>
      </c>
      <c r="C151" s="56" t="s">
        <v>913</v>
      </c>
      <c r="D151" s="57">
        <f>VLOOKUP(B151,'标准件 每周更新'!$B:$C,2,0)</f>
        <v>0.49</v>
      </c>
    </row>
    <row r="152" spans="1:4" hidden="1">
      <c r="A152">
        <v>149</v>
      </c>
      <c r="B152" s="58" t="s">
        <v>2204</v>
      </c>
      <c r="C152" s="56"/>
      <c r="D152" s="57">
        <f>VLOOKUP(B152,'标准件 每周更新'!$B:$C,2,0)</f>
        <v>0.55000000000000004</v>
      </c>
    </row>
    <row r="153" spans="1:4" hidden="1">
      <c r="A153">
        <v>150</v>
      </c>
      <c r="B153" s="58" t="s">
        <v>2205</v>
      </c>
      <c r="C153" s="56" t="s">
        <v>893</v>
      </c>
      <c r="D153" s="57">
        <f>VLOOKUP(B153,'标准件 每周更新'!$B:$C,2,0)</f>
        <v>0.57999999999999996</v>
      </c>
    </row>
    <row r="154" spans="1:4" hidden="1">
      <c r="A154">
        <v>151</v>
      </c>
      <c r="B154" s="58" t="s">
        <v>2206</v>
      </c>
      <c r="C154" s="56"/>
      <c r="D154" s="57">
        <f>VLOOKUP(B154,'标准件 每周更新'!$B:$C,2,0)</f>
        <v>0.64</v>
      </c>
    </row>
    <row r="155" spans="1:4" hidden="1">
      <c r="A155">
        <v>152</v>
      </c>
      <c r="B155" s="58" t="s">
        <v>2207</v>
      </c>
      <c r="C155" s="56" t="s">
        <v>902</v>
      </c>
      <c r="D155" s="57">
        <f>VLOOKUP(B155,'标准件 每周更新'!$B:$C,2,0)</f>
        <v>0.65</v>
      </c>
    </row>
    <row r="156" spans="1:4" hidden="1">
      <c r="A156">
        <v>153</v>
      </c>
      <c r="B156" s="58" t="s">
        <v>2208</v>
      </c>
      <c r="C156" s="56"/>
      <c r="D156" s="57">
        <f>VLOOKUP(B156,'标准件 每周更新'!$B:$C,2,0)</f>
        <v>0.75</v>
      </c>
    </row>
    <row r="157" spans="1:4" hidden="1">
      <c r="A157">
        <v>154</v>
      </c>
      <c r="B157" s="58" t="s">
        <v>2209</v>
      </c>
      <c r="C157" s="56" t="s">
        <v>908</v>
      </c>
      <c r="D157" s="57">
        <f>VLOOKUP(B157,'标准件 每周更新'!$B:$C,2,0)</f>
        <v>0.75</v>
      </c>
    </row>
    <row r="158" spans="1:4" hidden="1">
      <c r="A158">
        <v>155</v>
      </c>
      <c r="B158" s="58" t="s">
        <v>2210</v>
      </c>
      <c r="C158" s="56"/>
      <c r="D158" s="57">
        <f>VLOOKUP(B158,'标准件 每周更新'!$B:$C,2,0)</f>
        <v>17.5</v>
      </c>
    </row>
    <row r="159" spans="1:4" hidden="1">
      <c r="A159">
        <v>156</v>
      </c>
      <c r="B159" s="67" t="s">
        <v>2211</v>
      </c>
      <c r="C159" s="56"/>
      <c r="D159" s="57">
        <f>VLOOKUP(B159,'标准件 每周更新'!$B:$C,2,0)</f>
        <v>0.16</v>
      </c>
    </row>
    <row r="160" spans="1:4" hidden="1">
      <c r="A160">
        <v>157</v>
      </c>
      <c r="B160" s="67" t="s">
        <v>2212</v>
      </c>
      <c r="C160" s="56"/>
      <c r="D160" s="57">
        <f>VLOOKUP(B160,'标准件 每周更新'!$B:$C,2,0)</f>
        <v>0.125</v>
      </c>
    </row>
    <row r="161" spans="1:4" hidden="1">
      <c r="A161">
        <v>158</v>
      </c>
      <c r="B161" s="64" t="s">
        <v>2213</v>
      </c>
      <c r="C161" s="56"/>
      <c r="D161" s="57">
        <f>VLOOKUP(B161,'标准件 每周更新'!$B:$C,2,0)</f>
        <v>0.24</v>
      </c>
    </row>
    <row r="162" spans="1:4" hidden="1">
      <c r="A162">
        <v>159</v>
      </c>
      <c r="B162" s="64" t="s">
        <v>2214</v>
      </c>
      <c r="C162" s="56"/>
      <c r="D162" s="57">
        <f>VLOOKUP(B162,'标准件 每周更新'!$B:$C,2,0)</f>
        <v>0.42</v>
      </c>
    </row>
    <row r="163" spans="1:4" hidden="1">
      <c r="A163">
        <v>160</v>
      </c>
      <c r="B163" s="64" t="s">
        <v>2215</v>
      </c>
      <c r="C163" s="56"/>
      <c r="D163" s="57">
        <f>VLOOKUP(B163,'标准件 每周更新'!$B:$C,2,0)</f>
        <v>0.32</v>
      </c>
    </row>
    <row r="164" spans="1:4" hidden="1">
      <c r="A164">
        <v>161</v>
      </c>
      <c r="B164" s="67" t="s">
        <v>2216</v>
      </c>
      <c r="C164" s="56"/>
      <c r="D164" s="57">
        <f>VLOOKUP(B164,'标准件 每周更新'!$B:$C,2,0)</f>
        <v>0.65</v>
      </c>
    </row>
    <row r="165" spans="1:4" hidden="1">
      <c r="A165">
        <v>162</v>
      </c>
      <c r="B165" s="64" t="s">
        <v>2217</v>
      </c>
      <c r="C165" s="56"/>
      <c r="D165" s="57">
        <f>VLOOKUP(B165,'标准件 每周更新'!$B:$C,2,0)</f>
        <v>0.33</v>
      </c>
    </row>
    <row r="166" spans="1:4">
      <c r="A166">
        <v>163</v>
      </c>
      <c r="B166" s="67" t="s">
        <v>2218</v>
      </c>
      <c r="C166" s="56"/>
      <c r="D166" s="57">
        <f>VLOOKUP(B166,'标准件 每周更新'!$B:$C,2,0)</f>
        <v>0.8</v>
      </c>
    </row>
    <row r="167" spans="1:4">
      <c r="A167">
        <v>164</v>
      </c>
      <c r="B167" s="67" t="s">
        <v>2219</v>
      </c>
      <c r="C167" s="56"/>
      <c r="D167" s="57">
        <f>VLOOKUP(B167,'标准件 每周更新'!$B:$C,2,0)</f>
        <v>1.46</v>
      </c>
    </row>
    <row r="168" spans="1:4" hidden="1">
      <c r="A168">
        <v>165</v>
      </c>
      <c r="B168" s="67" t="s">
        <v>2220</v>
      </c>
      <c r="C168" s="56"/>
      <c r="D168" s="57">
        <f>VLOOKUP(B168,'标准件 每周更新'!$B:$C,2,0)</f>
        <v>0.25</v>
      </c>
    </row>
    <row r="169" spans="1:4">
      <c r="A169">
        <v>166</v>
      </c>
      <c r="B169" s="64" t="s">
        <v>2221</v>
      </c>
      <c r="C169" s="56"/>
      <c r="D169" s="57">
        <f>VLOOKUP(B169,'标准件 每周更新'!$B:$C,2,0)</f>
        <v>0.38</v>
      </c>
    </row>
    <row r="170" spans="1:4" hidden="1">
      <c r="A170">
        <v>167</v>
      </c>
      <c r="B170" s="64" t="s">
        <v>2222</v>
      </c>
      <c r="C170" s="56"/>
      <c r="D170" s="57">
        <f>VLOOKUP(B170,'标准件 每周更新'!$B:$C,2,0)</f>
        <v>13</v>
      </c>
    </row>
    <row r="171" spans="1:4" hidden="1">
      <c r="A171">
        <v>168</v>
      </c>
      <c r="B171" s="64" t="s">
        <v>2223</v>
      </c>
      <c r="C171" s="56"/>
      <c r="D171" s="57">
        <f>VLOOKUP(B171,'标准件 每周更新'!$B:$C,2,0)</f>
        <v>17.5</v>
      </c>
    </row>
    <row r="172" spans="1:4" hidden="1">
      <c r="A172">
        <v>169</v>
      </c>
      <c r="B172" s="64" t="s">
        <v>2224</v>
      </c>
      <c r="C172" s="56"/>
      <c r="D172" s="57">
        <f>VLOOKUP(B172,'标准件 每周更新'!$B:$C,2,0)</f>
        <v>0.23</v>
      </c>
    </row>
    <row r="173" spans="1:4" hidden="1">
      <c r="A173">
        <v>170</v>
      </c>
      <c r="B173" s="67" t="s">
        <v>2225</v>
      </c>
      <c r="C173" s="56"/>
      <c r="D173" s="57">
        <f>VLOOKUP(B173,'标准件 每周更新'!$B:$C,2,0)</f>
        <v>4.8000000000000001E-2</v>
      </c>
    </row>
    <row r="174" spans="1:4" hidden="1">
      <c r="A174">
        <v>171</v>
      </c>
      <c r="B174" s="67" t="s">
        <v>2226</v>
      </c>
      <c r="C174" s="56"/>
      <c r="D174" s="57">
        <f>VLOOKUP(B174,'标准件 每周更新'!$B:$C,2,0)</f>
        <v>5.0999999999999997E-2</v>
      </c>
    </row>
    <row r="175" spans="1:4" hidden="1">
      <c r="A175">
        <v>172</v>
      </c>
      <c r="B175" s="67" t="s">
        <v>2227</v>
      </c>
      <c r="C175" s="56"/>
      <c r="D175" s="57">
        <f>VLOOKUP(B175,'标准件 每周更新'!$B:$C,2,0)</f>
        <v>0.14000000000000001</v>
      </c>
    </row>
    <row r="176" spans="1:4" hidden="1">
      <c r="A176">
        <v>173</v>
      </c>
      <c r="B176" s="67" t="s">
        <v>2228</v>
      </c>
      <c r="C176" s="56"/>
      <c r="D176" s="57">
        <f>VLOOKUP(B176,'标准件 每周更新'!$B:$C,2,0)</f>
        <v>0.13</v>
      </c>
    </row>
    <row r="177" spans="1:4" hidden="1">
      <c r="A177">
        <v>174</v>
      </c>
      <c r="B177" s="67" t="s">
        <v>2229</v>
      </c>
      <c r="C177" s="67" t="s">
        <v>2230</v>
      </c>
      <c r="D177" s="57">
        <f>VLOOKUP(B177,'标准件 每周更新'!$B:$C,2,0)</f>
        <v>9.1999999999999993</v>
      </c>
    </row>
    <row r="178" spans="1:4" hidden="1">
      <c r="A178">
        <v>175</v>
      </c>
      <c r="B178" s="64" t="s">
        <v>2231</v>
      </c>
      <c r="C178" s="56"/>
      <c r="D178" s="57">
        <f>VLOOKUP(B178,'标准件 每周更新'!$B:$C,2,0)</f>
        <v>1.65</v>
      </c>
    </row>
    <row r="179" spans="1:4" hidden="1">
      <c r="A179">
        <v>176</v>
      </c>
      <c r="B179" s="67" t="s">
        <v>2232</v>
      </c>
      <c r="C179" s="56"/>
      <c r="D179" s="57">
        <f>VLOOKUP(B179,'标准件 每周更新'!$B:$C,2,0)</f>
        <v>0.68</v>
      </c>
    </row>
    <row r="180" spans="1:4" hidden="1">
      <c r="A180">
        <v>177</v>
      </c>
      <c r="B180" s="64" t="s">
        <v>2233</v>
      </c>
      <c r="C180" s="56"/>
      <c r="D180" s="57">
        <f>VLOOKUP(B180,'标准件 每周更新'!$B:$C,2,0)</f>
        <v>1.02</v>
      </c>
    </row>
    <row r="181" spans="1:4" hidden="1">
      <c r="A181">
        <v>178</v>
      </c>
      <c r="B181" s="67" t="s">
        <v>2234</v>
      </c>
      <c r="C181" s="56"/>
      <c r="D181" s="57">
        <f>VLOOKUP(B181,'标准件 每周更新'!$B:$C,2,0)</f>
        <v>0.43</v>
      </c>
    </row>
    <row r="182" spans="1:4" hidden="1">
      <c r="A182">
        <v>179</v>
      </c>
      <c r="B182" s="64" t="s">
        <v>2235</v>
      </c>
      <c r="C182" s="56"/>
      <c r="D182" s="57">
        <f>VLOOKUP(B182,'标准件 每周更新'!$B:$C,2,0)</f>
        <v>1</v>
      </c>
    </row>
    <row r="183" spans="1:4" hidden="1">
      <c r="A183">
        <v>180</v>
      </c>
      <c r="B183" s="67" t="s">
        <v>2236</v>
      </c>
      <c r="C183" s="56"/>
      <c r="D183" s="57">
        <f>VLOOKUP(B183,'标准件 每周更新'!$B:$C,2,0)</f>
        <v>0.54</v>
      </c>
    </row>
    <row r="184" spans="1:4" hidden="1">
      <c r="A184">
        <v>181</v>
      </c>
      <c r="B184" s="64" t="s">
        <v>2237</v>
      </c>
      <c r="C184" s="56"/>
      <c r="D184" s="57">
        <f>VLOOKUP(B184,'标准件 每周更新'!$B:$C,2,0)</f>
        <v>18.100000000000001</v>
      </c>
    </row>
    <row r="185" spans="1:4" hidden="1">
      <c r="A185">
        <v>182</v>
      </c>
      <c r="B185" s="64" t="s">
        <v>2238</v>
      </c>
      <c r="C185" s="56"/>
      <c r="D185" s="57">
        <f>VLOOKUP(B185,'标准件 每周更新'!$B:$C,2,0)</f>
        <v>12.3</v>
      </c>
    </row>
    <row r="186" spans="1:4" hidden="1">
      <c r="B186" s="64"/>
      <c r="C186" s="56"/>
      <c r="D186" s="57"/>
    </row>
    <row r="187" spans="1:4" hidden="1">
      <c r="B187" s="64"/>
      <c r="C187" s="56"/>
      <c r="D187" s="57"/>
    </row>
    <row r="188" spans="1:4" hidden="1">
      <c r="B188" s="64"/>
      <c r="C188" s="56"/>
      <c r="D188" s="57"/>
    </row>
    <row r="189" spans="1:4" hidden="1">
      <c r="B189" s="64"/>
      <c r="C189" s="56"/>
      <c r="D189" s="57"/>
    </row>
    <row r="190" spans="1:4" hidden="1">
      <c r="B190" s="64"/>
      <c r="C190" s="56"/>
      <c r="D190" s="57"/>
    </row>
    <row r="191" spans="1:4" hidden="1">
      <c r="B191" s="64"/>
      <c r="C191" s="56"/>
      <c r="D191" s="57"/>
    </row>
    <row r="192" spans="1:4" hidden="1">
      <c r="B192" s="64"/>
      <c r="C192" s="56"/>
      <c r="D192" s="57"/>
    </row>
    <row r="193" spans="1:14" hidden="1">
      <c r="B193" s="64"/>
      <c r="C193" s="56"/>
      <c r="D193" s="57"/>
    </row>
    <row r="194" spans="1:14" hidden="1">
      <c r="B194" s="64"/>
      <c r="C194" s="56"/>
      <c r="D194" s="57"/>
    </row>
    <row r="195" spans="1:14" hidden="1">
      <c r="B195" s="64"/>
      <c r="C195" s="56"/>
      <c r="D195" s="57"/>
    </row>
    <row r="196" spans="1:14" hidden="1">
      <c r="B196" s="64"/>
      <c r="C196" s="56"/>
      <c r="D196" s="57"/>
    </row>
    <row r="197" spans="1:14" hidden="1">
      <c r="B197" s="67" t="s">
        <v>2239</v>
      </c>
      <c r="C197" s="56"/>
      <c r="D197" s="57"/>
    </row>
    <row r="198" spans="1:14" ht="15" hidden="1">
      <c r="A198" s="68" t="s">
        <v>2240</v>
      </c>
      <c r="B198" s="69" t="s">
        <v>2241</v>
      </c>
      <c r="C198" s="61" t="s">
        <v>327</v>
      </c>
      <c r="D198" s="57">
        <f>VLOOKUP(B198,'标准件 每周更新'!$B:$C,2,0)</f>
        <v>0.19600000000000001</v>
      </c>
    </row>
    <row r="199" spans="1:14" hidden="1">
      <c r="A199" s="68" t="s">
        <v>2242</v>
      </c>
      <c r="B199" s="67" t="s">
        <v>2243</v>
      </c>
      <c r="C199" s="56"/>
      <c r="D199" s="57">
        <f>VLOOKUP(B199,'标准件 每周更新'!$B:$C,2,0)</f>
        <v>8.5000000000000006E-2</v>
      </c>
      <c r="L199" s="70" t="s">
        <v>1198</v>
      </c>
      <c r="M199" s="70" t="s">
        <v>1199</v>
      </c>
      <c r="N199" s="71">
        <v>0.1099</v>
      </c>
    </row>
    <row r="200" spans="1:14" hidden="1">
      <c r="A200" s="68" t="s">
        <v>2244</v>
      </c>
      <c r="B200" s="55" t="s">
        <v>2245</v>
      </c>
      <c r="C200" s="56"/>
      <c r="D200" s="57" t="e">
        <f>VLOOKUP(B200,'标准件 每周更新'!$B:$C,2,0)</f>
        <v>#N/A</v>
      </c>
      <c r="L200" s="70" t="s">
        <v>1200</v>
      </c>
      <c r="M200" s="70" t="s">
        <v>1201</v>
      </c>
      <c r="N200" s="71">
        <v>0.13266500000000001</v>
      </c>
    </row>
    <row r="201" spans="1:14" hidden="1">
      <c r="A201" s="68" t="s">
        <v>2246</v>
      </c>
      <c r="B201" s="67" t="s">
        <v>291</v>
      </c>
      <c r="C201" s="56" t="s">
        <v>1161</v>
      </c>
      <c r="D201" s="57">
        <v>1.85986125</v>
      </c>
      <c r="E201">
        <f>0.159*1.5</f>
        <v>0.23849999999999999</v>
      </c>
      <c r="L201" s="70" t="s">
        <v>1200</v>
      </c>
      <c r="M201" s="70" t="s">
        <v>1201</v>
      </c>
      <c r="N201" s="71">
        <v>0.13266500000000001</v>
      </c>
    </row>
    <row r="202" spans="1:14" hidden="1">
      <c r="A202" s="68" t="s">
        <v>2247</v>
      </c>
      <c r="B202" s="67" t="s">
        <v>291</v>
      </c>
      <c r="C202" s="56" t="s">
        <v>1138</v>
      </c>
      <c r="D202" s="57">
        <v>1.7909774999999999</v>
      </c>
      <c r="E202">
        <f>N201*1.5</f>
        <v>0.19899749999999999</v>
      </c>
      <c r="L202" s="70" t="s">
        <v>1202</v>
      </c>
      <c r="M202" s="70" t="s">
        <v>1203</v>
      </c>
      <c r="N202" s="71">
        <v>0.15896250000000001</v>
      </c>
    </row>
    <row r="203" spans="1:14" hidden="1">
      <c r="A203" s="68" t="s">
        <v>2248</v>
      </c>
      <c r="B203" s="67" t="s">
        <v>291</v>
      </c>
      <c r="C203" s="72" t="s">
        <v>1132</v>
      </c>
      <c r="D203" s="57">
        <v>1.4836499999999999</v>
      </c>
      <c r="E203">
        <f t="shared" ref="E203:E205" si="0">VLOOKUP(C203,L:N,3,1)</f>
        <v>6.5056875E-2</v>
      </c>
      <c r="L203" s="70" t="s">
        <v>1204</v>
      </c>
      <c r="M203" s="70" t="s">
        <v>1205</v>
      </c>
      <c r="N203" s="71">
        <v>0.18251249999999999</v>
      </c>
    </row>
    <row r="204" spans="1:14" hidden="1">
      <c r="A204" s="68" t="s">
        <v>2249</v>
      </c>
      <c r="B204" s="67" t="s">
        <v>291</v>
      </c>
      <c r="C204" s="72" t="s">
        <v>1210</v>
      </c>
      <c r="D204" s="57">
        <v>2.62818</v>
      </c>
      <c r="E204">
        <f>N203*1.5</f>
        <v>0.27376875000000001</v>
      </c>
      <c r="L204" s="70" t="s">
        <v>1174</v>
      </c>
      <c r="M204" s="70" t="s">
        <v>1173</v>
      </c>
      <c r="N204" s="71">
        <f>0.17*0.2*1.5*7.85</f>
        <v>0.40034999999999998</v>
      </c>
    </row>
    <row r="205" spans="1:14" hidden="1">
      <c r="A205" s="68" t="s">
        <v>2250</v>
      </c>
      <c r="B205" s="67" t="s">
        <v>291</v>
      </c>
      <c r="C205" s="72" t="s">
        <v>1188</v>
      </c>
      <c r="D205" s="57">
        <v>0.71562562500000004</v>
      </c>
      <c r="E205">
        <f t="shared" si="0"/>
        <v>6.5056875E-2</v>
      </c>
      <c r="L205" s="70" t="s">
        <v>1132</v>
      </c>
      <c r="M205" s="70" t="s">
        <v>1206</v>
      </c>
      <c r="N205" s="71">
        <v>0.16485</v>
      </c>
    </row>
    <row r="206" spans="1:14" hidden="1">
      <c r="A206" s="68" t="s">
        <v>2251</v>
      </c>
      <c r="B206" s="67" t="s">
        <v>291</v>
      </c>
      <c r="C206" s="56" t="s">
        <v>2252</v>
      </c>
      <c r="D206" s="57">
        <v>1</v>
      </c>
      <c r="E206" s="73">
        <f>N210</f>
        <v>6.5056875E-2</v>
      </c>
      <c r="L206" s="70" t="s">
        <v>1150</v>
      </c>
      <c r="M206" s="70" t="s">
        <v>1207</v>
      </c>
      <c r="N206" s="71">
        <f>0.13*0.2*1.5*7.85</f>
        <v>0.30614999999999998</v>
      </c>
    </row>
    <row r="207" spans="1:14" hidden="1">
      <c r="A207" s="68" t="s">
        <v>2253</v>
      </c>
      <c r="B207" s="67" t="s">
        <v>291</v>
      </c>
      <c r="C207" s="56" t="s">
        <v>2254</v>
      </c>
      <c r="D207" s="57">
        <v>0.84191249999999995</v>
      </c>
      <c r="E207" s="73">
        <f>N211</f>
        <v>6.5056875E-2</v>
      </c>
      <c r="L207" s="70" t="s">
        <v>1138</v>
      </c>
      <c r="M207" s="70" t="s">
        <v>1208</v>
      </c>
      <c r="N207" s="71">
        <v>0.19899749999999999</v>
      </c>
    </row>
    <row r="208" spans="1:14">
      <c r="A208" s="68" t="s">
        <v>2255</v>
      </c>
      <c r="B208" s="74" t="s">
        <v>2256</v>
      </c>
      <c r="C208" s="56"/>
      <c r="D208" s="57">
        <f>VLOOKUP(B208,'标准件 每周更新'!$B:$C,2,0)</f>
        <v>2.2999999999999998</v>
      </c>
      <c r="L208" s="70" t="s">
        <v>1161</v>
      </c>
      <c r="M208" s="70" t="s">
        <v>1209</v>
      </c>
      <c r="N208" s="71">
        <v>0.23844375000000001</v>
      </c>
    </row>
    <row r="209" spans="1:14" hidden="1">
      <c r="A209" s="68" t="s">
        <v>2257</v>
      </c>
      <c r="B209" s="67" t="s">
        <v>2258</v>
      </c>
      <c r="C209" s="56" t="s">
        <v>1187</v>
      </c>
      <c r="D209" s="75">
        <v>0.246</v>
      </c>
      <c r="L209" s="70" t="s">
        <v>1210</v>
      </c>
      <c r="M209" s="70" t="s">
        <v>1211</v>
      </c>
      <c r="N209" s="71">
        <v>0.29202</v>
      </c>
    </row>
    <row r="210" spans="1:14" hidden="1">
      <c r="A210" s="68" t="s">
        <v>2259</v>
      </c>
      <c r="B210" s="67" t="s">
        <v>2258</v>
      </c>
      <c r="C210" s="56" t="s">
        <v>917</v>
      </c>
      <c r="D210" s="75">
        <v>0.246</v>
      </c>
      <c r="L210" s="70" t="s">
        <v>1177</v>
      </c>
      <c r="M210" s="70" t="s">
        <v>1212</v>
      </c>
      <c r="N210" s="76">
        <v>6.5056875E-2</v>
      </c>
    </row>
    <row r="211" spans="1:14" hidden="1">
      <c r="A211" s="68" t="s">
        <v>2260</v>
      </c>
      <c r="B211" s="67" t="s">
        <v>2258</v>
      </c>
      <c r="C211" s="56" t="s">
        <v>1107</v>
      </c>
      <c r="D211" s="75"/>
      <c r="F211" t="s">
        <v>2261</v>
      </c>
      <c r="L211" s="70" t="s">
        <v>1182</v>
      </c>
      <c r="M211" s="70" t="s">
        <v>1213</v>
      </c>
      <c r="N211" s="76">
        <v>6.5056875E-2</v>
      </c>
    </row>
    <row r="212" spans="1:14" hidden="1">
      <c r="A212" s="68" t="s">
        <v>2262</v>
      </c>
      <c r="B212" s="67" t="s">
        <v>2258</v>
      </c>
      <c r="C212" s="56" t="s">
        <v>1110</v>
      </c>
      <c r="D212" s="75"/>
      <c r="F212" t="s">
        <v>2261</v>
      </c>
      <c r="L212" s="77" t="s">
        <v>1188</v>
      </c>
      <c r="M212" s="77" t="s">
        <v>1214</v>
      </c>
      <c r="N212" s="76">
        <v>6.5056875E-2</v>
      </c>
    </row>
    <row r="213" spans="1:14" hidden="1">
      <c r="A213" s="68" t="s">
        <v>2263</v>
      </c>
      <c r="B213" s="67" t="s">
        <v>2264</v>
      </c>
      <c r="C213" s="56"/>
      <c r="D213" s="57">
        <f>VLOOKUP(B213,'标准件 每周更新'!$B:$C,2,0)</f>
        <v>0.25</v>
      </c>
    </row>
    <row r="214" spans="1:14" hidden="1">
      <c r="A214" s="68" t="s">
        <v>2265</v>
      </c>
      <c r="B214" s="67" t="s">
        <v>291</v>
      </c>
      <c r="C214" s="56" t="s">
        <v>1198</v>
      </c>
      <c r="D214" s="57">
        <v>0.87919999999999998</v>
      </c>
      <c r="E214">
        <f>VLOOKUP(C214,L:N,3,1)</f>
        <v>0.1099</v>
      </c>
    </row>
    <row r="215" spans="1:14">
      <c r="A215" s="68" t="s">
        <v>2266</v>
      </c>
      <c r="B215" s="48" t="s">
        <v>2267</v>
      </c>
      <c r="C215" s="56" t="s">
        <v>2267</v>
      </c>
      <c r="D215" s="75">
        <v>0.76</v>
      </c>
    </row>
    <row r="216" spans="1:14" hidden="1">
      <c r="A216" s="68" t="s">
        <v>2268</v>
      </c>
      <c r="B216" s="67" t="s">
        <v>291</v>
      </c>
      <c r="C216" s="78" t="s">
        <v>2269</v>
      </c>
      <c r="D216" s="75">
        <v>0.4</v>
      </c>
      <c r="E216">
        <f t="shared" ref="E216:E225" si="1">VLOOKUP(C216,L:N,3,1)</f>
        <v>6.5056875E-2</v>
      </c>
    </row>
    <row r="217" spans="1:14" hidden="1">
      <c r="A217" s="68" t="s">
        <v>2270</v>
      </c>
      <c r="B217" s="67" t="s">
        <v>291</v>
      </c>
      <c r="C217" s="56" t="s">
        <v>1177</v>
      </c>
      <c r="D217" s="75">
        <v>0.71562562500000004</v>
      </c>
      <c r="E217" s="73">
        <f>N210</f>
        <v>6.5056875E-2</v>
      </c>
    </row>
    <row r="218" spans="1:14" hidden="1">
      <c r="A218" s="68" t="s">
        <v>2271</v>
      </c>
      <c r="B218" s="67" t="s">
        <v>291</v>
      </c>
      <c r="C218" s="56" t="s">
        <v>1182</v>
      </c>
      <c r="D218" s="75">
        <v>0.84191249999999995</v>
      </c>
      <c r="E218" s="73">
        <f>N211</f>
        <v>6.5056875E-2</v>
      </c>
    </row>
    <row r="219" spans="1:14" hidden="1">
      <c r="A219" s="68" t="s">
        <v>2272</v>
      </c>
      <c r="B219" s="67" t="s">
        <v>291</v>
      </c>
      <c r="C219" s="56" t="s">
        <v>1188</v>
      </c>
      <c r="D219" s="75">
        <v>0.71562562500000004</v>
      </c>
      <c r="E219">
        <f t="shared" si="1"/>
        <v>6.5056875E-2</v>
      </c>
    </row>
    <row r="220" spans="1:14" hidden="1">
      <c r="A220" s="68" t="s">
        <v>2273</v>
      </c>
      <c r="B220" s="67" t="s">
        <v>291</v>
      </c>
      <c r="C220" s="56" t="s">
        <v>1194</v>
      </c>
      <c r="D220" s="75">
        <v>0.82572187500000005</v>
      </c>
      <c r="E220" s="73">
        <f>N210</f>
        <v>6.5056875E-2</v>
      </c>
    </row>
    <row r="221" spans="1:14" hidden="1">
      <c r="A221" s="68" t="s">
        <v>2274</v>
      </c>
      <c r="B221" s="67" t="s">
        <v>291</v>
      </c>
      <c r="C221" s="56" t="s">
        <v>919</v>
      </c>
      <c r="D221" s="75">
        <v>0.246</v>
      </c>
    </row>
    <row r="222" spans="1:14" hidden="1">
      <c r="A222" s="68" t="s">
        <v>2275</v>
      </c>
      <c r="B222" s="67" t="s">
        <v>291</v>
      </c>
      <c r="C222" s="56" t="s">
        <v>1192</v>
      </c>
      <c r="D222" s="75">
        <v>0.246</v>
      </c>
    </row>
    <row r="223" spans="1:14" hidden="1">
      <c r="C223" s="70" t="s">
        <v>1150</v>
      </c>
      <c r="D223" s="49">
        <v>2.7553999999999998</v>
      </c>
      <c r="E223" s="73">
        <f>N206</f>
        <v>0.30614999999999998</v>
      </c>
    </row>
    <row r="224" spans="1:14" hidden="1">
      <c r="B224" s="67" t="s">
        <v>2276</v>
      </c>
      <c r="C224" s="67" t="s">
        <v>2276</v>
      </c>
      <c r="D224" s="57">
        <v>15.5</v>
      </c>
      <c r="E224">
        <f t="shared" si="1"/>
        <v>6.5056875E-2</v>
      </c>
    </row>
    <row r="225" spans="2:5" hidden="1">
      <c r="B225" s="67" t="s">
        <v>2277</v>
      </c>
      <c r="C225" s="67" t="s">
        <v>2277</v>
      </c>
      <c r="D225" s="49">
        <v>23.5</v>
      </c>
      <c r="E225">
        <f t="shared" si="1"/>
        <v>6.5056875E-2</v>
      </c>
    </row>
    <row r="226" spans="2:5" hidden="1">
      <c r="C226" s="48" t="s">
        <v>1174</v>
      </c>
      <c r="D226" s="49">
        <v>3.61</v>
      </c>
      <c r="E226" s="73">
        <f>N204</f>
        <v>0.40034999999999998</v>
      </c>
    </row>
  </sheetData>
  <sheetProtection selectLockedCells="1" selectUnlockedCells="1"/>
  <autoFilter ref="A3:E226" xr:uid="{00000000-0009-0000-0000-00000F000000}">
    <filterColumn colId="1">
      <filters>
        <filter val="（马车螺栓）4.8级圆头四方螺栓（镀锌）：M8*150"/>
        <filter val="（马车螺栓）4.8级圆头四方螺栓（镀锌）：M8*180（螺纹75MM）"/>
        <filter val="4.8级蝶形螺栓：M8*16（配1外六角螺母）"/>
        <filter val="4.8级圆头十字螺栓（镀锌）：M8*70"/>
        <filter val="8.8级法兰螺母：M8"/>
        <filter val="8.8级内六角螺栓：M8*16（配1法兰螺母）"/>
        <filter val="8.8级内六角螺栓：M8*16（配1外六角螺母）"/>
        <filter val="8.8级内六角螺栓：M8*45（配1法兰螺母）"/>
        <filter val="8.8级内六角螺栓：M8*45（配1六角螺母）"/>
        <filter val="8.8级外六角螺母：M8"/>
        <filter val="8.8级外六角螺栓：M8*16（配1法兰螺母）"/>
        <filter val="8.8级外六角螺栓：M8*20（配1法兰螺母）"/>
        <filter val="8.8级外六角螺栓：M8*25（配1法兰螺母）"/>
        <filter val="8.8级外六角螺栓：M8*30（配1法兰螺母）"/>
        <filter val="8.8级外六角螺栓：M8*50（配1法兰螺母）"/>
        <filter val="M8.L45"/>
        <filter val="车修外膨胀螺栓：M8*100"/>
        <filter val="弹垫：M8"/>
        <filter val="镀锌楼板扣件（1底座+2弯钩螺栓M8*130+1法兰螺母）"/>
        <filter val="镀锌楼板扣件（1底座+2弯钩螺栓M8*155+1法兰螺母）"/>
        <filter val="内膨胀螺栓：M8*55"/>
        <filter val="内膨胀螺栓：M8*80"/>
        <filter val="平垫：M8"/>
      </filters>
    </filterColumn>
  </autoFilter>
  <mergeCells count="2">
    <mergeCell ref="A1:A3"/>
    <mergeCell ref="B1:B3"/>
  </mergeCells>
  <phoneticPr fontId="120" type="noConversion"/>
  <pageMargins left="0.7" right="0.7" top="0.75" bottom="0.75" header="0.3" footer="0.3"/>
  <pageSetup paperSize="9" orientation="portrait"/>
  <extLst>
    <ext xmlns:x14="http://schemas.microsoft.com/office/spreadsheetml/2009/9/main" uri="{78C0D931-6437-407d-A8EE-F0AAD7539E65}">
      <x14:conditionalFormattings>
        <x14:conditionalFormatting xmlns:xm="http://schemas.microsoft.com/office/excel/2006/main">
          <x14:cfRule type="expression" priority="1" id="{00000000-000E-0000-0F00-000001000000}">
            <xm:f>Sheet1!$A$3&lt;&gt;1</xm:f>
            <x14:dxf>
              <font>
                <color theme="3" tint="0.79992065187536243"/>
              </font>
              <fill>
                <patternFill patternType="solid">
                  <bgColor theme="3" tint="0.79992065187536243"/>
                </patternFill>
              </fill>
            </x14:dxf>
          </x14:cfRule>
          <xm:sqref>A1:XFD1048576</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
  <dimension ref="A1:L19"/>
  <sheetViews>
    <sheetView zoomScaleSheetLayoutView="84" workbookViewId="0">
      <selection sqref="A1:XFD1048576"/>
    </sheetView>
  </sheetViews>
  <sheetFormatPr defaultRowHeight="14.25"/>
  <cols>
    <col min="1" max="1" width="5.25" style="23" customWidth="1"/>
    <col min="2" max="2" width="7.125" style="23" customWidth="1"/>
    <col min="3" max="3" width="6.5" style="23" customWidth="1"/>
    <col min="4" max="4" width="34.25" style="23" customWidth="1"/>
    <col min="5" max="5" width="6.5" style="23" customWidth="1"/>
    <col min="6" max="6" width="7.25" style="23" customWidth="1"/>
    <col min="7" max="7" width="11" style="23" customWidth="1"/>
    <col min="8" max="8" width="29.375" style="23" customWidth="1"/>
    <col min="9" max="9" width="52.5" style="23" bestFit="1" customWidth="1"/>
    <col min="10" max="11" width="9" style="23"/>
    <col min="12" max="12" width="10.875" style="23" customWidth="1"/>
    <col min="13" max="256" width="9" style="23"/>
    <col min="257" max="257" width="5.25" style="23" customWidth="1"/>
    <col min="258" max="258" width="7.125" style="23" customWidth="1"/>
    <col min="259" max="259" width="6.5" style="23" customWidth="1"/>
    <col min="260" max="260" width="34.25" style="23" customWidth="1"/>
    <col min="261" max="261" width="6.5" style="23" customWidth="1"/>
    <col min="262" max="262" width="7.25" style="23" customWidth="1"/>
    <col min="263" max="263" width="11" style="23" customWidth="1"/>
    <col min="264" max="264" width="29.375" style="23" customWidth="1"/>
    <col min="265" max="265" width="52.5" style="23" bestFit="1" customWidth="1"/>
    <col min="266" max="267" width="9" style="23"/>
    <col min="268" max="268" width="10.875" style="23" customWidth="1"/>
    <col min="269" max="512" width="9" style="23"/>
    <col min="513" max="513" width="5.25" style="23" customWidth="1"/>
    <col min="514" max="514" width="7.125" style="23" customWidth="1"/>
    <col min="515" max="515" width="6.5" style="23" customWidth="1"/>
    <col min="516" max="516" width="34.25" style="23" customWidth="1"/>
    <col min="517" max="517" width="6.5" style="23" customWidth="1"/>
    <col min="518" max="518" width="7.25" style="23" customWidth="1"/>
    <col min="519" max="519" width="11" style="23" customWidth="1"/>
    <col min="520" max="520" width="29.375" style="23" customWidth="1"/>
    <col min="521" max="521" width="52.5" style="23" bestFit="1" customWidth="1"/>
    <col min="522" max="523" width="9" style="23"/>
    <col min="524" max="524" width="10.875" style="23" customWidth="1"/>
    <col min="525" max="768" width="9" style="23"/>
    <col min="769" max="769" width="5.25" style="23" customWidth="1"/>
    <col min="770" max="770" width="7.125" style="23" customWidth="1"/>
    <col min="771" max="771" width="6.5" style="23" customWidth="1"/>
    <col min="772" max="772" width="34.25" style="23" customWidth="1"/>
    <col min="773" max="773" width="6.5" style="23" customWidth="1"/>
    <col min="774" max="774" width="7.25" style="23" customWidth="1"/>
    <col min="775" max="775" width="11" style="23" customWidth="1"/>
    <col min="776" max="776" width="29.375" style="23" customWidth="1"/>
    <col min="777" max="777" width="52.5" style="23" bestFit="1" customWidth="1"/>
    <col min="778" max="779" width="9" style="23"/>
    <col min="780" max="780" width="10.875" style="23" customWidth="1"/>
    <col min="781" max="1024" width="9" style="23"/>
    <col min="1025" max="1025" width="5.25" style="23" customWidth="1"/>
    <col min="1026" max="1026" width="7.125" style="23" customWidth="1"/>
    <col min="1027" max="1027" width="6.5" style="23" customWidth="1"/>
    <col min="1028" max="1028" width="34.25" style="23" customWidth="1"/>
    <col min="1029" max="1029" width="6.5" style="23" customWidth="1"/>
    <col min="1030" max="1030" width="7.25" style="23" customWidth="1"/>
    <col min="1031" max="1031" width="11" style="23" customWidth="1"/>
    <col min="1032" max="1032" width="29.375" style="23" customWidth="1"/>
    <col min="1033" max="1033" width="52.5" style="23" bestFit="1" customWidth="1"/>
    <col min="1034" max="1035" width="9" style="23"/>
    <col min="1036" max="1036" width="10.875" style="23" customWidth="1"/>
    <col min="1037" max="1280" width="9" style="23"/>
    <col min="1281" max="1281" width="5.25" style="23" customWidth="1"/>
    <col min="1282" max="1282" width="7.125" style="23" customWidth="1"/>
    <col min="1283" max="1283" width="6.5" style="23" customWidth="1"/>
    <col min="1284" max="1284" width="34.25" style="23" customWidth="1"/>
    <col min="1285" max="1285" width="6.5" style="23" customWidth="1"/>
    <col min="1286" max="1286" width="7.25" style="23" customWidth="1"/>
    <col min="1287" max="1287" width="11" style="23" customWidth="1"/>
    <col min="1288" max="1288" width="29.375" style="23" customWidth="1"/>
    <col min="1289" max="1289" width="52.5" style="23" bestFit="1" customWidth="1"/>
    <col min="1290" max="1291" width="9" style="23"/>
    <col min="1292" max="1292" width="10.875" style="23" customWidth="1"/>
    <col min="1293" max="1536" width="9" style="23"/>
    <col min="1537" max="1537" width="5.25" style="23" customWidth="1"/>
    <col min="1538" max="1538" width="7.125" style="23" customWidth="1"/>
    <col min="1539" max="1539" width="6.5" style="23" customWidth="1"/>
    <col min="1540" max="1540" width="34.25" style="23" customWidth="1"/>
    <col min="1541" max="1541" width="6.5" style="23" customWidth="1"/>
    <col min="1542" max="1542" width="7.25" style="23" customWidth="1"/>
    <col min="1543" max="1543" width="11" style="23" customWidth="1"/>
    <col min="1544" max="1544" width="29.375" style="23" customWidth="1"/>
    <col min="1545" max="1545" width="52.5" style="23" bestFit="1" customWidth="1"/>
    <col min="1546" max="1547" width="9" style="23"/>
    <col min="1548" max="1548" width="10.875" style="23" customWidth="1"/>
    <col min="1549" max="1792" width="9" style="23"/>
    <col min="1793" max="1793" width="5.25" style="23" customWidth="1"/>
    <col min="1794" max="1794" width="7.125" style="23" customWidth="1"/>
    <col min="1795" max="1795" width="6.5" style="23" customWidth="1"/>
    <col min="1796" max="1796" width="34.25" style="23" customWidth="1"/>
    <col min="1797" max="1797" width="6.5" style="23" customWidth="1"/>
    <col min="1798" max="1798" width="7.25" style="23" customWidth="1"/>
    <col min="1799" max="1799" width="11" style="23" customWidth="1"/>
    <col min="1800" max="1800" width="29.375" style="23" customWidth="1"/>
    <col min="1801" max="1801" width="52.5" style="23" bestFit="1" customWidth="1"/>
    <col min="1802" max="1803" width="9" style="23"/>
    <col min="1804" max="1804" width="10.875" style="23" customWidth="1"/>
    <col min="1805" max="2048" width="9" style="23"/>
    <col min="2049" max="2049" width="5.25" style="23" customWidth="1"/>
    <col min="2050" max="2050" width="7.125" style="23" customWidth="1"/>
    <col min="2051" max="2051" width="6.5" style="23" customWidth="1"/>
    <col min="2052" max="2052" width="34.25" style="23" customWidth="1"/>
    <col min="2053" max="2053" width="6.5" style="23" customWidth="1"/>
    <col min="2054" max="2054" width="7.25" style="23" customWidth="1"/>
    <col min="2055" max="2055" width="11" style="23" customWidth="1"/>
    <col min="2056" max="2056" width="29.375" style="23" customWidth="1"/>
    <col min="2057" max="2057" width="52.5" style="23" bestFit="1" customWidth="1"/>
    <col min="2058" max="2059" width="9" style="23"/>
    <col min="2060" max="2060" width="10.875" style="23" customWidth="1"/>
    <col min="2061" max="2304" width="9" style="23"/>
    <col min="2305" max="2305" width="5.25" style="23" customWidth="1"/>
    <col min="2306" max="2306" width="7.125" style="23" customWidth="1"/>
    <col min="2307" max="2307" width="6.5" style="23" customWidth="1"/>
    <col min="2308" max="2308" width="34.25" style="23" customWidth="1"/>
    <col min="2309" max="2309" width="6.5" style="23" customWidth="1"/>
    <col min="2310" max="2310" width="7.25" style="23" customWidth="1"/>
    <col min="2311" max="2311" width="11" style="23" customWidth="1"/>
    <col min="2312" max="2312" width="29.375" style="23" customWidth="1"/>
    <col min="2313" max="2313" width="52.5" style="23" bestFit="1" customWidth="1"/>
    <col min="2314" max="2315" width="9" style="23"/>
    <col min="2316" max="2316" width="10.875" style="23" customWidth="1"/>
    <col min="2317" max="2560" width="9" style="23"/>
    <col min="2561" max="2561" width="5.25" style="23" customWidth="1"/>
    <col min="2562" max="2562" width="7.125" style="23" customWidth="1"/>
    <col min="2563" max="2563" width="6.5" style="23" customWidth="1"/>
    <col min="2564" max="2564" width="34.25" style="23" customWidth="1"/>
    <col min="2565" max="2565" width="6.5" style="23" customWidth="1"/>
    <col min="2566" max="2566" width="7.25" style="23" customWidth="1"/>
    <col min="2567" max="2567" width="11" style="23" customWidth="1"/>
    <col min="2568" max="2568" width="29.375" style="23" customWidth="1"/>
    <col min="2569" max="2569" width="52.5" style="23" bestFit="1" customWidth="1"/>
    <col min="2570" max="2571" width="9" style="23"/>
    <col min="2572" max="2572" width="10.875" style="23" customWidth="1"/>
    <col min="2573" max="2816" width="9" style="23"/>
    <col min="2817" max="2817" width="5.25" style="23" customWidth="1"/>
    <col min="2818" max="2818" width="7.125" style="23" customWidth="1"/>
    <col min="2819" max="2819" width="6.5" style="23" customWidth="1"/>
    <col min="2820" max="2820" width="34.25" style="23" customWidth="1"/>
    <col min="2821" max="2821" width="6.5" style="23" customWidth="1"/>
    <col min="2822" max="2822" width="7.25" style="23" customWidth="1"/>
    <col min="2823" max="2823" width="11" style="23" customWidth="1"/>
    <col min="2824" max="2824" width="29.375" style="23" customWidth="1"/>
    <col min="2825" max="2825" width="52.5" style="23" bestFit="1" customWidth="1"/>
    <col min="2826" max="2827" width="9" style="23"/>
    <col min="2828" max="2828" width="10.875" style="23" customWidth="1"/>
    <col min="2829" max="3072" width="9" style="23"/>
    <col min="3073" max="3073" width="5.25" style="23" customWidth="1"/>
    <col min="3074" max="3074" width="7.125" style="23" customWidth="1"/>
    <col min="3075" max="3075" width="6.5" style="23" customWidth="1"/>
    <col min="3076" max="3076" width="34.25" style="23" customWidth="1"/>
    <col min="3077" max="3077" width="6.5" style="23" customWidth="1"/>
    <col min="3078" max="3078" width="7.25" style="23" customWidth="1"/>
    <col min="3079" max="3079" width="11" style="23" customWidth="1"/>
    <col min="3080" max="3080" width="29.375" style="23" customWidth="1"/>
    <col min="3081" max="3081" width="52.5" style="23" bestFit="1" customWidth="1"/>
    <col min="3082" max="3083" width="9" style="23"/>
    <col min="3084" max="3084" width="10.875" style="23" customWidth="1"/>
    <col min="3085" max="3328" width="9" style="23"/>
    <col min="3329" max="3329" width="5.25" style="23" customWidth="1"/>
    <col min="3330" max="3330" width="7.125" style="23" customWidth="1"/>
    <col min="3331" max="3331" width="6.5" style="23" customWidth="1"/>
    <col min="3332" max="3332" width="34.25" style="23" customWidth="1"/>
    <col min="3333" max="3333" width="6.5" style="23" customWidth="1"/>
    <col min="3334" max="3334" width="7.25" style="23" customWidth="1"/>
    <col min="3335" max="3335" width="11" style="23" customWidth="1"/>
    <col min="3336" max="3336" width="29.375" style="23" customWidth="1"/>
    <col min="3337" max="3337" width="52.5" style="23" bestFit="1" customWidth="1"/>
    <col min="3338" max="3339" width="9" style="23"/>
    <col min="3340" max="3340" width="10.875" style="23" customWidth="1"/>
    <col min="3341" max="3584" width="9" style="23"/>
    <col min="3585" max="3585" width="5.25" style="23" customWidth="1"/>
    <col min="3586" max="3586" width="7.125" style="23" customWidth="1"/>
    <col min="3587" max="3587" width="6.5" style="23" customWidth="1"/>
    <col min="3588" max="3588" width="34.25" style="23" customWidth="1"/>
    <col min="3589" max="3589" width="6.5" style="23" customWidth="1"/>
    <col min="3590" max="3590" width="7.25" style="23" customWidth="1"/>
    <col min="3591" max="3591" width="11" style="23" customWidth="1"/>
    <col min="3592" max="3592" width="29.375" style="23" customWidth="1"/>
    <col min="3593" max="3593" width="52.5" style="23" bestFit="1" customWidth="1"/>
    <col min="3594" max="3595" width="9" style="23"/>
    <col min="3596" max="3596" width="10.875" style="23" customWidth="1"/>
    <col min="3597" max="3840" width="9" style="23"/>
    <col min="3841" max="3841" width="5.25" style="23" customWidth="1"/>
    <col min="3842" max="3842" width="7.125" style="23" customWidth="1"/>
    <col min="3843" max="3843" width="6.5" style="23" customWidth="1"/>
    <col min="3844" max="3844" width="34.25" style="23" customWidth="1"/>
    <col min="3845" max="3845" width="6.5" style="23" customWidth="1"/>
    <col min="3846" max="3846" width="7.25" style="23" customWidth="1"/>
    <col min="3847" max="3847" width="11" style="23" customWidth="1"/>
    <col min="3848" max="3848" width="29.375" style="23" customWidth="1"/>
    <col min="3849" max="3849" width="52.5" style="23" bestFit="1" customWidth="1"/>
    <col min="3850" max="3851" width="9" style="23"/>
    <col min="3852" max="3852" width="10.875" style="23" customWidth="1"/>
    <col min="3853" max="4096" width="9" style="23"/>
    <col min="4097" max="4097" width="5.25" style="23" customWidth="1"/>
    <col min="4098" max="4098" width="7.125" style="23" customWidth="1"/>
    <col min="4099" max="4099" width="6.5" style="23" customWidth="1"/>
    <col min="4100" max="4100" width="34.25" style="23" customWidth="1"/>
    <col min="4101" max="4101" width="6.5" style="23" customWidth="1"/>
    <col min="4102" max="4102" width="7.25" style="23" customWidth="1"/>
    <col min="4103" max="4103" width="11" style="23" customWidth="1"/>
    <col min="4104" max="4104" width="29.375" style="23" customWidth="1"/>
    <col min="4105" max="4105" width="52.5" style="23" bestFit="1" customWidth="1"/>
    <col min="4106" max="4107" width="9" style="23"/>
    <col min="4108" max="4108" width="10.875" style="23" customWidth="1"/>
    <col min="4109" max="4352" width="9" style="23"/>
    <col min="4353" max="4353" width="5.25" style="23" customWidth="1"/>
    <col min="4354" max="4354" width="7.125" style="23" customWidth="1"/>
    <col min="4355" max="4355" width="6.5" style="23" customWidth="1"/>
    <col min="4356" max="4356" width="34.25" style="23" customWidth="1"/>
    <col min="4357" max="4357" width="6.5" style="23" customWidth="1"/>
    <col min="4358" max="4358" width="7.25" style="23" customWidth="1"/>
    <col min="4359" max="4359" width="11" style="23" customWidth="1"/>
    <col min="4360" max="4360" width="29.375" style="23" customWidth="1"/>
    <col min="4361" max="4361" width="52.5" style="23" bestFit="1" customWidth="1"/>
    <col min="4362" max="4363" width="9" style="23"/>
    <col min="4364" max="4364" width="10.875" style="23" customWidth="1"/>
    <col min="4365" max="4608" width="9" style="23"/>
    <col min="4609" max="4609" width="5.25" style="23" customWidth="1"/>
    <col min="4610" max="4610" width="7.125" style="23" customWidth="1"/>
    <col min="4611" max="4611" width="6.5" style="23" customWidth="1"/>
    <col min="4612" max="4612" width="34.25" style="23" customWidth="1"/>
    <col min="4613" max="4613" width="6.5" style="23" customWidth="1"/>
    <col min="4614" max="4614" width="7.25" style="23" customWidth="1"/>
    <col min="4615" max="4615" width="11" style="23" customWidth="1"/>
    <col min="4616" max="4616" width="29.375" style="23" customWidth="1"/>
    <col min="4617" max="4617" width="52.5" style="23" bestFit="1" customWidth="1"/>
    <col min="4618" max="4619" width="9" style="23"/>
    <col min="4620" max="4620" width="10.875" style="23" customWidth="1"/>
    <col min="4621" max="4864" width="9" style="23"/>
    <col min="4865" max="4865" width="5.25" style="23" customWidth="1"/>
    <col min="4866" max="4866" width="7.125" style="23" customWidth="1"/>
    <col min="4867" max="4867" width="6.5" style="23" customWidth="1"/>
    <col min="4868" max="4868" width="34.25" style="23" customWidth="1"/>
    <col min="4869" max="4869" width="6.5" style="23" customWidth="1"/>
    <col min="4870" max="4870" width="7.25" style="23" customWidth="1"/>
    <col min="4871" max="4871" width="11" style="23" customWidth="1"/>
    <col min="4872" max="4872" width="29.375" style="23" customWidth="1"/>
    <col min="4873" max="4873" width="52.5" style="23" bestFit="1" customWidth="1"/>
    <col min="4874" max="4875" width="9" style="23"/>
    <col min="4876" max="4876" width="10.875" style="23" customWidth="1"/>
    <col min="4877" max="5120" width="9" style="23"/>
    <col min="5121" max="5121" width="5.25" style="23" customWidth="1"/>
    <col min="5122" max="5122" width="7.125" style="23" customWidth="1"/>
    <col min="5123" max="5123" width="6.5" style="23" customWidth="1"/>
    <col min="5124" max="5124" width="34.25" style="23" customWidth="1"/>
    <col min="5125" max="5125" width="6.5" style="23" customWidth="1"/>
    <col min="5126" max="5126" width="7.25" style="23" customWidth="1"/>
    <col min="5127" max="5127" width="11" style="23" customWidth="1"/>
    <col min="5128" max="5128" width="29.375" style="23" customWidth="1"/>
    <col min="5129" max="5129" width="52.5" style="23" bestFit="1" customWidth="1"/>
    <col min="5130" max="5131" width="9" style="23"/>
    <col min="5132" max="5132" width="10.875" style="23" customWidth="1"/>
    <col min="5133" max="5376" width="9" style="23"/>
    <col min="5377" max="5377" width="5.25" style="23" customWidth="1"/>
    <col min="5378" max="5378" width="7.125" style="23" customWidth="1"/>
    <col min="5379" max="5379" width="6.5" style="23" customWidth="1"/>
    <col min="5380" max="5380" width="34.25" style="23" customWidth="1"/>
    <col min="5381" max="5381" width="6.5" style="23" customWidth="1"/>
    <col min="5382" max="5382" width="7.25" style="23" customWidth="1"/>
    <col min="5383" max="5383" width="11" style="23" customWidth="1"/>
    <col min="5384" max="5384" width="29.375" style="23" customWidth="1"/>
    <col min="5385" max="5385" width="52.5" style="23" bestFit="1" customWidth="1"/>
    <col min="5386" max="5387" width="9" style="23"/>
    <col min="5388" max="5388" width="10.875" style="23" customWidth="1"/>
    <col min="5389" max="5632" width="9" style="23"/>
    <col min="5633" max="5633" width="5.25" style="23" customWidth="1"/>
    <col min="5634" max="5634" width="7.125" style="23" customWidth="1"/>
    <col min="5635" max="5635" width="6.5" style="23" customWidth="1"/>
    <col min="5636" max="5636" width="34.25" style="23" customWidth="1"/>
    <col min="5637" max="5637" width="6.5" style="23" customWidth="1"/>
    <col min="5638" max="5638" width="7.25" style="23" customWidth="1"/>
    <col min="5639" max="5639" width="11" style="23" customWidth="1"/>
    <col min="5640" max="5640" width="29.375" style="23" customWidth="1"/>
    <col min="5641" max="5641" width="52.5" style="23" bestFit="1" customWidth="1"/>
    <col min="5642" max="5643" width="9" style="23"/>
    <col min="5644" max="5644" width="10.875" style="23" customWidth="1"/>
    <col min="5645" max="5888" width="9" style="23"/>
    <col min="5889" max="5889" width="5.25" style="23" customWidth="1"/>
    <col min="5890" max="5890" width="7.125" style="23" customWidth="1"/>
    <col min="5891" max="5891" width="6.5" style="23" customWidth="1"/>
    <col min="5892" max="5892" width="34.25" style="23" customWidth="1"/>
    <col min="5893" max="5893" width="6.5" style="23" customWidth="1"/>
    <col min="5894" max="5894" width="7.25" style="23" customWidth="1"/>
    <col min="5895" max="5895" width="11" style="23" customWidth="1"/>
    <col min="5896" max="5896" width="29.375" style="23" customWidth="1"/>
    <col min="5897" max="5897" width="52.5" style="23" bestFit="1" customWidth="1"/>
    <col min="5898" max="5899" width="9" style="23"/>
    <col min="5900" max="5900" width="10.875" style="23" customWidth="1"/>
    <col min="5901" max="6144" width="9" style="23"/>
    <col min="6145" max="6145" width="5.25" style="23" customWidth="1"/>
    <col min="6146" max="6146" width="7.125" style="23" customWidth="1"/>
    <col min="6147" max="6147" width="6.5" style="23" customWidth="1"/>
    <col min="6148" max="6148" width="34.25" style="23" customWidth="1"/>
    <col min="6149" max="6149" width="6.5" style="23" customWidth="1"/>
    <col min="6150" max="6150" width="7.25" style="23" customWidth="1"/>
    <col min="6151" max="6151" width="11" style="23" customWidth="1"/>
    <col min="6152" max="6152" width="29.375" style="23" customWidth="1"/>
    <col min="6153" max="6153" width="52.5" style="23" bestFit="1" customWidth="1"/>
    <col min="6154" max="6155" width="9" style="23"/>
    <col min="6156" max="6156" width="10.875" style="23" customWidth="1"/>
    <col min="6157" max="6400" width="9" style="23"/>
    <col min="6401" max="6401" width="5.25" style="23" customWidth="1"/>
    <col min="6402" max="6402" width="7.125" style="23" customWidth="1"/>
    <col min="6403" max="6403" width="6.5" style="23" customWidth="1"/>
    <col min="6404" max="6404" width="34.25" style="23" customWidth="1"/>
    <col min="6405" max="6405" width="6.5" style="23" customWidth="1"/>
    <col min="6406" max="6406" width="7.25" style="23" customWidth="1"/>
    <col min="6407" max="6407" width="11" style="23" customWidth="1"/>
    <col min="6408" max="6408" width="29.375" style="23" customWidth="1"/>
    <col min="6409" max="6409" width="52.5" style="23" bestFit="1" customWidth="1"/>
    <col min="6410" max="6411" width="9" style="23"/>
    <col min="6412" max="6412" width="10.875" style="23" customWidth="1"/>
    <col min="6413" max="6656" width="9" style="23"/>
    <col min="6657" max="6657" width="5.25" style="23" customWidth="1"/>
    <col min="6658" max="6658" width="7.125" style="23" customWidth="1"/>
    <col min="6659" max="6659" width="6.5" style="23" customWidth="1"/>
    <col min="6660" max="6660" width="34.25" style="23" customWidth="1"/>
    <col min="6661" max="6661" width="6.5" style="23" customWidth="1"/>
    <col min="6662" max="6662" width="7.25" style="23" customWidth="1"/>
    <col min="6663" max="6663" width="11" style="23" customWidth="1"/>
    <col min="6664" max="6664" width="29.375" style="23" customWidth="1"/>
    <col min="6665" max="6665" width="52.5" style="23" bestFit="1" customWidth="1"/>
    <col min="6666" max="6667" width="9" style="23"/>
    <col min="6668" max="6668" width="10.875" style="23" customWidth="1"/>
    <col min="6669" max="6912" width="9" style="23"/>
    <col min="6913" max="6913" width="5.25" style="23" customWidth="1"/>
    <col min="6914" max="6914" width="7.125" style="23" customWidth="1"/>
    <col min="6915" max="6915" width="6.5" style="23" customWidth="1"/>
    <col min="6916" max="6916" width="34.25" style="23" customWidth="1"/>
    <col min="6917" max="6917" width="6.5" style="23" customWidth="1"/>
    <col min="6918" max="6918" width="7.25" style="23" customWidth="1"/>
    <col min="6919" max="6919" width="11" style="23" customWidth="1"/>
    <col min="6920" max="6920" width="29.375" style="23" customWidth="1"/>
    <col min="6921" max="6921" width="52.5" style="23" bestFit="1" customWidth="1"/>
    <col min="6922" max="6923" width="9" style="23"/>
    <col min="6924" max="6924" width="10.875" style="23" customWidth="1"/>
    <col min="6925" max="7168" width="9" style="23"/>
    <col min="7169" max="7169" width="5.25" style="23" customWidth="1"/>
    <col min="7170" max="7170" width="7.125" style="23" customWidth="1"/>
    <col min="7171" max="7171" width="6.5" style="23" customWidth="1"/>
    <col min="7172" max="7172" width="34.25" style="23" customWidth="1"/>
    <col min="7173" max="7173" width="6.5" style="23" customWidth="1"/>
    <col min="7174" max="7174" width="7.25" style="23" customWidth="1"/>
    <col min="7175" max="7175" width="11" style="23" customWidth="1"/>
    <col min="7176" max="7176" width="29.375" style="23" customWidth="1"/>
    <col min="7177" max="7177" width="52.5" style="23" bestFit="1" customWidth="1"/>
    <col min="7178" max="7179" width="9" style="23"/>
    <col min="7180" max="7180" width="10.875" style="23" customWidth="1"/>
    <col min="7181" max="7424" width="9" style="23"/>
    <col min="7425" max="7425" width="5.25" style="23" customWidth="1"/>
    <col min="7426" max="7426" width="7.125" style="23" customWidth="1"/>
    <col min="7427" max="7427" width="6.5" style="23" customWidth="1"/>
    <col min="7428" max="7428" width="34.25" style="23" customWidth="1"/>
    <col min="7429" max="7429" width="6.5" style="23" customWidth="1"/>
    <col min="7430" max="7430" width="7.25" style="23" customWidth="1"/>
    <col min="7431" max="7431" width="11" style="23" customWidth="1"/>
    <col min="7432" max="7432" width="29.375" style="23" customWidth="1"/>
    <col min="7433" max="7433" width="52.5" style="23" bestFit="1" customWidth="1"/>
    <col min="7434" max="7435" width="9" style="23"/>
    <col min="7436" max="7436" width="10.875" style="23" customWidth="1"/>
    <col min="7437" max="7680" width="9" style="23"/>
    <col min="7681" max="7681" width="5.25" style="23" customWidth="1"/>
    <col min="7682" max="7682" width="7.125" style="23" customWidth="1"/>
    <col min="7683" max="7683" width="6.5" style="23" customWidth="1"/>
    <col min="7684" max="7684" width="34.25" style="23" customWidth="1"/>
    <col min="7685" max="7685" width="6.5" style="23" customWidth="1"/>
    <col min="7686" max="7686" width="7.25" style="23" customWidth="1"/>
    <col min="7687" max="7687" width="11" style="23" customWidth="1"/>
    <col min="7688" max="7688" width="29.375" style="23" customWidth="1"/>
    <col min="7689" max="7689" width="52.5" style="23" bestFit="1" customWidth="1"/>
    <col min="7690" max="7691" width="9" style="23"/>
    <col min="7692" max="7692" width="10.875" style="23" customWidth="1"/>
    <col min="7693" max="7936" width="9" style="23"/>
    <col min="7937" max="7937" width="5.25" style="23" customWidth="1"/>
    <col min="7938" max="7938" width="7.125" style="23" customWidth="1"/>
    <col min="7939" max="7939" width="6.5" style="23" customWidth="1"/>
    <col min="7940" max="7940" width="34.25" style="23" customWidth="1"/>
    <col min="7941" max="7941" width="6.5" style="23" customWidth="1"/>
    <col min="7942" max="7942" width="7.25" style="23" customWidth="1"/>
    <col min="7943" max="7943" width="11" style="23" customWidth="1"/>
    <col min="7944" max="7944" width="29.375" style="23" customWidth="1"/>
    <col min="7945" max="7945" width="52.5" style="23" bestFit="1" customWidth="1"/>
    <col min="7946" max="7947" width="9" style="23"/>
    <col min="7948" max="7948" width="10.875" style="23" customWidth="1"/>
    <col min="7949" max="8192" width="9" style="23"/>
    <col min="8193" max="8193" width="5.25" style="23" customWidth="1"/>
    <col min="8194" max="8194" width="7.125" style="23" customWidth="1"/>
    <col min="8195" max="8195" width="6.5" style="23" customWidth="1"/>
    <col min="8196" max="8196" width="34.25" style="23" customWidth="1"/>
    <col min="8197" max="8197" width="6.5" style="23" customWidth="1"/>
    <col min="8198" max="8198" width="7.25" style="23" customWidth="1"/>
    <col min="8199" max="8199" width="11" style="23" customWidth="1"/>
    <col min="8200" max="8200" width="29.375" style="23" customWidth="1"/>
    <col min="8201" max="8201" width="52.5" style="23" bestFit="1" customWidth="1"/>
    <col min="8202" max="8203" width="9" style="23"/>
    <col min="8204" max="8204" width="10.875" style="23" customWidth="1"/>
    <col min="8205" max="8448" width="9" style="23"/>
    <col min="8449" max="8449" width="5.25" style="23" customWidth="1"/>
    <col min="8450" max="8450" width="7.125" style="23" customWidth="1"/>
    <col min="8451" max="8451" width="6.5" style="23" customWidth="1"/>
    <col min="8452" max="8452" width="34.25" style="23" customWidth="1"/>
    <col min="8453" max="8453" width="6.5" style="23" customWidth="1"/>
    <col min="8454" max="8454" width="7.25" style="23" customWidth="1"/>
    <col min="8455" max="8455" width="11" style="23" customWidth="1"/>
    <col min="8456" max="8456" width="29.375" style="23" customWidth="1"/>
    <col min="8457" max="8457" width="52.5" style="23" bestFit="1" customWidth="1"/>
    <col min="8458" max="8459" width="9" style="23"/>
    <col min="8460" max="8460" width="10.875" style="23" customWidth="1"/>
    <col min="8461" max="8704" width="9" style="23"/>
    <col min="8705" max="8705" width="5.25" style="23" customWidth="1"/>
    <col min="8706" max="8706" width="7.125" style="23" customWidth="1"/>
    <col min="8707" max="8707" width="6.5" style="23" customWidth="1"/>
    <col min="8708" max="8708" width="34.25" style="23" customWidth="1"/>
    <col min="8709" max="8709" width="6.5" style="23" customWidth="1"/>
    <col min="8710" max="8710" width="7.25" style="23" customWidth="1"/>
    <col min="8711" max="8711" width="11" style="23" customWidth="1"/>
    <col min="8712" max="8712" width="29.375" style="23" customWidth="1"/>
    <col min="8713" max="8713" width="52.5" style="23" bestFit="1" customWidth="1"/>
    <col min="8714" max="8715" width="9" style="23"/>
    <col min="8716" max="8716" width="10.875" style="23" customWidth="1"/>
    <col min="8717" max="8960" width="9" style="23"/>
    <col min="8961" max="8961" width="5.25" style="23" customWidth="1"/>
    <col min="8962" max="8962" width="7.125" style="23" customWidth="1"/>
    <col min="8963" max="8963" width="6.5" style="23" customWidth="1"/>
    <col min="8964" max="8964" width="34.25" style="23" customWidth="1"/>
    <col min="8965" max="8965" width="6.5" style="23" customWidth="1"/>
    <col min="8966" max="8966" width="7.25" style="23" customWidth="1"/>
    <col min="8967" max="8967" width="11" style="23" customWidth="1"/>
    <col min="8968" max="8968" width="29.375" style="23" customWidth="1"/>
    <col min="8969" max="8969" width="52.5" style="23" bestFit="1" customWidth="1"/>
    <col min="8970" max="8971" width="9" style="23"/>
    <col min="8972" max="8972" width="10.875" style="23" customWidth="1"/>
    <col min="8973" max="9216" width="9" style="23"/>
    <col min="9217" max="9217" width="5.25" style="23" customWidth="1"/>
    <col min="9218" max="9218" width="7.125" style="23" customWidth="1"/>
    <col min="9219" max="9219" width="6.5" style="23" customWidth="1"/>
    <col min="9220" max="9220" width="34.25" style="23" customWidth="1"/>
    <col min="9221" max="9221" width="6.5" style="23" customWidth="1"/>
    <col min="9222" max="9222" width="7.25" style="23" customWidth="1"/>
    <col min="9223" max="9223" width="11" style="23" customWidth="1"/>
    <col min="9224" max="9224" width="29.375" style="23" customWidth="1"/>
    <col min="9225" max="9225" width="52.5" style="23" bestFit="1" customWidth="1"/>
    <col min="9226" max="9227" width="9" style="23"/>
    <col min="9228" max="9228" width="10.875" style="23" customWidth="1"/>
    <col min="9229" max="9472" width="9" style="23"/>
    <col min="9473" max="9473" width="5.25" style="23" customWidth="1"/>
    <col min="9474" max="9474" width="7.125" style="23" customWidth="1"/>
    <col min="9475" max="9475" width="6.5" style="23" customWidth="1"/>
    <col min="9476" max="9476" width="34.25" style="23" customWidth="1"/>
    <col min="9477" max="9477" width="6.5" style="23" customWidth="1"/>
    <col min="9478" max="9478" width="7.25" style="23" customWidth="1"/>
    <col min="9479" max="9479" width="11" style="23" customWidth="1"/>
    <col min="9480" max="9480" width="29.375" style="23" customWidth="1"/>
    <col min="9481" max="9481" width="52.5" style="23" bestFit="1" customWidth="1"/>
    <col min="9482" max="9483" width="9" style="23"/>
    <col min="9484" max="9484" width="10.875" style="23" customWidth="1"/>
    <col min="9485" max="9728" width="9" style="23"/>
    <col min="9729" max="9729" width="5.25" style="23" customWidth="1"/>
    <col min="9730" max="9730" width="7.125" style="23" customWidth="1"/>
    <col min="9731" max="9731" width="6.5" style="23" customWidth="1"/>
    <col min="9732" max="9732" width="34.25" style="23" customWidth="1"/>
    <col min="9733" max="9733" width="6.5" style="23" customWidth="1"/>
    <col min="9734" max="9734" width="7.25" style="23" customWidth="1"/>
    <col min="9735" max="9735" width="11" style="23" customWidth="1"/>
    <col min="9736" max="9736" width="29.375" style="23" customWidth="1"/>
    <col min="9737" max="9737" width="52.5" style="23" bestFit="1" customWidth="1"/>
    <col min="9738" max="9739" width="9" style="23"/>
    <col min="9740" max="9740" width="10.875" style="23" customWidth="1"/>
    <col min="9741" max="9984" width="9" style="23"/>
    <col min="9985" max="9985" width="5.25" style="23" customWidth="1"/>
    <col min="9986" max="9986" width="7.125" style="23" customWidth="1"/>
    <col min="9987" max="9987" width="6.5" style="23" customWidth="1"/>
    <col min="9988" max="9988" width="34.25" style="23" customWidth="1"/>
    <col min="9989" max="9989" width="6.5" style="23" customWidth="1"/>
    <col min="9990" max="9990" width="7.25" style="23" customWidth="1"/>
    <col min="9991" max="9991" width="11" style="23" customWidth="1"/>
    <col min="9992" max="9992" width="29.375" style="23" customWidth="1"/>
    <col min="9993" max="9993" width="52.5" style="23" bestFit="1" customWidth="1"/>
    <col min="9994" max="9995" width="9" style="23"/>
    <col min="9996" max="9996" width="10.875" style="23" customWidth="1"/>
    <col min="9997" max="10240" width="9" style="23"/>
    <col min="10241" max="10241" width="5.25" style="23" customWidth="1"/>
    <col min="10242" max="10242" width="7.125" style="23" customWidth="1"/>
    <col min="10243" max="10243" width="6.5" style="23" customWidth="1"/>
    <col min="10244" max="10244" width="34.25" style="23" customWidth="1"/>
    <col min="10245" max="10245" width="6.5" style="23" customWidth="1"/>
    <col min="10246" max="10246" width="7.25" style="23" customWidth="1"/>
    <col min="10247" max="10247" width="11" style="23" customWidth="1"/>
    <col min="10248" max="10248" width="29.375" style="23" customWidth="1"/>
    <col min="10249" max="10249" width="52.5" style="23" bestFit="1" customWidth="1"/>
    <col min="10250" max="10251" width="9" style="23"/>
    <col min="10252" max="10252" width="10.875" style="23" customWidth="1"/>
    <col min="10253" max="10496" width="9" style="23"/>
    <col min="10497" max="10497" width="5.25" style="23" customWidth="1"/>
    <col min="10498" max="10498" width="7.125" style="23" customWidth="1"/>
    <col min="10499" max="10499" width="6.5" style="23" customWidth="1"/>
    <col min="10500" max="10500" width="34.25" style="23" customWidth="1"/>
    <col min="10501" max="10501" width="6.5" style="23" customWidth="1"/>
    <col min="10502" max="10502" width="7.25" style="23" customWidth="1"/>
    <col min="10503" max="10503" width="11" style="23" customWidth="1"/>
    <col min="10504" max="10504" width="29.375" style="23" customWidth="1"/>
    <col min="10505" max="10505" width="52.5" style="23" bestFit="1" customWidth="1"/>
    <col min="10506" max="10507" width="9" style="23"/>
    <col min="10508" max="10508" width="10.875" style="23" customWidth="1"/>
    <col min="10509" max="10752" width="9" style="23"/>
    <col min="10753" max="10753" width="5.25" style="23" customWidth="1"/>
    <col min="10754" max="10754" width="7.125" style="23" customWidth="1"/>
    <col min="10755" max="10755" width="6.5" style="23" customWidth="1"/>
    <col min="10756" max="10756" width="34.25" style="23" customWidth="1"/>
    <col min="10757" max="10757" width="6.5" style="23" customWidth="1"/>
    <col min="10758" max="10758" width="7.25" style="23" customWidth="1"/>
    <col min="10759" max="10759" width="11" style="23" customWidth="1"/>
    <col min="10760" max="10760" width="29.375" style="23" customWidth="1"/>
    <col min="10761" max="10761" width="52.5" style="23" bestFit="1" customWidth="1"/>
    <col min="10762" max="10763" width="9" style="23"/>
    <col min="10764" max="10764" width="10.875" style="23" customWidth="1"/>
    <col min="10765" max="11008" width="9" style="23"/>
    <col min="11009" max="11009" width="5.25" style="23" customWidth="1"/>
    <col min="11010" max="11010" width="7.125" style="23" customWidth="1"/>
    <col min="11011" max="11011" width="6.5" style="23" customWidth="1"/>
    <col min="11012" max="11012" width="34.25" style="23" customWidth="1"/>
    <col min="11013" max="11013" width="6.5" style="23" customWidth="1"/>
    <col min="11014" max="11014" width="7.25" style="23" customWidth="1"/>
    <col min="11015" max="11015" width="11" style="23" customWidth="1"/>
    <col min="11016" max="11016" width="29.375" style="23" customWidth="1"/>
    <col min="11017" max="11017" width="52.5" style="23" bestFit="1" customWidth="1"/>
    <col min="11018" max="11019" width="9" style="23"/>
    <col min="11020" max="11020" width="10.875" style="23" customWidth="1"/>
    <col min="11021" max="11264" width="9" style="23"/>
    <col min="11265" max="11265" width="5.25" style="23" customWidth="1"/>
    <col min="11266" max="11266" width="7.125" style="23" customWidth="1"/>
    <col min="11267" max="11267" width="6.5" style="23" customWidth="1"/>
    <col min="11268" max="11268" width="34.25" style="23" customWidth="1"/>
    <col min="11269" max="11269" width="6.5" style="23" customWidth="1"/>
    <col min="11270" max="11270" width="7.25" style="23" customWidth="1"/>
    <col min="11271" max="11271" width="11" style="23" customWidth="1"/>
    <col min="11272" max="11272" width="29.375" style="23" customWidth="1"/>
    <col min="11273" max="11273" width="52.5" style="23" bestFit="1" customWidth="1"/>
    <col min="11274" max="11275" width="9" style="23"/>
    <col min="11276" max="11276" width="10.875" style="23" customWidth="1"/>
    <col min="11277" max="11520" width="9" style="23"/>
    <col min="11521" max="11521" width="5.25" style="23" customWidth="1"/>
    <col min="11522" max="11522" width="7.125" style="23" customWidth="1"/>
    <col min="11523" max="11523" width="6.5" style="23" customWidth="1"/>
    <col min="11524" max="11524" width="34.25" style="23" customWidth="1"/>
    <col min="11525" max="11525" width="6.5" style="23" customWidth="1"/>
    <col min="11526" max="11526" width="7.25" style="23" customWidth="1"/>
    <col min="11527" max="11527" width="11" style="23" customWidth="1"/>
    <col min="11528" max="11528" width="29.375" style="23" customWidth="1"/>
    <col min="11529" max="11529" width="52.5" style="23" bestFit="1" customWidth="1"/>
    <col min="11530" max="11531" width="9" style="23"/>
    <col min="11532" max="11532" width="10.875" style="23" customWidth="1"/>
    <col min="11533" max="11776" width="9" style="23"/>
    <col min="11777" max="11777" width="5.25" style="23" customWidth="1"/>
    <col min="11778" max="11778" width="7.125" style="23" customWidth="1"/>
    <col min="11779" max="11779" width="6.5" style="23" customWidth="1"/>
    <col min="11780" max="11780" width="34.25" style="23" customWidth="1"/>
    <col min="11781" max="11781" width="6.5" style="23" customWidth="1"/>
    <col min="11782" max="11782" width="7.25" style="23" customWidth="1"/>
    <col min="11783" max="11783" width="11" style="23" customWidth="1"/>
    <col min="11784" max="11784" width="29.375" style="23" customWidth="1"/>
    <col min="11785" max="11785" width="52.5" style="23" bestFit="1" customWidth="1"/>
    <col min="11786" max="11787" width="9" style="23"/>
    <col min="11788" max="11788" width="10.875" style="23" customWidth="1"/>
    <col min="11789" max="12032" width="9" style="23"/>
    <col min="12033" max="12033" width="5.25" style="23" customWidth="1"/>
    <col min="12034" max="12034" width="7.125" style="23" customWidth="1"/>
    <col min="12035" max="12035" width="6.5" style="23" customWidth="1"/>
    <col min="12036" max="12036" width="34.25" style="23" customWidth="1"/>
    <col min="12037" max="12037" width="6.5" style="23" customWidth="1"/>
    <col min="12038" max="12038" width="7.25" style="23" customWidth="1"/>
    <col min="12039" max="12039" width="11" style="23" customWidth="1"/>
    <col min="12040" max="12040" width="29.375" style="23" customWidth="1"/>
    <col min="12041" max="12041" width="52.5" style="23" bestFit="1" customWidth="1"/>
    <col min="12042" max="12043" width="9" style="23"/>
    <col min="12044" max="12044" width="10.875" style="23" customWidth="1"/>
    <col min="12045" max="12288" width="9" style="23"/>
    <col min="12289" max="12289" width="5.25" style="23" customWidth="1"/>
    <col min="12290" max="12290" width="7.125" style="23" customWidth="1"/>
    <col min="12291" max="12291" width="6.5" style="23" customWidth="1"/>
    <col min="12292" max="12292" width="34.25" style="23" customWidth="1"/>
    <col min="12293" max="12293" width="6.5" style="23" customWidth="1"/>
    <col min="12294" max="12294" width="7.25" style="23" customWidth="1"/>
    <col min="12295" max="12295" width="11" style="23" customWidth="1"/>
    <col min="12296" max="12296" width="29.375" style="23" customWidth="1"/>
    <col min="12297" max="12297" width="52.5" style="23" bestFit="1" customWidth="1"/>
    <col min="12298" max="12299" width="9" style="23"/>
    <col min="12300" max="12300" width="10.875" style="23" customWidth="1"/>
    <col min="12301" max="12544" width="9" style="23"/>
    <col min="12545" max="12545" width="5.25" style="23" customWidth="1"/>
    <col min="12546" max="12546" width="7.125" style="23" customWidth="1"/>
    <col min="12547" max="12547" width="6.5" style="23" customWidth="1"/>
    <col min="12548" max="12548" width="34.25" style="23" customWidth="1"/>
    <col min="12549" max="12549" width="6.5" style="23" customWidth="1"/>
    <col min="12550" max="12550" width="7.25" style="23" customWidth="1"/>
    <col min="12551" max="12551" width="11" style="23" customWidth="1"/>
    <col min="12552" max="12552" width="29.375" style="23" customWidth="1"/>
    <col min="12553" max="12553" width="52.5" style="23" bestFit="1" customWidth="1"/>
    <col min="12554" max="12555" width="9" style="23"/>
    <col min="12556" max="12556" width="10.875" style="23" customWidth="1"/>
    <col min="12557" max="12800" width="9" style="23"/>
    <col min="12801" max="12801" width="5.25" style="23" customWidth="1"/>
    <col min="12802" max="12802" width="7.125" style="23" customWidth="1"/>
    <col min="12803" max="12803" width="6.5" style="23" customWidth="1"/>
    <col min="12804" max="12804" width="34.25" style="23" customWidth="1"/>
    <col min="12805" max="12805" width="6.5" style="23" customWidth="1"/>
    <col min="12806" max="12806" width="7.25" style="23" customWidth="1"/>
    <col min="12807" max="12807" width="11" style="23" customWidth="1"/>
    <col min="12808" max="12808" width="29.375" style="23" customWidth="1"/>
    <col min="12809" max="12809" width="52.5" style="23" bestFit="1" customWidth="1"/>
    <col min="12810" max="12811" width="9" style="23"/>
    <col min="12812" max="12812" width="10.875" style="23" customWidth="1"/>
    <col min="12813" max="13056" width="9" style="23"/>
    <col min="13057" max="13057" width="5.25" style="23" customWidth="1"/>
    <col min="13058" max="13058" width="7.125" style="23" customWidth="1"/>
    <col min="13059" max="13059" width="6.5" style="23" customWidth="1"/>
    <col min="13060" max="13060" width="34.25" style="23" customWidth="1"/>
    <col min="13061" max="13061" width="6.5" style="23" customWidth="1"/>
    <col min="13062" max="13062" width="7.25" style="23" customWidth="1"/>
    <col min="13063" max="13063" width="11" style="23" customWidth="1"/>
    <col min="13064" max="13064" width="29.375" style="23" customWidth="1"/>
    <col min="13065" max="13065" width="52.5" style="23" bestFit="1" customWidth="1"/>
    <col min="13066" max="13067" width="9" style="23"/>
    <col min="13068" max="13068" width="10.875" style="23" customWidth="1"/>
    <col min="13069" max="13312" width="9" style="23"/>
    <col min="13313" max="13313" width="5.25" style="23" customWidth="1"/>
    <col min="13314" max="13314" width="7.125" style="23" customWidth="1"/>
    <col min="13315" max="13315" width="6.5" style="23" customWidth="1"/>
    <col min="13316" max="13316" width="34.25" style="23" customWidth="1"/>
    <col min="13317" max="13317" width="6.5" style="23" customWidth="1"/>
    <col min="13318" max="13318" width="7.25" style="23" customWidth="1"/>
    <col min="13319" max="13319" width="11" style="23" customWidth="1"/>
    <col min="13320" max="13320" width="29.375" style="23" customWidth="1"/>
    <col min="13321" max="13321" width="52.5" style="23" bestFit="1" customWidth="1"/>
    <col min="13322" max="13323" width="9" style="23"/>
    <col min="13324" max="13324" width="10.875" style="23" customWidth="1"/>
    <col min="13325" max="13568" width="9" style="23"/>
    <col min="13569" max="13569" width="5.25" style="23" customWidth="1"/>
    <col min="13570" max="13570" width="7.125" style="23" customWidth="1"/>
    <col min="13571" max="13571" width="6.5" style="23" customWidth="1"/>
    <col min="13572" max="13572" width="34.25" style="23" customWidth="1"/>
    <col min="13573" max="13573" width="6.5" style="23" customWidth="1"/>
    <col min="13574" max="13574" width="7.25" style="23" customWidth="1"/>
    <col min="13575" max="13575" width="11" style="23" customWidth="1"/>
    <col min="13576" max="13576" width="29.375" style="23" customWidth="1"/>
    <col min="13577" max="13577" width="52.5" style="23" bestFit="1" customWidth="1"/>
    <col min="13578" max="13579" width="9" style="23"/>
    <col min="13580" max="13580" width="10.875" style="23" customWidth="1"/>
    <col min="13581" max="13824" width="9" style="23"/>
    <col min="13825" max="13825" width="5.25" style="23" customWidth="1"/>
    <col min="13826" max="13826" width="7.125" style="23" customWidth="1"/>
    <col min="13827" max="13827" width="6.5" style="23" customWidth="1"/>
    <col min="13828" max="13828" width="34.25" style="23" customWidth="1"/>
    <col min="13829" max="13829" width="6.5" style="23" customWidth="1"/>
    <col min="13830" max="13830" width="7.25" style="23" customWidth="1"/>
    <col min="13831" max="13831" width="11" style="23" customWidth="1"/>
    <col min="13832" max="13832" width="29.375" style="23" customWidth="1"/>
    <col min="13833" max="13833" width="52.5" style="23" bestFit="1" customWidth="1"/>
    <col min="13834" max="13835" width="9" style="23"/>
    <col min="13836" max="13836" width="10.875" style="23" customWidth="1"/>
    <col min="13837" max="14080" width="9" style="23"/>
    <col min="14081" max="14081" width="5.25" style="23" customWidth="1"/>
    <col min="14082" max="14082" width="7.125" style="23" customWidth="1"/>
    <col min="14083" max="14083" width="6.5" style="23" customWidth="1"/>
    <col min="14084" max="14084" width="34.25" style="23" customWidth="1"/>
    <col min="14085" max="14085" width="6.5" style="23" customWidth="1"/>
    <col min="14086" max="14086" width="7.25" style="23" customWidth="1"/>
    <col min="14087" max="14087" width="11" style="23" customWidth="1"/>
    <col min="14088" max="14088" width="29.375" style="23" customWidth="1"/>
    <col min="14089" max="14089" width="52.5" style="23" bestFit="1" customWidth="1"/>
    <col min="14090" max="14091" width="9" style="23"/>
    <col min="14092" max="14092" width="10.875" style="23" customWidth="1"/>
    <col min="14093" max="14336" width="9" style="23"/>
    <col min="14337" max="14337" width="5.25" style="23" customWidth="1"/>
    <col min="14338" max="14338" width="7.125" style="23" customWidth="1"/>
    <col min="14339" max="14339" width="6.5" style="23" customWidth="1"/>
    <col min="14340" max="14340" width="34.25" style="23" customWidth="1"/>
    <col min="14341" max="14341" width="6.5" style="23" customWidth="1"/>
    <col min="14342" max="14342" width="7.25" style="23" customWidth="1"/>
    <col min="14343" max="14343" width="11" style="23" customWidth="1"/>
    <col min="14344" max="14344" width="29.375" style="23" customWidth="1"/>
    <col min="14345" max="14345" width="52.5" style="23" bestFit="1" customWidth="1"/>
    <col min="14346" max="14347" width="9" style="23"/>
    <col min="14348" max="14348" width="10.875" style="23" customWidth="1"/>
    <col min="14349" max="14592" width="9" style="23"/>
    <col min="14593" max="14593" width="5.25" style="23" customWidth="1"/>
    <col min="14594" max="14594" width="7.125" style="23" customWidth="1"/>
    <col min="14595" max="14595" width="6.5" style="23" customWidth="1"/>
    <col min="14596" max="14596" width="34.25" style="23" customWidth="1"/>
    <col min="14597" max="14597" width="6.5" style="23" customWidth="1"/>
    <col min="14598" max="14598" width="7.25" style="23" customWidth="1"/>
    <col min="14599" max="14599" width="11" style="23" customWidth="1"/>
    <col min="14600" max="14600" width="29.375" style="23" customWidth="1"/>
    <col min="14601" max="14601" width="52.5" style="23" bestFit="1" customWidth="1"/>
    <col min="14602" max="14603" width="9" style="23"/>
    <col min="14604" max="14604" width="10.875" style="23" customWidth="1"/>
    <col min="14605" max="14848" width="9" style="23"/>
    <col min="14849" max="14849" width="5.25" style="23" customWidth="1"/>
    <col min="14850" max="14850" width="7.125" style="23" customWidth="1"/>
    <col min="14851" max="14851" width="6.5" style="23" customWidth="1"/>
    <col min="14852" max="14852" width="34.25" style="23" customWidth="1"/>
    <col min="14853" max="14853" width="6.5" style="23" customWidth="1"/>
    <col min="14854" max="14854" width="7.25" style="23" customWidth="1"/>
    <col min="14855" max="14855" width="11" style="23" customWidth="1"/>
    <col min="14856" max="14856" width="29.375" style="23" customWidth="1"/>
    <col min="14857" max="14857" width="52.5" style="23" bestFit="1" customWidth="1"/>
    <col min="14858" max="14859" width="9" style="23"/>
    <col min="14860" max="14860" width="10.875" style="23" customWidth="1"/>
    <col min="14861" max="15104" width="9" style="23"/>
    <col min="15105" max="15105" width="5.25" style="23" customWidth="1"/>
    <col min="15106" max="15106" width="7.125" style="23" customWidth="1"/>
    <col min="15107" max="15107" width="6.5" style="23" customWidth="1"/>
    <col min="15108" max="15108" width="34.25" style="23" customWidth="1"/>
    <col min="15109" max="15109" width="6.5" style="23" customWidth="1"/>
    <col min="15110" max="15110" width="7.25" style="23" customWidth="1"/>
    <col min="15111" max="15111" width="11" style="23" customWidth="1"/>
    <col min="15112" max="15112" width="29.375" style="23" customWidth="1"/>
    <col min="15113" max="15113" width="52.5" style="23" bestFit="1" customWidth="1"/>
    <col min="15114" max="15115" width="9" style="23"/>
    <col min="15116" max="15116" width="10.875" style="23" customWidth="1"/>
    <col min="15117" max="15360" width="9" style="23"/>
    <col min="15361" max="15361" width="5.25" style="23" customWidth="1"/>
    <col min="15362" max="15362" width="7.125" style="23" customWidth="1"/>
    <col min="15363" max="15363" width="6.5" style="23" customWidth="1"/>
    <col min="15364" max="15364" width="34.25" style="23" customWidth="1"/>
    <col min="15365" max="15365" width="6.5" style="23" customWidth="1"/>
    <col min="15366" max="15366" width="7.25" style="23" customWidth="1"/>
    <col min="15367" max="15367" width="11" style="23" customWidth="1"/>
    <col min="15368" max="15368" width="29.375" style="23" customWidth="1"/>
    <col min="15369" max="15369" width="52.5" style="23" bestFit="1" customWidth="1"/>
    <col min="15370" max="15371" width="9" style="23"/>
    <col min="15372" max="15372" width="10.875" style="23" customWidth="1"/>
    <col min="15373" max="15616" width="9" style="23"/>
    <col min="15617" max="15617" width="5.25" style="23" customWidth="1"/>
    <col min="15618" max="15618" width="7.125" style="23" customWidth="1"/>
    <col min="15619" max="15619" width="6.5" style="23" customWidth="1"/>
    <col min="15620" max="15620" width="34.25" style="23" customWidth="1"/>
    <col min="15621" max="15621" width="6.5" style="23" customWidth="1"/>
    <col min="15622" max="15622" width="7.25" style="23" customWidth="1"/>
    <col min="15623" max="15623" width="11" style="23" customWidth="1"/>
    <col min="15624" max="15624" width="29.375" style="23" customWidth="1"/>
    <col min="15625" max="15625" width="52.5" style="23" bestFit="1" customWidth="1"/>
    <col min="15626" max="15627" width="9" style="23"/>
    <col min="15628" max="15628" width="10.875" style="23" customWidth="1"/>
    <col min="15629" max="15872" width="9" style="23"/>
    <col min="15873" max="15873" width="5.25" style="23" customWidth="1"/>
    <col min="15874" max="15874" width="7.125" style="23" customWidth="1"/>
    <col min="15875" max="15875" width="6.5" style="23" customWidth="1"/>
    <col min="15876" max="15876" width="34.25" style="23" customWidth="1"/>
    <col min="15877" max="15877" width="6.5" style="23" customWidth="1"/>
    <col min="15878" max="15878" width="7.25" style="23" customWidth="1"/>
    <col min="15879" max="15879" width="11" style="23" customWidth="1"/>
    <col min="15880" max="15880" width="29.375" style="23" customWidth="1"/>
    <col min="15881" max="15881" width="52.5" style="23" bestFit="1" customWidth="1"/>
    <col min="15882" max="15883" width="9" style="23"/>
    <col min="15884" max="15884" width="10.875" style="23" customWidth="1"/>
    <col min="15885" max="16128" width="9" style="23"/>
    <col min="16129" max="16129" width="5.25" style="23" customWidth="1"/>
    <col min="16130" max="16130" width="7.125" style="23" customWidth="1"/>
    <col min="16131" max="16131" width="6.5" style="23" customWidth="1"/>
    <col min="16132" max="16132" width="34.25" style="23" customWidth="1"/>
    <col min="16133" max="16133" width="6.5" style="23" customWidth="1"/>
    <col min="16134" max="16134" width="7.25" style="23" customWidth="1"/>
    <col min="16135" max="16135" width="11" style="23" customWidth="1"/>
    <col min="16136" max="16136" width="29.375" style="23" customWidth="1"/>
    <col min="16137" max="16137" width="52.5" style="23" bestFit="1" customWidth="1"/>
    <col min="16138" max="16139" width="9" style="23"/>
    <col min="16140" max="16140" width="10.875" style="23" customWidth="1"/>
    <col min="16141" max="16384" width="9" style="23"/>
  </cols>
  <sheetData>
    <row r="1" spans="1:12" ht="31.15" customHeight="1">
      <c r="A1" s="984" t="s">
        <v>2278</v>
      </c>
      <c r="B1" s="985"/>
      <c r="C1" s="985"/>
      <c r="D1" s="985"/>
      <c r="E1" s="985"/>
      <c r="F1" s="986"/>
      <c r="G1" s="915" t="s">
        <v>2342</v>
      </c>
      <c r="H1" s="24"/>
    </row>
    <row r="2" spans="1:12" s="22" customFormat="1" ht="25.15" customHeight="1">
      <c r="A2" s="33" t="s">
        <v>153</v>
      </c>
      <c r="B2" s="987" t="s">
        <v>2363</v>
      </c>
      <c r="C2" s="988"/>
      <c r="D2" s="989"/>
      <c r="E2" s="34" t="s">
        <v>2279</v>
      </c>
      <c r="F2" s="34" t="s">
        <v>102</v>
      </c>
      <c r="G2" s="34" t="s">
        <v>2364</v>
      </c>
      <c r="H2" s="35" t="s">
        <v>104</v>
      </c>
      <c r="I2" s="36" t="s">
        <v>165</v>
      </c>
      <c r="J2" s="23"/>
      <c r="K2" s="23"/>
      <c r="L2" s="23"/>
    </row>
    <row r="3" spans="1:12" s="22" customFormat="1" ht="22.5" customHeight="1">
      <c r="A3" s="25">
        <v>1</v>
      </c>
      <c r="B3" s="981" t="s">
        <v>2365</v>
      </c>
      <c r="C3" s="982"/>
      <c r="D3" s="982"/>
      <c r="E3" s="37" t="s">
        <v>2281</v>
      </c>
      <c r="F3" s="38">
        <v>1</v>
      </c>
      <c r="G3" s="39">
        <v>5.2</v>
      </c>
      <c r="H3" s="42" t="s">
        <v>2282</v>
      </c>
      <c r="I3" s="36" t="s">
        <v>2283</v>
      </c>
      <c r="J3" s="23"/>
      <c r="K3" s="23"/>
      <c r="L3" s="23"/>
    </row>
    <row r="4" spans="1:12" s="22" customFormat="1" ht="22.5" customHeight="1">
      <c r="A4" s="25">
        <v>2</v>
      </c>
      <c r="B4" s="983" t="s">
        <v>2366</v>
      </c>
      <c r="C4" s="982"/>
      <c r="D4" s="982"/>
      <c r="E4" s="37" t="s">
        <v>2284</v>
      </c>
      <c r="F4" s="38"/>
      <c r="G4" s="39">
        <v>4.9000000000000004</v>
      </c>
      <c r="H4" s="42" t="s">
        <v>2282</v>
      </c>
      <c r="I4" s="36" t="s">
        <v>2285</v>
      </c>
      <c r="J4" s="23"/>
      <c r="K4" s="23"/>
      <c r="L4" s="23"/>
    </row>
    <row r="5" spans="1:12" s="22" customFormat="1" ht="22.5" customHeight="1">
      <c r="A5" s="25">
        <v>3</v>
      </c>
      <c r="B5" s="983" t="s">
        <v>2367</v>
      </c>
      <c r="C5" s="982"/>
      <c r="D5" s="982"/>
      <c r="E5" s="37" t="s">
        <v>2284</v>
      </c>
      <c r="F5" s="38"/>
      <c r="G5" s="39">
        <v>5.4</v>
      </c>
      <c r="H5" s="42" t="s">
        <v>2282</v>
      </c>
      <c r="I5" s="28"/>
      <c r="J5" s="23"/>
      <c r="K5" s="23"/>
      <c r="L5" s="23"/>
    </row>
    <row r="6" spans="1:12" s="22" customFormat="1" ht="22.5" customHeight="1">
      <c r="A6" s="25">
        <v>4</v>
      </c>
      <c r="B6" s="981" t="s">
        <v>2368</v>
      </c>
      <c r="C6" s="982"/>
      <c r="D6" s="982"/>
      <c r="E6" s="37" t="s">
        <v>2286</v>
      </c>
      <c r="F6" s="38"/>
      <c r="G6" s="39">
        <v>9</v>
      </c>
      <c r="H6" s="42" t="s">
        <v>2282</v>
      </c>
      <c r="I6" s="43" t="s">
        <v>2287</v>
      </c>
      <c r="J6" s="23"/>
      <c r="K6" s="23"/>
      <c r="L6" s="23"/>
    </row>
    <row r="7" spans="1:12" s="22" customFormat="1" ht="22.5" customHeight="1">
      <c r="A7" s="25">
        <v>5</v>
      </c>
      <c r="B7" s="983" t="s">
        <v>2369</v>
      </c>
      <c r="C7" s="982"/>
      <c r="D7" s="982"/>
      <c r="E7" s="37" t="s">
        <v>2286</v>
      </c>
      <c r="F7" s="38"/>
      <c r="G7" s="39">
        <v>9.6</v>
      </c>
      <c r="H7" s="42" t="s">
        <v>2282</v>
      </c>
      <c r="I7" s="43" t="s">
        <v>2288</v>
      </c>
      <c r="J7" s="23"/>
      <c r="K7" s="23"/>
      <c r="L7" s="23"/>
    </row>
    <row r="8" spans="1:12" s="22" customFormat="1" ht="22.5" customHeight="1">
      <c r="A8" s="25">
        <v>6</v>
      </c>
      <c r="B8" s="983" t="s">
        <v>2370</v>
      </c>
      <c r="C8" s="982"/>
      <c r="D8" s="982"/>
      <c r="E8" s="37" t="s">
        <v>2286</v>
      </c>
      <c r="F8" s="38"/>
      <c r="G8" s="39">
        <v>7.8</v>
      </c>
      <c r="H8" s="42" t="s">
        <v>2282</v>
      </c>
      <c r="I8" s="28"/>
      <c r="J8" s="23"/>
      <c r="K8" s="23"/>
      <c r="L8" s="23"/>
    </row>
    <row r="9" spans="1:12" s="22" customFormat="1" ht="22.5" customHeight="1">
      <c r="A9" s="25">
        <v>7</v>
      </c>
      <c r="B9" s="983" t="s">
        <v>2371</v>
      </c>
      <c r="C9" s="982"/>
      <c r="D9" s="982"/>
      <c r="E9" s="37" t="s">
        <v>2286</v>
      </c>
      <c r="F9" s="38"/>
      <c r="G9" s="39">
        <v>8.4</v>
      </c>
      <c r="H9" s="42" t="s">
        <v>2282</v>
      </c>
      <c r="I9" s="28"/>
      <c r="J9" s="23"/>
      <c r="K9" s="23"/>
      <c r="L9" s="23"/>
    </row>
    <row r="10" spans="1:12" s="22" customFormat="1" ht="22.5" customHeight="1">
      <c r="A10" s="25"/>
      <c r="B10" s="983" t="s">
        <v>2372</v>
      </c>
      <c r="C10" s="982"/>
      <c r="D10" s="982"/>
      <c r="E10" s="37" t="s">
        <v>2286</v>
      </c>
      <c r="F10" s="38"/>
      <c r="G10" s="39">
        <v>8.6999999999999993</v>
      </c>
      <c r="H10" s="42"/>
      <c r="I10" s="28"/>
      <c r="J10" s="23"/>
      <c r="K10" s="23"/>
      <c r="L10" s="23"/>
    </row>
    <row r="11" spans="1:12" s="22" customFormat="1" ht="22.5" customHeight="1">
      <c r="A11" s="25">
        <v>8</v>
      </c>
      <c r="B11" s="983" t="s">
        <v>2373</v>
      </c>
      <c r="C11" s="982"/>
      <c r="D11" s="982"/>
      <c r="E11" s="37" t="s">
        <v>2286</v>
      </c>
      <c r="F11" s="44"/>
      <c r="G11" s="39">
        <v>6.6</v>
      </c>
      <c r="H11" s="42" t="s">
        <v>2282</v>
      </c>
      <c r="I11" s="23"/>
      <c r="J11" s="23"/>
      <c r="K11" s="23"/>
      <c r="L11" s="23"/>
    </row>
    <row r="12" spans="1:12" s="22" customFormat="1" ht="22.5" customHeight="1">
      <c r="A12" s="25">
        <v>9</v>
      </c>
      <c r="B12" s="983" t="s">
        <v>2374</v>
      </c>
      <c r="C12" s="982"/>
      <c r="D12" s="982"/>
      <c r="E12" s="37" t="s">
        <v>2286</v>
      </c>
      <c r="F12" s="44"/>
      <c r="G12" s="39">
        <v>7.2</v>
      </c>
      <c r="H12" s="42" t="s">
        <v>2282</v>
      </c>
      <c r="I12" s="23"/>
      <c r="J12" s="23"/>
      <c r="K12" s="23"/>
      <c r="L12" s="23"/>
    </row>
    <row r="13" spans="1:12" s="22" customFormat="1" ht="22.5" customHeight="1">
      <c r="A13" s="25"/>
      <c r="B13" s="983" t="s">
        <v>2375</v>
      </c>
      <c r="C13" s="982"/>
      <c r="D13" s="982"/>
      <c r="E13" s="37" t="s">
        <v>2286</v>
      </c>
      <c r="F13" s="44"/>
      <c r="G13" s="39">
        <v>7.4</v>
      </c>
      <c r="H13" s="45" t="s">
        <v>2376</v>
      </c>
      <c r="I13" s="23"/>
      <c r="J13" s="23"/>
      <c r="K13" s="23"/>
      <c r="L13" s="23"/>
    </row>
    <row r="14" spans="1:12" s="22" customFormat="1" ht="22.5" customHeight="1">
      <c r="A14" s="25">
        <v>10</v>
      </c>
      <c r="B14" s="983" t="s">
        <v>2377</v>
      </c>
      <c r="C14" s="982"/>
      <c r="D14" s="982"/>
      <c r="E14" s="37" t="s">
        <v>2281</v>
      </c>
      <c r="F14" s="46"/>
      <c r="G14" s="39">
        <v>27</v>
      </c>
      <c r="H14" s="42" t="s">
        <v>2282</v>
      </c>
      <c r="I14" s="23"/>
      <c r="J14" s="23"/>
      <c r="K14" s="23"/>
      <c r="L14" s="23"/>
    </row>
    <row r="15" spans="1:12" s="22" customFormat="1" ht="22.5" customHeight="1">
      <c r="A15" s="25">
        <v>11</v>
      </c>
      <c r="B15" s="983" t="s">
        <v>2378</v>
      </c>
      <c r="C15" s="982"/>
      <c r="D15" s="982"/>
      <c r="E15" s="37" t="s">
        <v>2281</v>
      </c>
      <c r="F15" s="46"/>
      <c r="G15" s="39">
        <v>35</v>
      </c>
      <c r="H15" s="42" t="s">
        <v>2282</v>
      </c>
      <c r="I15" s="23"/>
      <c r="J15" s="23"/>
      <c r="K15" s="23"/>
      <c r="L15" s="23"/>
    </row>
    <row r="16" spans="1:12" s="22" customFormat="1">
      <c r="A16" s="25">
        <v>12</v>
      </c>
      <c r="B16" s="983" t="s">
        <v>2379</v>
      </c>
      <c r="C16" s="982"/>
      <c r="D16" s="982"/>
      <c r="E16" s="37" t="s">
        <v>2281</v>
      </c>
      <c r="F16" s="46"/>
      <c r="G16" s="39">
        <v>29</v>
      </c>
      <c r="H16" s="42" t="s">
        <v>2282</v>
      </c>
      <c r="I16" s="23"/>
      <c r="J16" s="23"/>
      <c r="K16" s="23"/>
      <c r="L16" s="23"/>
    </row>
    <row r="17" spans="1:12" s="22" customFormat="1">
      <c r="A17" s="25">
        <v>13</v>
      </c>
      <c r="B17" s="983" t="s">
        <v>2380</v>
      </c>
      <c r="C17" s="982"/>
      <c r="D17" s="982"/>
      <c r="E17" s="37" t="s">
        <v>2281</v>
      </c>
      <c r="F17" s="46"/>
      <c r="G17" s="39">
        <v>37</v>
      </c>
      <c r="H17" s="42" t="s">
        <v>2282</v>
      </c>
      <c r="I17" s="23"/>
      <c r="J17" s="23"/>
      <c r="K17" s="23"/>
      <c r="L17" s="23"/>
    </row>
    <row r="18" spans="1:12" s="22" customFormat="1">
      <c r="A18" s="25">
        <v>14</v>
      </c>
      <c r="B18" s="983" t="s">
        <v>2381</v>
      </c>
      <c r="C18" s="982"/>
      <c r="D18" s="982"/>
      <c r="E18" s="37" t="s">
        <v>2289</v>
      </c>
      <c r="F18" s="44"/>
      <c r="G18" s="39">
        <v>4970</v>
      </c>
      <c r="H18" s="990" t="s">
        <v>2382</v>
      </c>
      <c r="I18" s="28"/>
      <c r="J18" s="23"/>
      <c r="K18" s="23"/>
      <c r="L18" s="23"/>
    </row>
    <row r="19" spans="1:12" s="22" customFormat="1">
      <c r="A19" s="25">
        <v>15</v>
      </c>
      <c r="B19" s="983" t="s">
        <v>2383</v>
      </c>
      <c r="C19" s="982"/>
      <c r="D19" s="982"/>
      <c r="E19" s="37" t="s">
        <v>2289</v>
      </c>
      <c r="F19" s="44"/>
      <c r="G19" s="39">
        <v>5110</v>
      </c>
      <c r="H19" s="991"/>
      <c r="I19" s="28"/>
      <c r="J19" s="23"/>
      <c r="K19" s="23"/>
      <c r="L19" s="23"/>
    </row>
  </sheetData>
  <sheetProtection selectLockedCells="1" selectUnlockedCells="1"/>
  <mergeCells count="20">
    <mergeCell ref="H18:H19"/>
    <mergeCell ref="B19:D19"/>
    <mergeCell ref="B16:D16"/>
    <mergeCell ref="B17:D17"/>
    <mergeCell ref="B18:D18"/>
    <mergeCell ref="A1:F1"/>
    <mergeCell ref="B2:D2"/>
    <mergeCell ref="B3:D3"/>
    <mergeCell ref="B4:D4"/>
    <mergeCell ref="B5:D5"/>
    <mergeCell ref="B6:D6"/>
    <mergeCell ref="B7:D7"/>
    <mergeCell ref="B8:D8"/>
    <mergeCell ref="B9:D9"/>
    <mergeCell ref="B15:D15"/>
    <mergeCell ref="B10:D10"/>
    <mergeCell ref="B11:D11"/>
    <mergeCell ref="B12:D12"/>
    <mergeCell ref="B13:D13"/>
    <mergeCell ref="B14:D14"/>
  </mergeCells>
  <phoneticPr fontId="120" type="noConversion"/>
  <printOptions horizontalCentered="1"/>
  <pageMargins left="0.37" right="0.3" top="0.5" bottom="0.39370078740157499" header="0.53" footer="0.26"/>
  <pageSetup paperSize="9" scale="79" orientation="portrait"/>
  <headerFooter alignWithMargins="0"/>
  <drawing r:id="rId1"/>
  <extLst>
    <ext xmlns:x14="http://schemas.microsoft.com/office/spreadsheetml/2009/9/main" uri="{78C0D931-6437-407d-A8EE-F0AAD7539E65}">
      <x14:conditionalFormattings>
        <x14:conditionalFormatting xmlns:xm="http://schemas.microsoft.com/office/excel/2006/main">
          <x14:cfRule type="expression" priority="1" id="{00000000-000E-0000-1000-000001000000}">
            <xm:f>Sheet1!$A$3&lt;&gt;1</xm:f>
            <x14:dxf>
              <font>
                <color theme="3" tint="0.79992065187536243"/>
              </font>
              <fill>
                <patternFill patternType="solid">
                  <bgColor theme="3" tint="0.79992065187536243"/>
                </patternFill>
              </fill>
            </x14:dxf>
          </x14:cfRule>
          <xm:sqref>A1:XFD1048576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L19"/>
  <sheetViews>
    <sheetView zoomScaleSheetLayoutView="84" workbookViewId="0">
      <selection sqref="A1:XFD1048576"/>
    </sheetView>
  </sheetViews>
  <sheetFormatPr defaultRowHeight="14.25"/>
  <cols>
    <col min="1" max="1" width="5.25" style="23" customWidth="1"/>
    <col min="2" max="2" width="7.125" style="23" customWidth="1"/>
    <col min="3" max="3" width="6.5" style="23" customWidth="1"/>
    <col min="4" max="4" width="20.625" style="23" customWidth="1"/>
    <col min="5" max="5" width="14" style="23" customWidth="1"/>
    <col min="6" max="6" width="16.125" style="23" hidden="1" customWidth="1"/>
    <col min="7" max="7" width="2.5" style="23" hidden="1" customWidth="1"/>
    <col min="8" max="8" width="28.25" style="23" customWidth="1"/>
    <col min="9" max="9" width="51.5" style="23" bestFit="1" customWidth="1"/>
    <col min="10" max="11" width="9" style="23"/>
    <col min="12" max="12" width="10.875" style="23" customWidth="1"/>
    <col min="13" max="256" width="9" style="23"/>
    <col min="257" max="257" width="5.25" style="23" customWidth="1"/>
    <col min="258" max="258" width="7.125" style="23" customWidth="1"/>
    <col min="259" max="259" width="6.5" style="23" customWidth="1"/>
    <col min="260" max="260" width="20.625" style="23" customWidth="1"/>
    <col min="261" max="261" width="14" style="23" customWidth="1"/>
    <col min="262" max="263" width="0" style="23" hidden="1" customWidth="1"/>
    <col min="264" max="264" width="28.25" style="23" customWidth="1"/>
    <col min="265" max="265" width="51.5" style="23" bestFit="1" customWidth="1"/>
    <col min="266" max="267" width="9" style="23"/>
    <col min="268" max="268" width="10.875" style="23" customWidth="1"/>
    <col min="269" max="512" width="9" style="23"/>
    <col min="513" max="513" width="5.25" style="23" customWidth="1"/>
    <col min="514" max="514" width="7.125" style="23" customWidth="1"/>
    <col min="515" max="515" width="6.5" style="23" customWidth="1"/>
    <col min="516" max="516" width="20.625" style="23" customWidth="1"/>
    <col min="517" max="517" width="14" style="23" customWidth="1"/>
    <col min="518" max="519" width="0" style="23" hidden="1" customWidth="1"/>
    <col min="520" max="520" width="28.25" style="23" customWidth="1"/>
    <col min="521" max="521" width="51.5" style="23" bestFit="1" customWidth="1"/>
    <col min="522" max="523" width="9" style="23"/>
    <col min="524" max="524" width="10.875" style="23" customWidth="1"/>
    <col min="525" max="768" width="9" style="23"/>
    <col min="769" max="769" width="5.25" style="23" customWidth="1"/>
    <col min="770" max="770" width="7.125" style="23" customWidth="1"/>
    <col min="771" max="771" width="6.5" style="23" customWidth="1"/>
    <col min="772" max="772" width="20.625" style="23" customWidth="1"/>
    <col min="773" max="773" width="14" style="23" customWidth="1"/>
    <col min="774" max="775" width="0" style="23" hidden="1" customWidth="1"/>
    <col min="776" max="776" width="28.25" style="23" customWidth="1"/>
    <col min="777" max="777" width="51.5" style="23" bestFit="1" customWidth="1"/>
    <col min="778" max="779" width="9" style="23"/>
    <col min="780" max="780" width="10.875" style="23" customWidth="1"/>
    <col min="781" max="1024" width="9" style="23"/>
    <col min="1025" max="1025" width="5.25" style="23" customWidth="1"/>
    <col min="1026" max="1026" width="7.125" style="23" customWidth="1"/>
    <col min="1027" max="1027" width="6.5" style="23" customWidth="1"/>
    <col min="1028" max="1028" width="20.625" style="23" customWidth="1"/>
    <col min="1029" max="1029" width="14" style="23" customWidth="1"/>
    <col min="1030" max="1031" width="0" style="23" hidden="1" customWidth="1"/>
    <col min="1032" max="1032" width="28.25" style="23" customWidth="1"/>
    <col min="1033" max="1033" width="51.5" style="23" bestFit="1" customWidth="1"/>
    <col min="1034" max="1035" width="9" style="23"/>
    <col min="1036" max="1036" width="10.875" style="23" customWidth="1"/>
    <col min="1037" max="1280" width="9" style="23"/>
    <col min="1281" max="1281" width="5.25" style="23" customWidth="1"/>
    <col min="1282" max="1282" width="7.125" style="23" customWidth="1"/>
    <col min="1283" max="1283" width="6.5" style="23" customWidth="1"/>
    <col min="1284" max="1284" width="20.625" style="23" customWidth="1"/>
    <col min="1285" max="1285" width="14" style="23" customWidth="1"/>
    <col min="1286" max="1287" width="0" style="23" hidden="1" customWidth="1"/>
    <col min="1288" max="1288" width="28.25" style="23" customWidth="1"/>
    <col min="1289" max="1289" width="51.5" style="23" bestFit="1" customWidth="1"/>
    <col min="1290" max="1291" width="9" style="23"/>
    <col min="1292" max="1292" width="10.875" style="23" customWidth="1"/>
    <col min="1293" max="1536" width="9" style="23"/>
    <col min="1537" max="1537" width="5.25" style="23" customWidth="1"/>
    <col min="1538" max="1538" width="7.125" style="23" customWidth="1"/>
    <col min="1539" max="1539" width="6.5" style="23" customWidth="1"/>
    <col min="1540" max="1540" width="20.625" style="23" customWidth="1"/>
    <col min="1541" max="1541" width="14" style="23" customWidth="1"/>
    <col min="1542" max="1543" width="0" style="23" hidden="1" customWidth="1"/>
    <col min="1544" max="1544" width="28.25" style="23" customWidth="1"/>
    <col min="1545" max="1545" width="51.5" style="23" bestFit="1" customWidth="1"/>
    <col min="1546" max="1547" width="9" style="23"/>
    <col min="1548" max="1548" width="10.875" style="23" customWidth="1"/>
    <col min="1549" max="1792" width="9" style="23"/>
    <col min="1793" max="1793" width="5.25" style="23" customWidth="1"/>
    <col min="1794" max="1794" width="7.125" style="23" customWidth="1"/>
    <col min="1795" max="1795" width="6.5" style="23" customWidth="1"/>
    <col min="1796" max="1796" width="20.625" style="23" customWidth="1"/>
    <col min="1797" max="1797" width="14" style="23" customWidth="1"/>
    <col min="1798" max="1799" width="0" style="23" hidden="1" customWidth="1"/>
    <col min="1800" max="1800" width="28.25" style="23" customWidth="1"/>
    <col min="1801" max="1801" width="51.5" style="23" bestFit="1" customWidth="1"/>
    <col min="1802" max="1803" width="9" style="23"/>
    <col min="1804" max="1804" width="10.875" style="23" customWidth="1"/>
    <col min="1805" max="2048" width="9" style="23"/>
    <col min="2049" max="2049" width="5.25" style="23" customWidth="1"/>
    <col min="2050" max="2050" width="7.125" style="23" customWidth="1"/>
    <col min="2051" max="2051" width="6.5" style="23" customWidth="1"/>
    <col min="2052" max="2052" width="20.625" style="23" customWidth="1"/>
    <col min="2053" max="2053" width="14" style="23" customWidth="1"/>
    <col min="2054" max="2055" width="0" style="23" hidden="1" customWidth="1"/>
    <col min="2056" max="2056" width="28.25" style="23" customWidth="1"/>
    <col min="2057" max="2057" width="51.5" style="23" bestFit="1" customWidth="1"/>
    <col min="2058" max="2059" width="9" style="23"/>
    <col min="2060" max="2060" width="10.875" style="23" customWidth="1"/>
    <col min="2061" max="2304" width="9" style="23"/>
    <col min="2305" max="2305" width="5.25" style="23" customWidth="1"/>
    <col min="2306" max="2306" width="7.125" style="23" customWidth="1"/>
    <col min="2307" max="2307" width="6.5" style="23" customWidth="1"/>
    <col min="2308" max="2308" width="20.625" style="23" customWidth="1"/>
    <col min="2309" max="2309" width="14" style="23" customWidth="1"/>
    <col min="2310" max="2311" width="0" style="23" hidden="1" customWidth="1"/>
    <col min="2312" max="2312" width="28.25" style="23" customWidth="1"/>
    <col min="2313" max="2313" width="51.5" style="23" bestFit="1" customWidth="1"/>
    <col min="2314" max="2315" width="9" style="23"/>
    <col min="2316" max="2316" width="10.875" style="23" customWidth="1"/>
    <col min="2317" max="2560" width="9" style="23"/>
    <col min="2561" max="2561" width="5.25" style="23" customWidth="1"/>
    <col min="2562" max="2562" width="7.125" style="23" customWidth="1"/>
    <col min="2563" max="2563" width="6.5" style="23" customWidth="1"/>
    <col min="2564" max="2564" width="20.625" style="23" customWidth="1"/>
    <col min="2565" max="2565" width="14" style="23" customWidth="1"/>
    <col min="2566" max="2567" width="0" style="23" hidden="1" customWidth="1"/>
    <col min="2568" max="2568" width="28.25" style="23" customWidth="1"/>
    <col min="2569" max="2569" width="51.5" style="23" bestFit="1" customWidth="1"/>
    <col min="2570" max="2571" width="9" style="23"/>
    <col min="2572" max="2572" width="10.875" style="23" customWidth="1"/>
    <col min="2573" max="2816" width="9" style="23"/>
    <col min="2817" max="2817" width="5.25" style="23" customWidth="1"/>
    <col min="2818" max="2818" width="7.125" style="23" customWidth="1"/>
    <col min="2819" max="2819" width="6.5" style="23" customWidth="1"/>
    <col min="2820" max="2820" width="20.625" style="23" customWidth="1"/>
    <col min="2821" max="2821" width="14" style="23" customWidth="1"/>
    <col min="2822" max="2823" width="0" style="23" hidden="1" customWidth="1"/>
    <col min="2824" max="2824" width="28.25" style="23" customWidth="1"/>
    <col min="2825" max="2825" width="51.5" style="23" bestFit="1" customWidth="1"/>
    <col min="2826" max="2827" width="9" style="23"/>
    <col min="2828" max="2828" width="10.875" style="23" customWidth="1"/>
    <col min="2829" max="3072" width="9" style="23"/>
    <col min="3073" max="3073" width="5.25" style="23" customWidth="1"/>
    <col min="3074" max="3074" width="7.125" style="23" customWidth="1"/>
    <col min="3075" max="3075" width="6.5" style="23" customWidth="1"/>
    <col min="3076" max="3076" width="20.625" style="23" customWidth="1"/>
    <col min="3077" max="3077" width="14" style="23" customWidth="1"/>
    <col min="3078" max="3079" width="0" style="23" hidden="1" customWidth="1"/>
    <col min="3080" max="3080" width="28.25" style="23" customWidth="1"/>
    <col min="3081" max="3081" width="51.5" style="23" bestFit="1" customWidth="1"/>
    <col min="3082" max="3083" width="9" style="23"/>
    <col min="3084" max="3084" width="10.875" style="23" customWidth="1"/>
    <col min="3085" max="3328" width="9" style="23"/>
    <col min="3329" max="3329" width="5.25" style="23" customWidth="1"/>
    <col min="3330" max="3330" width="7.125" style="23" customWidth="1"/>
    <col min="3331" max="3331" width="6.5" style="23" customWidth="1"/>
    <col min="3332" max="3332" width="20.625" style="23" customWidth="1"/>
    <col min="3333" max="3333" width="14" style="23" customWidth="1"/>
    <col min="3334" max="3335" width="0" style="23" hidden="1" customWidth="1"/>
    <col min="3336" max="3336" width="28.25" style="23" customWidth="1"/>
    <col min="3337" max="3337" width="51.5" style="23" bestFit="1" customWidth="1"/>
    <col min="3338" max="3339" width="9" style="23"/>
    <col min="3340" max="3340" width="10.875" style="23" customWidth="1"/>
    <col min="3341" max="3584" width="9" style="23"/>
    <col min="3585" max="3585" width="5.25" style="23" customWidth="1"/>
    <col min="3586" max="3586" width="7.125" style="23" customWidth="1"/>
    <col min="3587" max="3587" width="6.5" style="23" customWidth="1"/>
    <col min="3588" max="3588" width="20.625" style="23" customWidth="1"/>
    <col min="3589" max="3589" width="14" style="23" customWidth="1"/>
    <col min="3590" max="3591" width="0" style="23" hidden="1" customWidth="1"/>
    <col min="3592" max="3592" width="28.25" style="23" customWidth="1"/>
    <col min="3593" max="3593" width="51.5" style="23" bestFit="1" customWidth="1"/>
    <col min="3594" max="3595" width="9" style="23"/>
    <col min="3596" max="3596" width="10.875" style="23" customWidth="1"/>
    <col min="3597" max="3840" width="9" style="23"/>
    <col min="3841" max="3841" width="5.25" style="23" customWidth="1"/>
    <col min="3842" max="3842" width="7.125" style="23" customWidth="1"/>
    <col min="3843" max="3843" width="6.5" style="23" customWidth="1"/>
    <col min="3844" max="3844" width="20.625" style="23" customWidth="1"/>
    <col min="3845" max="3845" width="14" style="23" customWidth="1"/>
    <col min="3846" max="3847" width="0" style="23" hidden="1" customWidth="1"/>
    <col min="3848" max="3848" width="28.25" style="23" customWidth="1"/>
    <col min="3849" max="3849" width="51.5" style="23" bestFit="1" customWidth="1"/>
    <col min="3850" max="3851" width="9" style="23"/>
    <col min="3852" max="3852" width="10.875" style="23" customWidth="1"/>
    <col min="3853" max="4096" width="9" style="23"/>
    <col min="4097" max="4097" width="5.25" style="23" customWidth="1"/>
    <col min="4098" max="4098" width="7.125" style="23" customWidth="1"/>
    <col min="4099" max="4099" width="6.5" style="23" customWidth="1"/>
    <col min="4100" max="4100" width="20.625" style="23" customWidth="1"/>
    <col min="4101" max="4101" width="14" style="23" customWidth="1"/>
    <col min="4102" max="4103" width="0" style="23" hidden="1" customWidth="1"/>
    <col min="4104" max="4104" width="28.25" style="23" customWidth="1"/>
    <col min="4105" max="4105" width="51.5" style="23" bestFit="1" customWidth="1"/>
    <col min="4106" max="4107" width="9" style="23"/>
    <col min="4108" max="4108" width="10.875" style="23" customWidth="1"/>
    <col min="4109" max="4352" width="9" style="23"/>
    <col min="4353" max="4353" width="5.25" style="23" customWidth="1"/>
    <col min="4354" max="4354" width="7.125" style="23" customWidth="1"/>
    <col min="4355" max="4355" width="6.5" style="23" customWidth="1"/>
    <col min="4356" max="4356" width="20.625" style="23" customWidth="1"/>
    <col min="4357" max="4357" width="14" style="23" customWidth="1"/>
    <col min="4358" max="4359" width="0" style="23" hidden="1" customWidth="1"/>
    <col min="4360" max="4360" width="28.25" style="23" customWidth="1"/>
    <col min="4361" max="4361" width="51.5" style="23" bestFit="1" customWidth="1"/>
    <col min="4362" max="4363" width="9" style="23"/>
    <col min="4364" max="4364" width="10.875" style="23" customWidth="1"/>
    <col min="4365" max="4608" width="9" style="23"/>
    <col min="4609" max="4609" width="5.25" style="23" customWidth="1"/>
    <col min="4610" max="4610" width="7.125" style="23" customWidth="1"/>
    <col min="4611" max="4611" width="6.5" style="23" customWidth="1"/>
    <col min="4612" max="4612" width="20.625" style="23" customWidth="1"/>
    <col min="4613" max="4613" width="14" style="23" customWidth="1"/>
    <col min="4614" max="4615" width="0" style="23" hidden="1" customWidth="1"/>
    <col min="4616" max="4616" width="28.25" style="23" customWidth="1"/>
    <col min="4617" max="4617" width="51.5" style="23" bestFit="1" customWidth="1"/>
    <col min="4618" max="4619" width="9" style="23"/>
    <col min="4620" max="4620" width="10.875" style="23" customWidth="1"/>
    <col min="4621" max="4864" width="9" style="23"/>
    <col min="4865" max="4865" width="5.25" style="23" customWidth="1"/>
    <col min="4866" max="4866" width="7.125" style="23" customWidth="1"/>
    <col min="4867" max="4867" width="6.5" style="23" customWidth="1"/>
    <col min="4868" max="4868" width="20.625" style="23" customWidth="1"/>
    <col min="4869" max="4869" width="14" style="23" customWidth="1"/>
    <col min="4870" max="4871" width="0" style="23" hidden="1" customWidth="1"/>
    <col min="4872" max="4872" width="28.25" style="23" customWidth="1"/>
    <col min="4873" max="4873" width="51.5" style="23" bestFit="1" customWidth="1"/>
    <col min="4874" max="4875" width="9" style="23"/>
    <col min="4876" max="4876" width="10.875" style="23" customWidth="1"/>
    <col min="4877" max="5120" width="9" style="23"/>
    <col min="5121" max="5121" width="5.25" style="23" customWidth="1"/>
    <col min="5122" max="5122" width="7.125" style="23" customWidth="1"/>
    <col min="5123" max="5123" width="6.5" style="23" customWidth="1"/>
    <col min="5124" max="5124" width="20.625" style="23" customWidth="1"/>
    <col min="5125" max="5125" width="14" style="23" customWidth="1"/>
    <col min="5126" max="5127" width="0" style="23" hidden="1" customWidth="1"/>
    <col min="5128" max="5128" width="28.25" style="23" customWidth="1"/>
    <col min="5129" max="5129" width="51.5" style="23" bestFit="1" customWidth="1"/>
    <col min="5130" max="5131" width="9" style="23"/>
    <col min="5132" max="5132" width="10.875" style="23" customWidth="1"/>
    <col min="5133" max="5376" width="9" style="23"/>
    <col min="5377" max="5377" width="5.25" style="23" customWidth="1"/>
    <col min="5378" max="5378" width="7.125" style="23" customWidth="1"/>
    <col min="5379" max="5379" width="6.5" style="23" customWidth="1"/>
    <col min="5380" max="5380" width="20.625" style="23" customWidth="1"/>
    <col min="5381" max="5381" width="14" style="23" customWidth="1"/>
    <col min="5382" max="5383" width="0" style="23" hidden="1" customWidth="1"/>
    <col min="5384" max="5384" width="28.25" style="23" customWidth="1"/>
    <col min="5385" max="5385" width="51.5" style="23" bestFit="1" customWidth="1"/>
    <col min="5386" max="5387" width="9" style="23"/>
    <col min="5388" max="5388" width="10.875" style="23" customWidth="1"/>
    <col min="5389" max="5632" width="9" style="23"/>
    <col min="5633" max="5633" width="5.25" style="23" customWidth="1"/>
    <col min="5634" max="5634" width="7.125" style="23" customWidth="1"/>
    <col min="5635" max="5635" width="6.5" style="23" customWidth="1"/>
    <col min="5636" max="5636" width="20.625" style="23" customWidth="1"/>
    <col min="5637" max="5637" width="14" style="23" customWidth="1"/>
    <col min="5638" max="5639" width="0" style="23" hidden="1" customWidth="1"/>
    <col min="5640" max="5640" width="28.25" style="23" customWidth="1"/>
    <col min="5641" max="5641" width="51.5" style="23" bestFit="1" customWidth="1"/>
    <col min="5642" max="5643" width="9" style="23"/>
    <col min="5644" max="5644" width="10.875" style="23" customWidth="1"/>
    <col min="5645" max="5888" width="9" style="23"/>
    <col min="5889" max="5889" width="5.25" style="23" customWidth="1"/>
    <col min="5890" max="5890" width="7.125" style="23" customWidth="1"/>
    <col min="5891" max="5891" width="6.5" style="23" customWidth="1"/>
    <col min="5892" max="5892" width="20.625" style="23" customWidth="1"/>
    <col min="5893" max="5893" width="14" style="23" customWidth="1"/>
    <col min="5894" max="5895" width="0" style="23" hidden="1" customWidth="1"/>
    <col min="5896" max="5896" width="28.25" style="23" customWidth="1"/>
    <col min="5897" max="5897" width="51.5" style="23" bestFit="1" customWidth="1"/>
    <col min="5898" max="5899" width="9" style="23"/>
    <col min="5900" max="5900" width="10.875" style="23" customWidth="1"/>
    <col min="5901" max="6144" width="9" style="23"/>
    <col min="6145" max="6145" width="5.25" style="23" customWidth="1"/>
    <col min="6146" max="6146" width="7.125" style="23" customWidth="1"/>
    <col min="6147" max="6147" width="6.5" style="23" customWidth="1"/>
    <col min="6148" max="6148" width="20.625" style="23" customWidth="1"/>
    <col min="6149" max="6149" width="14" style="23" customWidth="1"/>
    <col min="6150" max="6151" width="0" style="23" hidden="1" customWidth="1"/>
    <col min="6152" max="6152" width="28.25" style="23" customWidth="1"/>
    <col min="6153" max="6153" width="51.5" style="23" bestFit="1" customWidth="1"/>
    <col min="6154" max="6155" width="9" style="23"/>
    <col min="6156" max="6156" width="10.875" style="23" customWidth="1"/>
    <col min="6157" max="6400" width="9" style="23"/>
    <col min="6401" max="6401" width="5.25" style="23" customWidth="1"/>
    <col min="6402" max="6402" width="7.125" style="23" customWidth="1"/>
    <col min="6403" max="6403" width="6.5" style="23" customWidth="1"/>
    <col min="6404" max="6404" width="20.625" style="23" customWidth="1"/>
    <col min="6405" max="6405" width="14" style="23" customWidth="1"/>
    <col min="6406" max="6407" width="0" style="23" hidden="1" customWidth="1"/>
    <col min="6408" max="6408" width="28.25" style="23" customWidth="1"/>
    <col min="6409" max="6409" width="51.5" style="23" bestFit="1" customWidth="1"/>
    <col min="6410" max="6411" width="9" style="23"/>
    <col min="6412" max="6412" width="10.875" style="23" customWidth="1"/>
    <col min="6413" max="6656" width="9" style="23"/>
    <col min="6657" max="6657" width="5.25" style="23" customWidth="1"/>
    <col min="6658" max="6658" width="7.125" style="23" customWidth="1"/>
    <col min="6659" max="6659" width="6.5" style="23" customWidth="1"/>
    <col min="6660" max="6660" width="20.625" style="23" customWidth="1"/>
    <col min="6661" max="6661" width="14" style="23" customWidth="1"/>
    <col min="6662" max="6663" width="0" style="23" hidden="1" customWidth="1"/>
    <col min="6664" max="6664" width="28.25" style="23" customWidth="1"/>
    <col min="6665" max="6665" width="51.5" style="23" bestFit="1" customWidth="1"/>
    <col min="6666" max="6667" width="9" style="23"/>
    <col min="6668" max="6668" width="10.875" style="23" customWidth="1"/>
    <col min="6669" max="6912" width="9" style="23"/>
    <col min="6913" max="6913" width="5.25" style="23" customWidth="1"/>
    <col min="6914" max="6914" width="7.125" style="23" customWidth="1"/>
    <col min="6915" max="6915" width="6.5" style="23" customWidth="1"/>
    <col min="6916" max="6916" width="20.625" style="23" customWidth="1"/>
    <col min="6917" max="6917" width="14" style="23" customWidth="1"/>
    <col min="6918" max="6919" width="0" style="23" hidden="1" customWidth="1"/>
    <col min="6920" max="6920" width="28.25" style="23" customWidth="1"/>
    <col min="6921" max="6921" width="51.5" style="23" bestFit="1" customWidth="1"/>
    <col min="6922" max="6923" width="9" style="23"/>
    <col min="6924" max="6924" width="10.875" style="23" customWidth="1"/>
    <col min="6925" max="7168" width="9" style="23"/>
    <col min="7169" max="7169" width="5.25" style="23" customWidth="1"/>
    <col min="7170" max="7170" width="7.125" style="23" customWidth="1"/>
    <col min="7171" max="7171" width="6.5" style="23" customWidth="1"/>
    <col min="7172" max="7172" width="20.625" style="23" customWidth="1"/>
    <col min="7173" max="7173" width="14" style="23" customWidth="1"/>
    <col min="7174" max="7175" width="0" style="23" hidden="1" customWidth="1"/>
    <col min="7176" max="7176" width="28.25" style="23" customWidth="1"/>
    <col min="7177" max="7177" width="51.5" style="23" bestFit="1" customWidth="1"/>
    <col min="7178" max="7179" width="9" style="23"/>
    <col min="7180" max="7180" width="10.875" style="23" customWidth="1"/>
    <col min="7181" max="7424" width="9" style="23"/>
    <col min="7425" max="7425" width="5.25" style="23" customWidth="1"/>
    <col min="7426" max="7426" width="7.125" style="23" customWidth="1"/>
    <col min="7427" max="7427" width="6.5" style="23" customWidth="1"/>
    <col min="7428" max="7428" width="20.625" style="23" customWidth="1"/>
    <col min="7429" max="7429" width="14" style="23" customWidth="1"/>
    <col min="7430" max="7431" width="0" style="23" hidden="1" customWidth="1"/>
    <col min="7432" max="7432" width="28.25" style="23" customWidth="1"/>
    <col min="7433" max="7433" width="51.5" style="23" bestFit="1" customWidth="1"/>
    <col min="7434" max="7435" width="9" style="23"/>
    <col min="7436" max="7436" width="10.875" style="23" customWidth="1"/>
    <col min="7437" max="7680" width="9" style="23"/>
    <col min="7681" max="7681" width="5.25" style="23" customWidth="1"/>
    <col min="7682" max="7682" width="7.125" style="23" customWidth="1"/>
    <col min="7683" max="7683" width="6.5" style="23" customWidth="1"/>
    <col min="7684" max="7684" width="20.625" style="23" customWidth="1"/>
    <col min="7685" max="7685" width="14" style="23" customWidth="1"/>
    <col min="7686" max="7687" width="0" style="23" hidden="1" customWidth="1"/>
    <col min="7688" max="7688" width="28.25" style="23" customWidth="1"/>
    <col min="7689" max="7689" width="51.5" style="23" bestFit="1" customWidth="1"/>
    <col min="7690" max="7691" width="9" style="23"/>
    <col min="7692" max="7692" width="10.875" style="23" customWidth="1"/>
    <col min="7693" max="7936" width="9" style="23"/>
    <col min="7937" max="7937" width="5.25" style="23" customWidth="1"/>
    <col min="7938" max="7938" width="7.125" style="23" customWidth="1"/>
    <col min="7939" max="7939" width="6.5" style="23" customWidth="1"/>
    <col min="7940" max="7940" width="20.625" style="23" customWidth="1"/>
    <col min="7941" max="7941" width="14" style="23" customWidth="1"/>
    <col min="7942" max="7943" width="0" style="23" hidden="1" customWidth="1"/>
    <col min="7944" max="7944" width="28.25" style="23" customWidth="1"/>
    <col min="7945" max="7945" width="51.5" style="23" bestFit="1" customWidth="1"/>
    <col min="7946" max="7947" width="9" style="23"/>
    <col min="7948" max="7948" width="10.875" style="23" customWidth="1"/>
    <col min="7949" max="8192" width="9" style="23"/>
    <col min="8193" max="8193" width="5.25" style="23" customWidth="1"/>
    <col min="8194" max="8194" width="7.125" style="23" customWidth="1"/>
    <col min="8195" max="8195" width="6.5" style="23" customWidth="1"/>
    <col min="8196" max="8196" width="20.625" style="23" customWidth="1"/>
    <col min="8197" max="8197" width="14" style="23" customWidth="1"/>
    <col min="8198" max="8199" width="0" style="23" hidden="1" customWidth="1"/>
    <col min="8200" max="8200" width="28.25" style="23" customWidth="1"/>
    <col min="8201" max="8201" width="51.5" style="23" bestFit="1" customWidth="1"/>
    <col min="8202" max="8203" width="9" style="23"/>
    <col min="8204" max="8204" width="10.875" style="23" customWidth="1"/>
    <col min="8205" max="8448" width="9" style="23"/>
    <col min="8449" max="8449" width="5.25" style="23" customWidth="1"/>
    <col min="8450" max="8450" width="7.125" style="23" customWidth="1"/>
    <col min="8451" max="8451" width="6.5" style="23" customWidth="1"/>
    <col min="8452" max="8452" width="20.625" style="23" customWidth="1"/>
    <col min="8453" max="8453" width="14" style="23" customWidth="1"/>
    <col min="8454" max="8455" width="0" style="23" hidden="1" customWidth="1"/>
    <col min="8456" max="8456" width="28.25" style="23" customWidth="1"/>
    <col min="8457" max="8457" width="51.5" style="23" bestFit="1" customWidth="1"/>
    <col min="8458" max="8459" width="9" style="23"/>
    <col min="8460" max="8460" width="10.875" style="23" customWidth="1"/>
    <col min="8461" max="8704" width="9" style="23"/>
    <col min="8705" max="8705" width="5.25" style="23" customWidth="1"/>
    <col min="8706" max="8706" width="7.125" style="23" customWidth="1"/>
    <col min="8707" max="8707" width="6.5" style="23" customWidth="1"/>
    <col min="8708" max="8708" width="20.625" style="23" customWidth="1"/>
    <col min="8709" max="8709" width="14" style="23" customWidth="1"/>
    <col min="8710" max="8711" width="0" style="23" hidden="1" customWidth="1"/>
    <col min="8712" max="8712" width="28.25" style="23" customWidth="1"/>
    <col min="8713" max="8713" width="51.5" style="23" bestFit="1" customWidth="1"/>
    <col min="8714" max="8715" width="9" style="23"/>
    <col min="8716" max="8716" width="10.875" style="23" customWidth="1"/>
    <col min="8717" max="8960" width="9" style="23"/>
    <col min="8961" max="8961" width="5.25" style="23" customWidth="1"/>
    <col min="8962" max="8962" width="7.125" style="23" customWidth="1"/>
    <col min="8963" max="8963" width="6.5" style="23" customWidth="1"/>
    <col min="8964" max="8964" width="20.625" style="23" customWidth="1"/>
    <col min="8965" max="8965" width="14" style="23" customWidth="1"/>
    <col min="8966" max="8967" width="0" style="23" hidden="1" customWidth="1"/>
    <col min="8968" max="8968" width="28.25" style="23" customWidth="1"/>
    <col min="8969" max="8969" width="51.5" style="23" bestFit="1" customWidth="1"/>
    <col min="8970" max="8971" width="9" style="23"/>
    <col min="8972" max="8972" width="10.875" style="23" customWidth="1"/>
    <col min="8973" max="9216" width="9" style="23"/>
    <col min="9217" max="9217" width="5.25" style="23" customWidth="1"/>
    <col min="9218" max="9218" width="7.125" style="23" customWidth="1"/>
    <col min="9219" max="9219" width="6.5" style="23" customWidth="1"/>
    <col min="9220" max="9220" width="20.625" style="23" customWidth="1"/>
    <col min="9221" max="9221" width="14" style="23" customWidth="1"/>
    <col min="9222" max="9223" width="0" style="23" hidden="1" customWidth="1"/>
    <col min="9224" max="9224" width="28.25" style="23" customWidth="1"/>
    <col min="9225" max="9225" width="51.5" style="23" bestFit="1" customWidth="1"/>
    <col min="9226" max="9227" width="9" style="23"/>
    <col min="9228" max="9228" width="10.875" style="23" customWidth="1"/>
    <col min="9229" max="9472" width="9" style="23"/>
    <col min="9473" max="9473" width="5.25" style="23" customWidth="1"/>
    <col min="9474" max="9474" width="7.125" style="23" customWidth="1"/>
    <col min="9475" max="9475" width="6.5" style="23" customWidth="1"/>
    <col min="9476" max="9476" width="20.625" style="23" customWidth="1"/>
    <col min="9477" max="9477" width="14" style="23" customWidth="1"/>
    <col min="9478" max="9479" width="0" style="23" hidden="1" customWidth="1"/>
    <col min="9480" max="9480" width="28.25" style="23" customWidth="1"/>
    <col min="9481" max="9481" width="51.5" style="23" bestFit="1" customWidth="1"/>
    <col min="9482" max="9483" width="9" style="23"/>
    <col min="9484" max="9484" width="10.875" style="23" customWidth="1"/>
    <col min="9485" max="9728" width="9" style="23"/>
    <col min="9729" max="9729" width="5.25" style="23" customWidth="1"/>
    <col min="9730" max="9730" width="7.125" style="23" customWidth="1"/>
    <col min="9731" max="9731" width="6.5" style="23" customWidth="1"/>
    <col min="9732" max="9732" width="20.625" style="23" customWidth="1"/>
    <col min="9733" max="9733" width="14" style="23" customWidth="1"/>
    <col min="9734" max="9735" width="0" style="23" hidden="1" customWidth="1"/>
    <col min="9736" max="9736" width="28.25" style="23" customWidth="1"/>
    <col min="9737" max="9737" width="51.5" style="23" bestFit="1" customWidth="1"/>
    <col min="9738" max="9739" width="9" style="23"/>
    <col min="9740" max="9740" width="10.875" style="23" customWidth="1"/>
    <col min="9741" max="9984" width="9" style="23"/>
    <col min="9985" max="9985" width="5.25" style="23" customWidth="1"/>
    <col min="9986" max="9986" width="7.125" style="23" customWidth="1"/>
    <col min="9987" max="9987" width="6.5" style="23" customWidth="1"/>
    <col min="9988" max="9988" width="20.625" style="23" customWidth="1"/>
    <col min="9989" max="9989" width="14" style="23" customWidth="1"/>
    <col min="9990" max="9991" width="0" style="23" hidden="1" customWidth="1"/>
    <col min="9992" max="9992" width="28.25" style="23" customWidth="1"/>
    <col min="9993" max="9993" width="51.5" style="23" bestFit="1" customWidth="1"/>
    <col min="9994" max="9995" width="9" style="23"/>
    <col min="9996" max="9996" width="10.875" style="23" customWidth="1"/>
    <col min="9997" max="10240" width="9" style="23"/>
    <col min="10241" max="10241" width="5.25" style="23" customWidth="1"/>
    <col min="10242" max="10242" width="7.125" style="23" customWidth="1"/>
    <col min="10243" max="10243" width="6.5" style="23" customWidth="1"/>
    <col min="10244" max="10244" width="20.625" style="23" customWidth="1"/>
    <col min="10245" max="10245" width="14" style="23" customWidth="1"/>
    <col min="10246" max="10247" width="0" style="23" hidden="1" customWidth="1"/>
    <col min="10248" max="10248" width="28.25" style="23" customWidth="1"/>
    <col min="10249" max="10249" width="51.5" style="23" bestFit="1" customWidth="1"/>
    <col min="10250" max="10251" width="9" style="23"/>
    <col min="10252" max="10252" width="10.875" style="23" customWidth="1"/>
    <col min="10253" max="10496" width="9" style="23"/>
    <col min="10497" max="10497" width="5.25" style="23" customWidth="1"/>
    <col min="10498" max="10498" width="7.125" style="23" customWidth="1"/>
    <col min="10499" max="10499" width="6.5" style="23" customWidth="1"/>
    <col min="10500" max="10500" width="20.625" style="23" customWidth="1"/>
    <col min="10501" max="10501" width="14" style="23" customWidth="1"/>
    <col min="10502" max="10503" width="0" style="23" hidden="1" customWidth="1"/>
    <col min="10504" max="10504" width="28.25" style="23" customWidth="1"/>
    <col min="10505" max="10505" width="51.5" style="23" bestFit="1" customWidth="1"/>
    <col min="10506" max="10507" width="9" style="23"/>
    <col min="10508" max="10508" width="10.875" style="23" customWidth="1"/>
    <col min="10509" max="10752" width="9" style="23"/>
    <col min="10753" max="10753" width="5.25" style="23" customWidth="1"/>
    <col min="10754" max="10754" width="7.125" style="23" customWidth="1"/>
    <col min="10755" max="10755" width="6.5" style="23" customWidth="1"/>
    <col min="10756" max="10756" width="20.625" style="23" customWidth="1"/>
    <col min="10757" max="10757" width="14" style="23" customWidth="1"/>
    <col min="10758" max="10759" width="0" style="23" hidden="1" customWidth="1"/>
    <col min="10760" max="10760" width="28.25" style="23" customWidth="1"/>
    <col min="10761" max="10761" width="51.5" style="23" bestFit="1" customWidth="1"/>
    <col min="10762" max="10763" width="9" style="23"/>
    <col min="10764" max="10764" width="10.875" style="23" customWidth="1"/>
    <col min="10765" max="11008" width="9" style="23"/>
    <col min="11009" max="11009" width="5.25" style="23" customWidth="1"/>
    <col min="11010" max="11010" width="7.125" style="23" customWidth="1"/>
    <col min="11011" max="11011" width="6.5" style="23" customWidth="1"/>
    <col min="11012" max="11012" width="20.625" style="23" customWidth="1"/>
    <col min="11013" max="11013" width="14" style="23" customWidth="1"/>
    <col min="11014" max="11015" width="0" style="23" hidden="1" customWidth="1"/>
    <col min="11016" max="11016" width="28.25" style="23" customWidth="1"/>
    <col min="11017" max="11017" width="51.5" style="23" bestFit="1" customWidth="1"/>
    <col min="11018" max="11019" width="9" style="23"/>
    <col min="11020" max="11020" width="10.875" style="23" customWidth="1"/>
    <col min="11021" max="11264" width="9" style="23"/>
    <col min="11265" max="11265" width="5.25" style="23" customWidth="1"/>
    <col min="11266" max="11266" width="7.125" style="23" customWidth="1"/>
    <col min="11267" max="11267" width="6.5" style="23" customWidth="1"/>
    <col min="11268" max="11268" width="20.625" style="23" customWidth="1"/>
    <col min="11269" max="11269" width="14" style="23" customWidth="1"/>
    <col min="11270" max="11271" width="0" style="23" hidden="1" customWidth="1"/>
    <col min="11272" max="11272" width="28.25" style="23" customWidth="1"/>
    <col min="11273" max="11273" width="51.5" style="23" bestFit="1" customWidth="1"/>
    <col min="11274" max="11275" width="9" style="23"/>
    <col min="11276" max="11276" width="10.875" style="23" customWidth="1"/>
    <col min="11277" max="11520" width="9" style="23"/>
    <col min="11521" max="11521" width="5.25" style="23" customWidth="1"/>
    <col min="11522" max="11522" width="7.125" style="23" customWidth="1"/>
    <col min="11523" max="11523" width="6.5" style="23" customWidth="1"/>
    <col min="11524" max="11524" width="20.625" style="23" customWidth="1"/>
    <col min="11525" max="11525" width="14" style="23" customWidth="1"/>
    <col min="11526" max="11527" width="0" style="23" hidden="1" customWidth="1"/>
    <col min="11528" max="11528" width="28.25" style="23" customWidth="1"/>
    <col min="11529" max="11529" width="51.5" style="23" bestFit="1" customWidth="1"/>
    <col min="11530" max="11531" width="9" style="23"/>
    <col min="11532" max="11532" width="10.875" style="23" customWidth="1"/>
    <col min="11533" max="11776" width="9" style="23"/>
    <col min="11777" max="11777" width="5.25" style="23" customWidth="1"/>
    <col min="11778" max="11778" width="7.125" style="23" customWidth="1"/>
    <col min="11779" max="11779" width="6.5" style="23" customWidth="1"/>
    <col min="11780" max="11780" width="20.625" style="23" customWidth="1"/>
    <col min="11781" max="11781" width="14" style="23" customWidth="1"/>
    <col min="11782" max="11783" width="0" style="23" hidden="1" customWidth="1"/>
    <col min="11784" max="11784" width="28.25" style="23" customWidth="1"/>
    <col min="11785" max="11785" width="51.5" style="23" bestFit="1" customWidth="1"/>
    <col min="11786" max="11787" width="9" style="23"/>
    <col min="11788" max="11788" width="10.875" style="23" customWidth="1"/>
    <col min="11789" max="12032" width="9" style="23"/>
    <col min="12033" max="12033" width="5.25" style="23" customWidth="1"/>
    <col min="12034" max="12034" width="7.125" style="23" customWidth="1"/>
    <col min="12035" max="12035" width="6.5" style="23" customWidth="1"/>
    <col min="12036" max="12036" width="20.625" style="23" customWidth="1"/>
    <col min="12037" max="12037" width="14" style="23" customWidth="1"/>
    <col min="12038" max="12039" width="0" style="23" hidden="1" customWidth="1"/>
    <col min="12040" max="12040" width="28.25" style="23" customWidth="1"/>
    <col min="12041" max="12041" width="51.5" style="23" bestFit="1" customWidth="1"/>
    <col min="12042" max="12043" width="9" style="23"/>
    <col min="12044" max="12044" width="10.875" style="23" customWidth="1"/>
    <col min="12045" max="12288" width="9" style="23"/>
    <col min="12289" max="12289" width="5.25" style="23" customWidth="1"/>
    <col min="12290" max="12290" width="7.125" style="23" customWidth="1"/>
    <col min="12291" max="12291" width="6.5" style="23" customWidth="1"/>
    <col min="12292" max="12292" width="20.625" style="23" customWidth="1"/>
    <col min="12293" max="12293" width="14" style="23" customWidth="1"/>
    <col min="12294" max="12295" width="0" style="23" hidden="1" customWidth="1"/>
    <col min="12296" max="12296" width="28.25" style="23" customWidth="1"/>
    <col min="12297" max="12297" width="51.5" style="23" bestFit="1" customWidth="1"/>
    <col min="12298" max="12299" width="9" style="23"/>
    <col min="12300" max="12300" width="10.875" style="23" customWidth="1"/>
    <col min="12301" max="12544" width="9" style="23"/>
    <col min="12545" max="12545" width="5.25" style="23" customWidth="1"/>
    <col min="12546" max="12546" width="7.125" style="23" customWidth="1"/>
    <col min="12547" max="12547" width="6.5" style="23" customWidth="1"/>
    <col min="12548" max="12548" width="20.625" style="23" customWidth="1"/>
    <col min="12549" max="12549" width="14" style="23" customWidth="1"/>
    <col min="12550" max="12551" width="0" style="23" hidden="1" customWidth="1"/>
    <col min="12552" max="12552" width="28.25" style="23" customWidth="1"/>
    <col min="12553" max="12553" width="51.5" style="23" bestFit="1" customWidth="1"/>
    <col min="12554" max="12555" width="9" style="23"/>
    <col min="12556" max="12556" width="10.875" style="23" customWidth="1"/>
    <col min="12557" max="12800" width="9" style="23"/>
    <col min="12801" max="12801" width="5.25" style="23" customWidth="1"/>
    <col min="12802" max="12802" width="7.125" style="23" customWidth="1"/>
    <col min="12803" max="12803" width="6.5" style="23" customWidth="1"/>
    <col min="12804" max="12804" width="20.625" style="23" customWidth="1"/>
    <col min="12805" max="12805" width="14" style="23" customWidth="1"/>
    <col min="12806" max="12807" width="0" style="23" hidden="1" customWidth="1"/>
    <col min="12808" max="12808" width="28.25" style="23" customWidth="1"/>
    <col min="12809" max="12809" width="51.5" style="23" bestFit="1" customWidth="1"/>
    <col min="12810" max="12811" width="9" style="23"/>
    <col min="12812" max="12812" width="10.875" style="23" customWidth="1"/>
    <col min="12813" max="13056" width="9" style="23"/>
    <col min="13057" max="13057" width="5.25" style="23" customWidth="1"/>
    <col min="13058" max="13058" width="7.125" style="23" customWidth="1"/>
    <col min="13059" max="13059" width="6.5" style="23" customWidth="1"/>
    <col min="13060" max="13060" width="20.625" style="23" customWidth="1"/>
    <col min="13061" max="13061" width="14" style="23" customWidth="1"/>
    <col min="13062" max="13063" width="0" style="23" hidden="1" customWidth="1"/>
    <col min="13064" max="13064" width="28.25" style="23" customWidth="1"/>
    <col min="13065" max="13065" width="51.5" style="23" bestFit="1" customWidth="1"/>
    <col min="13066" max="13067" width="9" style="23"/>
    <col min="13068" max="13068" width="10.875" style="23" customWidth="1"/>
    <col min="13069" max="13312" width="9" style="23"/>
    <col min="13313" max="13313" width="5.25" style="23" customWidth="1"/>
    <col min="13314" max="13314" width="7.125" style="23" customWidth="1"/>
    <col min="13315" max="13315" width="6.5" style="23" customWidth="1"/>
    <col min="13316" max="13316" width="20.625" style="23" customWidth="1"/>
    <col min="13317" max="13317" width="14" style="23" customWidth="1"/>
    <col min="13318" max="13319" width="0" style="23" hidden="1" customWidth="1"/>
    <col min="13320" max="13320" width="28.25" style="23" customWidth="1"/>
    <col min="13321" max="13321" width="51.5" style="23" bestFit="1" customWidth="1"/>
    <col min="13322" max="13323" width="9" style="23"/>
    <col min="13324" max="13324" width="10.875" style="23" customWidth="1"/>
    <col min="13325" max="13568" width="9" style="23"/>
    <col min="13569" max="13569" width="5.25" style="23" customWidth="1"/>
    <col min="13570" max="13570" width="7.125" style="23" customWidth="1"/>
    <col min="13571" max="13571" width="6.5" style="23" customWidth="1"/>
    <col min="13572" max="13572" width="20.625" style="23" customWidth="1"/>
    <col min="13573" max="13573" width="14" style="23" customWidth="1"/>
    <col min="13574" max="13575" width="0" style="23" hidden="1" customWidth="1"/>
    <col min="13576" max="13576" width="28.25" style="23" customWidth="1"/>
    <col min="13577" max="13577" width="51.5" style="23" bestFit="1" customWidth="1"/>
    <col min="13578" max="13579" width="9" style="23"/>
    <col min="13580" max="13580" width="10.875" style="23" customWidth="1"/>
    <col min="13581" max="13824" width="9" style="23"/>
    <col min="13825" max="13825" width="5.25" style="23" customWidth="1"/>
    <col min="13826" max="13826" width="7.125" style="23" customWidth="1"/>
    <col min="13827" max="13827" width="6.5" style="23" customWidth="1"/>
    <col min="13828" max="13828" width="20.625" style="23" customWidth="1"/>
    <col min="13829" max="13829" width="14" style="23" customWidth="1"/>
    <col min="13830" max="13831" width="0" style="23" hidden="1" customWidth="1"/>
    <col min="13832" max="13832" width="28.25" style="23" customWidth="1"/>
    <col min="13833" max="13833" width="51.5" style="23" bestFit="1" customWidth="1"/>
    <col min="13834" max="13835" width="9" style="23"/>
    <col min="13836" max="13836" width="10.875" style="23" customWidth="1"/>
    <col min="13837" max="14080" width="9" style="23"/>
    <col min="14081" max="14081" width="5.25" style="23" customWidth="1"/>
    <col min="14082" max="14082" width="7.125" style="23" customWidth="1"/>
    <col min="14083" max="14083" width="6.5" style="23" customWidth="1"/>
    <col min="14084" max="14084" width="20.625" style="23" customWidth="1"/>
    <col min="14085" max="14085" width="14" style="23" customWidth="1"/>
    <col min="14086" max="14087" width="0" style="23" hidden="1" customWidth="1"/>
    <col min="14088" max="14088" width="28.25" style="23" customWidth="1"/>
    <col min="14089" max="14089" width="51.5" style="23" bestFit="1" customWidth="1"/>
    <col min="14090" max="14091" width="9" style="23"/>
    <col min="14092" max="14092" width="10.875" style="23" customWidth="1"/>
    <col min="14093" max="14336" width="9" style="23"/>
    <col min="14337" max="14337" width="5.25" style="23" customWidth="1"/>
    <col min="14338" max="14338" width="7.125" style="23" customWidth="1"/>
    <col min="14339" max="14339" width="6.5" style="23" customWidth="1"/>
    <col min="14340" max="14340" width="20.625" style="23" customWidth="1"/>
    <col min="14341" max="14341" width="14" style="23" customWidth="1"/>
    <col min="14342" max="14343" width="0" style="23" hidden="1" customWidth="1"/>
    <col min="14344" max="14344" width="28.25" style="23" customWidth="1"/>
    <col min="14345" max="14345" width="51.5" style="23" bestFit="1" customWidth="1"/>
    <col min="14346" max="14347" width="9" style="23"/>
    <col min="14348" max="14348" width="10.875" style="23" customWidth="1"/>
    <col min="14349" max="14592" width="9" style="23"/>
    <col min="14593" max="14593" width="5.25" style="23" customWidth="1"/>
    <col min="14594" max="14594" width="7.125" style="23" customWidth="1"/>
    <col min="14595" max="14595" width="6.5" style="23" customWidth="1"/>
    <col min="14596" max="14596" width="20.625" style="23" customWidth="1"/>
    <col min="14597" max="14597" width="14" style="23" customWidth="1"/>
    <col min="14598" max="14599" width="0" style="23" hidden="1" customWidth="1"/>
    <col min="14600" max="14600" width="28.25" style="23" customWidth="1"/>
    <col min="14601" max="14601" width="51.5" style="23" bestFit="1" customWidth="1"/>
    <col min="14602" max="14603" width="9" style="23"/>
    <col min="14604" max="14604" width="10.875" style="23" customWidth="1"/>
    <col min="14605" max="14848" width="9" style="23"/>
    <col min="14849" max="14849" width="5.25" style="23" customWidth="1"/>
    <col min="14850" max="14850" width="7.125" style="23" customWidth="1"/>
    <col min="14851" max="14851" width="6.5" style="23" customWidth="1"/>
    <col min="14852" max="14852" width="20.625" style="23" customWidth="1"/>
    <col min="14853" max="14853" width="14" style="23" customWidth="1"/>
    <col min="14854" max="14855" width="0" style="23" hidden="1" customWidth="1"/>
    <col min="14856" max="14856" width="28.25" style="23" customWidth="1"/>
    <col min="14857" max="14857" width="51.5" style="23" bestFit="1" customWidth="1"/>
    <col min="14858" max="14859" width="9" style="23"/>
    <col min="14860" max="14860" width="10.875" style="23" customWidth="1"/>
    <col min="14861" max="15104" width="9" style="23"/>
    <col min="15105" max="15105" width="5.25" style="23" customWidth="1"/>
    <col min="15106" max="15106" width="7.125" style="23" customWidth="1"/>
    <col min="15107" max="15107" width="6.5" style="23" customWidth="1"/>
    <col min="15108" max="15108" width="20.625" style="23" customWidth="1"/>
    <col min="15109" max="15109" width="14" style="23" customWidth="1"/>
    <col min="15110" max="15111" width="0" style="23" hidden="1" customWidth="1"/>
    <col min="15112" max="15112" width="28.25" style="23" customWidth="1"/>
    <col min="15113" max="15113" width="51.5" style="23" bestFit="1" customWidth="1"/>
    <col min="15114" max="15115" width="9" style="23"/>
    <col min="15116" max="15116" width="10.875" style="23" customWidth="1"/>
    <col min="15117" max="15360" width="9" style="23"/>
    <col min="15361" max="15361" width="5.25" style="23" customWidth="1"/>
    <col min="15362" max="15362" width="7.125" style="23" customWidth="1"/>
    <col min="15363" max="15363" width="6.5" style="23" customWidth="1"/>
    <col min="15364" max="15364" width="20.625" style="23" customWidth="1"/>
    <col min="15365" max="15365" width="14" style="23" customWidth="1"/>
    <col min="15366" max="15367" width="0" style="23" hidden="1" customWidth="1"/>
    <col min="15368" max="15368" width="28.25" style="23" customWidth="1"/>
    <col min="15369" max="15369" width="51.5" style="23" bestFit="1" customWidth="1"/>
    <col min="15370" max="15371" width="9" style="23"/>
    <col min="15372" max="15372" width="10.875" style="23" customWidth="1"/>
    <col min="15373" max="15616" width="9" style="23"/>
    <col min="15617" max="15617" width="5.25" style="23" customWidth="1"/>
    <col min="15618" max="15618" width="7.125" style="23" customWidth="1"/>
    <col min="15619" max="15619" width="6.5" style="23" customWidth="1"/>
    <col min="15620" max="15620" width="20.625" style="23" customWidth="1"/>
    <col min="15621" max="15621" width="14" style="23" customWidth="1"/>
    <col min="15622" max="15623" width="0" style="23" hidden="1" customWidth="1"/>
    <col min="15624" max="15624" width="28.25" style="23" customWidth="1"/>
    <col min="15625" max="15625" width="51.5" style="23" bestFit="1" customWidth="1"/>
    <col min="15626" max="15627" width="9" style="23"/>
    <col min="15628" max="15628" width="10.875" style="23" customWidth="1"/>
    <col min="15629" max="15872" width="9" style="23"/>
    <col min="15873" max="15873" width="5.25" style="23" customWidth="1"/>
    <col min="15874" max="15874" width="7.125" style="23" customWidth="1"/>
    <col min="15875" max="15875" width="6.5" style="23" customWidth="1"/>
    <col min="15876" max="15876" width="20.625" style="23" customWidth="1"/>
    <col min="15877" max="15877" width="14" style="23" customWidth="1"/>
    <col min="15878" max="15879" width="0" style="23" hidden="1" customWidth="1"/>
    <col min="15880" max="15880" width="28.25" style="23" customWidth="1"/>
    <col min="15881" max="15881" width="51.5" style="23" bestFit="1" customWidth="1"/>
    <col min="15882" max="15883" width="9" style="23"/>
    <col min="15884" max="15884" width="10.875" style="23" customWidth="1"/>
    <col min="15885" max="16128" width="9" style="23"/>
    <col min="16129" max="16129" width="5.25" style="23" customWidth="1"/>
    <col min="16130" max="16130" width="7.125" style="23" customWidth="1"/>
    <col min="16131" max="16131" width="6.5" style="23" customWidth="1"/>
    <col min="16132" max="16132" width="20.625" style="23" customWidth="1"/>
    <col min="16133" max="16133" width="14" style="23" customWidth="1"/>
    <col min="16134" max="16135" width="0" style="23" hidden="1" customWidth="1"/>
    <col min="16136" max="16136" width="28.25" style="23" customWidth="1"/>
    <col min="16137" max="16137" width="51.5" style="23" bestFit="1" customWidth="1"/>
    <col min="16138" max="16139" width="9" style="23"/>
    <col min="16140" max="16140" width="10.875" style="23" customWidth="1"/>
    <col min="16141" max="16384" width="9" style="23"/>
  </cols>
  <sheetData>
    <row r="1" spans="1:12" ht="31.15" customHeight="1">
      <c r="A1" s="992" t="s">
        <v>2290</v>
      </c>
      <c r="B1" s="985"/>
      <c r="C1" s="985"/>
      <c r="D1" s="985"/>
      <c r="E1" s="993" t="s">
        <v>2342</v>
      </c>
      <c r="F1" s="994"/>
      <c r="G1" s="24"/>
      <c r="H1" s="24"/>
    </row>
    <row r="2" spans="1:12" s="22" customFormat="1" ht="25.15" customHeight="1">
      <c r="A2" s="25" t="s">
        <v>2291</v>
      </c>
      <c r="B2" s="987" t="s">
        <v>2363</v>
      </c>
      <c r="C2" s="988"/>
      <c r="D2" s="989"/>
      <c r="E2" s="26" t="s">
        <v>2292</v>
      </c>
      <c r="F2" s="26" t="s">
        <v>2280</v>
      </c>
      <c r="G2" s="27"/>
      <c r="H2" s="26" t="s">
        <v>2293</v>
      </c>
      <c r="I2" s="28"/>
      <c r="J2" s="23"/>
      <c r="K2" s="23"/>
      <c r="L2" s="23"/>
    </row>
    <row r="3" spans="1:12" s="22" customFormat="1" ht="22.5" customHeight="1">
      <c r="A3" s="25">
        <v>1</v>
      </c>
      <c r="B3" s="982" t="s">
        <v>954</v>
      </c>
      <c r="C3" s="982"/>
      <c r="D3" s="982"/>
      <c r="E3" s="39">
        <v>4510</v>
      </c>
      <c r="F3" s="40"/>
      <c r="G3" s="41"/>
      <c r="H3" s="29" t="s">
        <v>2384</v>
      </c>
      <c r="I3" s="28"/>
      <c r="J3" s="23"/>
      <c r="K3" s="23"/>
      <c r="L3" s="23"/>
    </row>
    <row r="4" spans="1:12" s="22" customFormat="1" ht="22.5" customHeight="1">
      <c r="A4" s="25">
        <v>2</v>
      </c>
      <c r="B4" s="982" t="s">
        <v>956</v>
      </c>
      <c r="C4" s="982"/>
      <c r="D4" s="982"/>
      <c r="E4" s="39">
        <v>4400</v>
      </c>
      <c r="F4" s="40"/>
      <c r="G4" s="41"/>
      <c r="H4" s="30" t="s">
        <v>2385</v>
      </c>
      <c r="I4" s="28"/>
      <c r="J4" s="23"/>
      <c r="K4" s="23"/>
      <c r="L4" s="23"/>
    </row>
    <row r="5" spans="1:12" s="22" customFormat="1" ht="22.5" customHeight="1">
      <c r="A5" s="25">
        <v>3</v>
      </c>
      <c r="B5" s="982" t="s">
        <v>958</v>
      </c>
      <c r="C5" s="982"/>
      <c r="D5" s="982"/>
      <c r="E5" s="39">
        <v>4510</v>
      </c>
      <c r="F5" s="40"/>
      <c r="G5" s="41"/>
      <c r="H5" s="30" t="s">
        <v>2294</v>
      </c>
      <c r="I5" s="28"/>
      <c r="J5" s="23"/>
      <c r="K5" s="23"/>
      <c r="L5" s="23"/>
    </row>
    <row r="6" spans="1:12" s="22" customFormat="1" ht="22.5" customHeight="1">
      <c r="A6" s="25">
        <v>4</v>
      </c>
      <c r="B6" s="982" t="s">
        <v>959</v>
      </c>
      <c r="C6" s="982"/>
      <c r="D6" s="982"/>
      <c r="E6" s="39">
        <v>4400</v>
      </c>
      <c r="F6" s="40"/>
      <c r="G6" s="41"/>
      <c r="H6" s="31"/>
      <c r="I6" s="28"/>
      <c r="J6" s="23"/>
      <c r="K6" s="23"/>
      <c r="L6" s="23"/>
    </row>
    <row r="7" spans="1:12" s="22" customFormat="1" ht="22.5" customHeight="1">
      <c r="A7" s="25">
        <v>5</v>
      </c>
      <c r="B7" s="982" t="s">
        <v>961</v>
      </c>
      <c r="C7" s="982"/>
      <c r="D7" s="982"/>
      <c r="E7" s="39">
        <v>4510</v>
      </c>
      <c r="F7" s="40"/>
      <c r="G7" s="41"/>
      <c r="H7" s="31"/>
      <c r="I7" s="28"/>
      <c r="J7" s="23"/>
      <c r="K7" s="23"/>
      <c r="L7" s="23"/>
    </row>
    <row r="8" spans="1:12" s="22" customFormat="1" ht="22.5" customHeight="1">
      <c r="A8" s="25">
        <v>6</v>
      </c>
      <c r="B8" s="982" t="s">
        <v>963</v>
      </c>
      <c r="C8" s="982"/>
      <c r="D8" s="982"/>
      <c r="E8" s="39">
        <v>4400</v>
      </c>
      <c r="F8" s="40"/>
      <c r="G8" s="41"/>
      <c r="H8" s="31"/>
      <c r="I8" s="23"/>
      <c r="J8" s="23"/>
      <c r="K8" s="23"/>
      <c r="L8" s="23"/>
    </row>
    <row r="9" spans="1:12" s="22" customFormat="1" ht="22.5" customHeight="1">
      <c r="A9" s="25">
        <v>7</v>
      </c>
      <c r="B9" s="982" t="s">
        <v>965</v>
      </c>
      <c r="C9" s="982"/>
      <c r="D9" s="982"/>
      <c r="E9" s="39">
        <v>4510</v>
      </c>
      <c r="F9" s="40"/>
      <c r="G9" s="41"/>
      <c r="H9" s="31"/>
      <c r="I9" s="23"/>
      <c r="J9" s="23"/>
      <c r="K9" s="23"/>
      <c r="L9" s="23"/>
    </row>
    <row r="10" spans="1:12" s="22" customFormat="1" ht="22.5" customHeight="1">
      <c r="A10" s="25">
        <v>8</v>
      </c>
      <c r="B10" s="982" t="s">
        <v>967</v>
      </c>
      <c r="C10" s="982"/>
      <c r="D10" s="982"/>
      <c r="E10" s="39">
        <v>4400</v>
      </c>
      <c r="F10" s="40"/>
      <c r="G10" s="41"/>
      <c r="H10" s="31"/>
      <c r="I10" s="23"/>
      <c r="J10" s="23"/>
      <c r="K10" s="23"/>
      <c r="L10" s="23"/>
    </row>
    <row r="11" spans="1:12" s="22" customFormat="1" ht="22.5" customHeight="1">
      <c r="A11" s="25">
        <v>9</v>
      </c>
      <c r="B11" s="982" t="s">
        <v>2295</v>
      </c>
      <c r="C11" s="982"/>
      <c r="D11" s="982"/>
      <c r="E11" s="39">
        <v>4510</v>
      </c>
      <c r="F11" s="40"/>
      <c r="G11" s="41"/>
      <c r="H11" s="31"/>
      <c r="I11" s="23"/>
      <c r="J11" s="23"/>
      <c r="K11" s="23"/>
      <c r="L11" s="23"/>
    </row>
    <row r="12" spans="1:12" s="22" customFormat="1" ht="22.5" customHeight="1">
      <c r="A12" s="25">
        <v>10</v>
      </c>
      <c r="B12" s="982" t="s">
        <v>969</v>
      </c>
      <c r="C12" s="982"/>
      <c r="D12" s="982"/>
      <c r="E12" s="39">
        <v>4400</v>
      </c>
      <c r="F12" s="40"/>
      <c r="G12" s="41"/>
      <c r="H12" s="31"/>
      <c r="I12" s="23"/>
      <c r="J12" s="23"/>
      <c r="K12" s="23"/>
      <c r="L12" s="23"/>
    </row>
    <row r="13" spans="1:12" s="22" customFormat="1" ht="22.5" customHeight="1">
      <c r="A13" s="25">
        <v>11</v>
      </c>
      <c r="B13" s="982" t="s">
        <v>971</v>
      </c>
      <c r="C13" s="982"/>
      <c r="D13" s="982"/>
      <c r="E13" s="39">
        <v>4390</v>
      </c>
      <c r="F13" s="40"/>
      <c r="G13" s="41"/>
      <c r="H13" s="31"/>
      <c r="I13" s="23"/>
      <c r="J13" s="23"/>
      <c r="K13" s="23"/>
      <c r="L13" s="23"/>
    </row>
    <row r="14" spans="1:12" s="22" customFormat="1" ht="22.5" customHeight="1">
      <c r="A14" s="25">
        <v>12</v>
      </c>
      <c r="B14" s="982" t="s">
        <v>2296</v>
      </c>
      <c r="C14" s="982"/>
      <c r="D14" s="982"/>
      <c r="E14" s="39">
        <v>4510</v>
      </c>
      <c r="F14" s="40"/>
      <c r="G14" s="41"/>
      <c r="H14" s="31"/>
      <c r="I14" s="23"/>
      <c r="J14" s="23"/>
      <c r="K14" s="23"/>
      <c r="L14" s="23"/>
    </row>
    <row r="15" spans="1:12" s="22" customFormat="1" ht="22.5" customHeight="1">
      <c r="A15" s="25">
        <v>13</v>
      </c>
      <c r="B15" s="982" t="s">
        <v>975</v>
      </c>
      <c r="C15" s="982"/>
      <c r="D15" s="982"/>
      <c r="E15" s="39">
        <v>4400</v>
      </c>
      <c r="F15" s="40"/>
      <c r="G15" s="41"/>
      <c r="H15" s="31"/>
      <c r="I15" s="23"/>
      <c r="J15" s="23"/>
      <c r="K15" s="23"/>
      <c r="L15" s="23"/>
    </row>
    <row r="16" spans="1:12" s="22" customFormat="1" ht="22.5" customHeight="1">
      <c r="A16" s="25">
        <v>14</v>
      </c>
      <c r="B16" s="982" t="s">
        <v>977</v>
      </c>
      <c r="C16" s="982"/>
      <c r="D16" s="982"/>
      <c r="E16" s="39">
        <v>4390</v>
      </c>
      <c r="F16" s="40"/>
      <c r="G16" s="41"/>
      <c r="H16" s="31"/>
      <c r="I16" s="23"/>
      <c r="J16" s="23"/>
      <c r="K16" s="23"/>
      <c r="L16" s="23"/>
    </row>
    <row r="17" spans="1:12" s="22" customFormat="1" ht="22.5" customHeight="1">
      <c r="A17" s="25">
        <v>15</v>
      </c>
      <c r="B17" s="982" t="s">
        <v>2297</v>
      </c>
      <c r="C17" s="982"/>
      <c r="D17" s="982"/>
      <c r="E17" s="39">
        <v>4510</v>
      </c>
      <c r="F17" s="40"/>
      <c r="G17" s="41"/>
      <c r="H17" s="31"/>
      <c r="I17" s="23"/>
      <c r="J17" s="23"/>
      <c r="K17" s="23"/>
      <c r="L17" s="23"/>
    </row>
    <row r="18" spans="1:12" s="22" customFormat="1" ht="22.5" customHeight="1">
      <c r="A18" s="25">
        <v>16</v>
      </c>
      <c r="B18" s="982" t="s">
        <v>980</v>
      </c>
      <c r="C18" s="982"/>
      <c r="D18" s="982"/>
      <c r="E18" s="39">
        <v>4400</v>
      </c>
      <c r="F18" s="40"/>
      <c r="G18" s="41"/>
      <c r="H18" s="31"/>
      <c r="I18" s="23"/>
      <c r="J18" s="23"/>
      <c r="K18" s="23"/>
      <c r="L18" s="23"/>
    </row>
    <row r="19" spans="1:12" s="22" customFormat="1" ht="22.5" customHeight="1">
      <c r="A19" s="25">
        <v>17</v>
      </c>
      <c r="B19" s="982" t="s">
        <v>982</v>
      </c>
      <c r="C19" s="982"/>
      <c r="D19" s="982"/>
      <c r="E19" s="39">
        <v>4390</v>
      </c>
      <c r="F19" s="40"/>
      <c r="G19" s="41"/>
      <c r="H19" s="32"/>
      <c r="I19" s="28"/>
      <c r="J19" s="23"/>
      <c r="K19" s="23"/>
      <c r="L19" s="23"/>
    </row>
  </sheetData>
  <sheetProtection selectLockedCells="1" selectUnlockedCells="1"/>
  <mergeCells count="20">
    <mergeCell ref="B15:D15"/>
    <mergeCell ref="B16:D16"/>
    <mergeCell ref="B17:D17"/>
    <mergeCell ref="B18:D18"/>
    <mergeCell ref="B19:D19"/>
    <mergeCell ref="B10:D10"/>
    <mergeCell ref="B11:D11"/>
    <mergeCell ref="B12:D12"/>
    <mergeCell ref="B13:D13"/>
    <mergeCell ref="B14:D14"/>
    <mergeCell ref="B5:D5"/>
    <mergeCell ref="B6:D6"/>
    <mergeCell ref="B7:D7"/>
    <mergeCell ref="B8:D8"/>
    <mergeCell ref="B9:D9"/>
    <mergeCell ref="A1:D1"/>
    <mergeCell ref="E1:F1"/>
    <mergeCell ref="B2:D2"/>
    <mergeCell ref="B3:D3"/>
    <mergeCell ref="B4:D4"/>
  </mergeCells>
  <phoneticPr fontId="120" type="noConversion"/>
  <printOptions horizontalCentered="1"/>
  <pageMargins left="0.37" right="0.3" top="0.5" bottom="0.39370078740157499" header="0.53" footer="0.26"/>
  <pageSetup paperSize="9" scale="79" orientation="portrait"/>
  <headerFooter alignWithMargins="0"/>
  <drawing r:id="rId1"/>
  <extLst>
    <ext xmlns:x14="http://schemas.microsoft.com/office/spreadsheetml/2009/9/main" uri="{78C0D931-6437-407d-A8EE-F0AAD7539E65}">
      <x14:conditionalFormattings>
        <x14:conditionalFormatting xmlns:xm="http://schemas.microsoft.com/office/excel/2006/main">
          <x14:cfRule type="expression" priority="1" id="{00000000-000E-0000-1100-000001000000}">
            <xm:f>Sheet1!$A$3&lt;&gt;1</xm:f>
            <x14:dxf>
              <font>
                <color theme="3" tint="0.79992065187536243"/>
              </font>
              <fill>
                <patternFill patternType="solid">
                  <bgColor theme="3" tint="0.79992065187536243"/>
                </patternFill>
              </fill>
            </x14:dxf>
          </x14:cfRule>
          <xm:sqref>A1:XFD1048576</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
  <dimension ref="A1:I187"/>
  <sheetViews>
    <sheetView workbookViewId="0">
      <pane ySplit="2" topLeftCell="A27" activePane="bottomLeft" state="frozen"/>
      <selection pane="bottomLeft" activeCell="C30" sqref="C30"/>
    </sheetView>
  </sheetViews>
  <sheetFormatPr defaultColWidth="9" defaultRowHeight="14.25"/>
  <cols>
    <col min="1" max="1" width="5.875" style="2" customWidth="1"/>
    <col min="2" max="2" width="59.875" style="1" customWidth="1"/>
    <col min="3" max="3" width="17.375" style="3" customWidth="1"/>
    <col min="4" max="4" width="17.5" style="2" customWidth="1"/>
    <col min="5" max="5" width="20.75" style="4" customWidth="1"/>
    <col min="6" max="16384" width="9" style="2"/>
  </cols>
  <sheetData>
    <row r="1" spans="1:3" ht="23.1" customHeight="1">
      <c r="A1" s="998" t="s">
        <v>153</v>
      </c>
      <c r="B1" s="998" t="s">
        <v>2298</v>
      </c>
      <c r="C1" s="5" t="s">
        <v>2299</v>
      </c>
    </row>
    <row r="2" spans="1:3" ht="17.45" hidden="1" customHeight="1">
      <c r="A2" s="999"/>
      <c r="B2" s="999"/>
      <c r="C2" s="5"/>
    </row>
    <row r="3" spans="1:3" ht="18" customHeight="1">
      <c r="A3" s="6">
        <v>1</v>
      </c>
      <c r="B3" s="7" t="s">
        <v>2051</v>
      </c>
      <c r="C3" s="8">
        <v>2</v>
      </c>
    </row>
    <row r="4" spans="1:3" ht="18" customHeight="1">
      <c r="A4" s="6">
        <v>2</v>
      </c>
      <c r="B4" s="7" t="s">
        <v>2052</v>
      </c>
      <c r="C4" s="8">
        <v>2.4700000000000002</v>
      </c>
    </row>
    <row r="5" spans="1:3" ht="18" customHeight="1">
      <c r="A5" s="6">
        <v>3</v>
      </c>
      <c r="B5" s="7" t="s">
        <v>2053</v>
      </c>
      <c r="C5" s="8">
        <v>1.33</v>
      </c>
    </row>
    <row r="6" spans="1:3" ht="18" customHeight="1">
      <c r="A6" s="6">
        <v>4</v>
      </c>
      <c r="B6" s="7" t="s">
        <v>2054</v>
      </c>
      <c r="C6" s="8">
        <v>1</v>
      </c>
    </row>
    <row r="7" spans="1:3" ht="18" customHeight="1">
      <c r="A7" s="6">
        <v>5</v>
      </c>
      <c r="B7" s="7" t="s">
        <v>2055</v>
      </c>
      <c r="C7" s="8">
        <v>0.63</v>
      </c>
    </row>
    <row r="8" spans="1:3" ht="18" customHeight="1">
      <c r="A8" s="6">
        <v>6</v>
      </c>
      <c r="B8" s="7" t="s">
        <v>2056</v>
      </c>
      <c r="C8" s="8">
        <v>0.6</v>
      </c>
    </row>
    <row r="9" spans="1:3" ht="18" customHeight="1">
      <c r="A9" s="6">
        <v>7</v>
      </c>
      <c r="B9" s="7" t="s">
        <v>2057</v>
      </c>
      <c r="C9" s="8">
        <v>0.19600000000000001</v>
      </c>
    </row>
    <row r="10" spans="1:3" ht="18" customHeight="1">
      <c r="A10" s="6">
        <v>8</v>
      </c>
      <c r="B10" s="7" t="s">
        <v>2058</v>
      </c>
      <c r="C10" s="8">
        <v>0.83</v>
      </c>
    </row>
    <row r="11" spans="1:3" ht="18" customHeight="1">
      <c r="A11" s="6">
        <v>9</v>
      </c>
      <c r="B11" s="7" t="s">
        <v>2060</v>
      </c>
      <c r="C11" s="8">
        <v>1.31</v>
      </c>
    </row>
    <row r="12" spans="1:3" ht="18" customHeight="1">
      <c r="A12" s="6">
        <v>10</v>
      </c>
      <c r="B12" s="7" t="s">
        <v>2061</v>
      </c>
      <c r="C12" s="8">
        <v>1.75</v>
      </c>
    </row>
    <row r="13" spans="1:3" ht="18" customHeight="1">
      <c r="A13" s="6">
        <v>11</v>
      </c>
      <c r="B13" s="7" t="s">
        <v>2062</v>
      </c>
      <c r="C13" s="8">
        <v>1.77</v>
      </c>
    </row>
    <row r="14" spans="1:3" ht="18" customHeight="1">
      <c r="A14" s="6">
        <v>12</v>
      </c>
      <c r="B14" s="7" t="s">
        <v>2063</v>
      </c>
      <c r="C14" s="8">
        <v>0.32</v>
      </c>
    </row>
    <row r="15" spans="1:3" ht="18" customHeight="1">
      <c r="A15" s="6">
        <v>13</v>
      </c>
      <c r="B15" s="7" t="s">
        <v>2064</v>
      </c>
      <c r="C15" s="8">
        <v>0.52</v>
      </c>
    </row>
    <row r="16" spans="1:3" ht="18" customHeight="1">
      <c r="A16" s="6">
        <v>14</v>
      </c>
      <c r="B16" s="9" t="s">
        <v>2066</v>
      </c>
      <c r="C16" s="8">
        <v>0.41</v>
      </c>
    </row>
    <row r="17" spans="1:4" ht="18" customHeight="1">
      <c r="A17" s="6">
        <v>15</v>
      </c>
      <c r="B17" s="9" t="s">
        <v>2067</v>
      </c>
      <c r="C17" s="8">
        <v>0.48</v>
      </c>
    </row>
    <row r="18" spans="1:4" ht="18" customHeight="1">
      <c r="A18" s="6">
        <v>16</v>
      </c>
      <c r="B18" s="7" t="s">
        <v>2069</v>
      </c>
      <c r="C18" s="8">
        <v>0.6</v>
      </c>
    </row>
    <row r="19" spans="1:4" ht="18" customHeight="1">
      <c r="A19" s="6">
        <v>17</v>
      </c>
      <c r="B19" s="9" t="s">
        <v>2070</v>
      </c>
      <c r="C19" s="8">
        <v>1.33</v>
      </c>
    </row>
    <row r="20" spans="1:4" ht="18" customHeight="1">
      <c r="A20" s="6">
        <v>18</v>
      </c>
      <c r="B20" s="9" t="s">
        <v>2071</v>
      </c>
      <c r="C20" s="8">
        <v>4.0999999999999996</v>
      </c>
    </row>
    <row r="21" spans="1:4" ht="18" customHeight="1">
      <c r="A21" s="6">
        <v>19</v>
      </c>
      <c r="B21" s="9" t="s">
        <v>2072</v>
      </c>
      <c r="C21" s="8">
        <v>1.1499999999999999</v>
      </c>
      <c r="D21" s="2" t="s">
        <v>2300</v>
      </c>
    </row>
    <row r="22" spans="1:4" ht="18" customHeight="1">
      <c r="A22" s="6">
        <v>20</v>
      </c>
      <c r="B22" s="9" t="s">
        <v>2073</v>
      </c>
      <c r="C22" s="8">
        <v>1.35</v>
      </c>
    </row>
    <row r="23" spans="1:4" ht="18" customHeight="1">
      <c r="A23" s="6">
        <v>21</v>
      </c>
      <c r="B23" s="9" t="s">
        <v>2074</v>
      </c>
      <c r="C23" s="8">
        <v>0.6</v>
      </c>
    </row>
    <row r="24" spans="1:4" ht="18" customHeight="1">
      <c r="A24" s="6">
        <v>22</v>
      </c>
      <c r="B24" s="9" t="s">
        <v>2075</v>
      </c>
      <c r="C24" s="8">
        <v>0.77</v>
      </c>
    </row>
    <row r="25" spans="1:4" ht="18" customHeight="1">
      <c r="A25" s="6">
        <v>23</v>
      </c>
      <c r="B25" s="9" t="s">
        <v>2076</v>
      </c>
      <c r="C25" s="8">
        <v>1.65</v>
      </c>
    </row>
    <row r="26" spans="1:4" ht="18" customHeight="1">
      <c r="A26" s="6">
        <v>24</v>
      </c>
      <c r="B26" s="9" t="s">
        <v>2077</v>
      </c>
      <c r="C26" s="8">
        <v>1.76</v>
      </c>
    </row>
    <row r="27" spans="1:4" ht="18" customHeight="1">
      <c r="A27" s="6">
        <v>25</v>
      </c>
      <c r="B27" s="9" t="s">
        <v>2078</v>
      </c>
      <c r="C27" s="8">
        <v>1.95</v>
      </c>
    </row>
    <row r="28" spans="1:4" ht="18" customHeight="1">
      <c r="A28" s="6">
        <v>26</v>
      </c>
      <c r="B28" s="9" t="s">
        <v>2079</v>
      </c>
      <c r="C28" s="8">
        <v>2.5499999999999998</v>
      </c>
    </row>
    <row r="29" spans="1:4" ht="18" customHeight="1">
      <c r="A29" s="6">
        <v>27</v>
      </c>
      <c r="B29" s="9" t="s">
        <v>2080</v>
      </c>
      <c r="C29" s="8">
        <v>3.85</v>
      </c>
    </row>
    <row r="30" spans="1:4" ht="18" customHeight="1">
      <c r="A30" s="6">
        <v>28</v>
      </c>
      <c r="B30" s="7" t="s">
        <v>2081</v>
      </c>
      <c r="C30" s="8">
        <v>0.215</v>
      </c>
    </row>
    <row r="31" spans="1:4" ht="18" customHeight="1">
      <c r="A31" s="6">
        <v>29</v>
      </c>
      <c r="B31" s="7" t="s">
        <v>2082</v>
      </c>
      <c r="C31" s="8">
        <v>5.89</v>
      </c>
    </row>
    <row r="32" spans="1:4" ht="18" customHeight="1">
      <c r="A32" s="6">
        <v>30</v>
      </c>
      <c r="B32" s="7" t="s">
        <v>2083</v>
      </c>
      <c r="C32" s="8">
        <v>7.0000000000000007E-2</v>
      </c>
    </row>
    <row r="33" spans="1:5" ht="18" customHeight="1">
      <c r="A33" s="6">
        <v>31</v>
      </c>
      <c r="B33" s="7" t="s">
        <v>2084</v>
      </c>
      <c r="C33" s="8">
        <v>2.2000000000000002</v>
      </c>
    </row>
    <row r="34" spans="1:5" ht="18" customHeight="1">
      <c r="A34" s="6">
        <v>32</v>
      </c>
      <c r="B34" s="7" t="s">
        <v>2085</v>
      </c>
      <c r="C34" s="8">
        <v>8.8000000000000007</v>
      </c>
    </row>
    <row r="35" spans="1:5" ht="18" customHeight="1">
      <c r="A35" s="6">
        <v>33</v>
      </c>
      <c r="B35" s="9" t="s">
        <v>2086</v>
      </c>
      <c r="C35" s="8">
        <v>13.2</v>
      </c>
    </row>
    <row r="36" spans="1:5" ht="18" customHeight="1">
      <c r="A36" s="6">
        <v>34</v>
      </c>
      <c r="B36" s="7" t="s">
        <v>2087</v>
      </c>
      <c r="C36" s="8">
        <v>0.55000000000000004</v>
      </c>
    </row>
    <row r="37" spans="1:5" ht="18" customHeight="1">
      <c r="A37" s="6">
        <v>35</v>
      </c>
      <c r="B37" s="9" t="s">
        <v>2088</v>
      </c>
      <c r="C37" s="8">
        <v>1.2</v>
      </c>
    </row>
    <row r="38" spans="1:5" ht="18" customHeight="1">
      <c r="A38" s="6">
        <v>36</v>
      </c>
      <c r="B38" s="10" t="s">
        <v>2089</v>
      </c>
      <c r="C38" s="8">
        <v>0.85</v>
      </c>
    </row>
    <row r="39" spans="1:5" ht="18" customHeight="1">
      <c r="A39" s="6">
        <v>37</v>
      </c>
      <c r="B39" s="10" t="s">
        <v>2089</v>
      </c>
      <c r="C39" s="8">
        <v>0.5</v>
      </c>
    </row>
    <row r="40" spans="1:5" ht="18" customHeight="1">
      <c r="A40" s="6">
        <v>38</v>
      </c>
      <c r="B40" s="10" t="s">
        <v>2090</v>
      </c>
      <c r="C40" s="8">
        <v>1.05</v>
      </c>
    </row>
    <row r="41" spans="1:5" ht="18" customHeight="1">
      <c r="A41" s="6">
        <v>39</v>
      </c>
      <c r="B41" s="9" t="s">
        <v>2091</v>
      </c>
      <c r="C41" s="8">
        <v>50</v>
      </c>
    </row>
    <row r="42" spans="1:5" ht="18" customHeight="1">
      <c r="A42" s="6">
        <v>40</v>
      </c>
      <c r="B42" s="9" t="s">
        <v>2092</v>
      </c>
      <c r="C42" s="8">
        <v>38</v>
      </c>
    </row>
    <row r="43" spans="1:5" ht="18" customHeight="1">
      <c r="A43" s="6">
        <v>41</v>
      </c>
      <c r="B43" s="9" t="s">
        <v>2093</v>
      </c>
      <c r="C43" s="8">
        <v>30</v>
      </c>
    </row>
    <row r="44" spans="1:5" ht="18" customHeight="1">
      <c r="A44" s="6">
        <v>42</v>
      </c>
      <c r="B44" s="9" t="s">
        <v>2301</v>
      </c>
      <c r="C44" s="8">
        <v>0.65</v>
      </c>
      <c r="D44" s="995"/>
      <c r="E44" s="996"/>
    </row>
    <row r="45" spans="1:5" ht="18" customHeight="1">
      <c r="A45" s="6"/>
      <c r="B45" s="13" t="s">
        <v>2302</v>
      </c>
      <c r="C45" s="14">
        <v>0.53</v>
      </c>
      <c r="D45" s="11"/>
      <c r="E45" s="12"/>
    </row>
    <row r="46" spans="1:5" ht="18" customHeight="1">
      <c r="A46" s="6">
        <v>43</v>
      </c>
      <c r="B46" s="9" t="s">
        <v>2095</v>
      </c>
      <c r="C46" s="8">
        <v>1.05</v>
      </c>
    </row>
    <row r="47" spans="1:5" ht="18" customHeight="1">
      <c r="A47" s="6">
        <v>44</v>
      </c>
      <c r="B47" s="15" t="s">
        <v>2096</v>
      </c>
      <c r="C47" s="14">
        <v>2.1</v>
      </c>
    </row>
    <row r="48" spans="1:5" ht="18" customHeight="1">
      <c r="A48" s="6"/>
      <c r="B48" s="15" t="s">
        <v>2256</v>
      </c>
      <c r="C48" s="14">
        <v>2.2999999999999998</v>
      </c>
    </row>
    <row r="49" spans="1:3" ht="18" customHeight="1">
      <c r="A49" s="6">
        <v>45</v>
      </c>
      <c r="B49" s="7" t="s">
        <v>2097</v>
      </c>
      <c r="C49" s="8">
        <v>0.4</v>
      </c>
    </row>
    <row r="50" spans="1:3" ht="18" customHeight="1">
      <c r="A50" s="6">
        <v>46</v>
      </c>
      <c r="B50" s="7" t="s">
        <v>2098</v>
      </c>
      <c r="C50" s="8">
        <v>1.65</v>
      </c>
    </row>
    <row r="51" spans="1:3" ht="18" customHeight="1">
      <c r="A51" s="6">
        <v>47</v>
      </c>
      <c r="B51" s="7" t="s">
        <v>2099</v>
      </c>
      <c r="C51" s="8">
        <v>0.44</v>
      </c>
    </row>
    <row r="52" spans="1:3" ht="18" customHeight="1">
      <c r="A52" s="6">
        <v>48</v>
      </c>
      <c r="B52" s="7" t="s">
        <v>2100</v>
      </c>
      <c r="C52" s="8">
        <v>0.57999999999999996</v>
      </c>
    </row>
    <row r="53" spans="1:3" ht="18" customHeight="1">
      <c r="A53" s="6">
        <v>49</v>
      </c>
      <c r="B53" s="7" t="s">
        <v>2101</v>
      </c>
      <c r="C53" s="8">
        <v>0.12</v>
      </c>
    </row>
    <row r="54" spans="1:3" ht="18" customHeight="1">
      <c r="A54" s="6">
        <v>50</v>
      </c>
      <c r="B54" s="7" t="s">
        <v>2303</v>
      </c>
      <c r="C54" s="8">
        <v>0.14000000000000001</v>
      </c>
    </row>
    <row r="55" spans="1:3" ht="18" customHeight="1">
      <c r="A55" s="6">
        <v>51</v>
      </c>
      <c r="B55" s="7" t="s">
        <v>2103</v>
      </c>
      <c r="C55" s="8">
        <v>0.15</v>
      </c>
    </row>
    <row r="56" spans="1:3" ht="18" customHeight="1">
      <c r="A56" s="6">
        <v>52</v>
      </c>
      <c r="B56" s="7" t="s">
        <v>2104</v>
      </c>
      <c r="C56" s="8">
        <v>0.14799999999999999</v>
      </c>
    </row>
    <row r="57" spans="1:3" ht="18" customHeight="1">
      <c r="A57" s="6">
        <v>53</v>
      </c>
      <c r="B57" s="7" t="s">
        <v>2105</v>
      </c>
      <c r="C57" s="8">
        <v>0.27</v>
      </c>
    </row>
    <row r="58" spans="1:3" ht="18" customHeight="1">
      <c r="A58" s="6">
        <v>54</v>
      </c>
      <c r="B58" s="7" t="s">
        <v>2106</v>
      </c>
      <c r="C58" s="8">
        <v>0.15</v>
      </c>
    </row>
    <row r="59" spans="1:3" ht="18" customHeight="1">
      <c r="A59" s="6">
        <v>55</v>
      </c>
      <c r="B59" s="7" t="s">
        <v>2108</v>
      </c>
      <c r="C59" s="8">
        <v>0.16</v>
      </c>
    </row>
    <row r="60" spans="1:3" ht="18" customHeight="1">
      <c r="A60" s="6">
        <v>56</v>
      </c>
      <c r="B60" s="7" t="s">
        <v>2109</v>
      </c>
      <c r="C60" s="8">
        <v>0.17499999999999999</v>
      </c>
    </row>
    <row r="61" spans="1:3" ht="18" customHeight="1">
      <c r="A61" s="6">
        <v>57</v>
      </c>
      <c r="B61" s="7" t="s">
        <v>2110</v>
      </c>
      <c r="C61" s="8">
        <v>0.16</v>
      </c>
    </row>
    <row r="62" spans="1:3" ht="18" customHeight="1">
      <c r="A62" s="6">
        <v>58</v>
      </c>
      <c r="B62" s="7" t="s">
        <v>2111</v>
      </c>
      <c r="C62" s="8">
        <v>0.23</v>
      </c>
    </row>
    <row r="63" spans="1:3" ht="18" customHeight="1">
      <c r="A63" s="6">
        <v>59</v>
      </c>
      <c r="B63" s="7" t="s">
        <v>2112</v>
      </c>
      <c r="C63" s="8">
        <v>0.221</v>
      </c>
    </row>
    <row r="64" spans="1:3" ht="18" customHeight="1">
      <c r="A64" s="6">
        <v>60</v>
      </c>
      <c r="B64" s="7" t="s">
        <v>2113</v>
      </c>
      <c r="C64" s="8">
        <v>0.26</v>
      </c>
    </row>
    <row r="65" spans="1:3" ht="18" customHeight="1">
      <c r="A65" s="6">
        <v>61</v>
      </c>
      <c r="B65" s="7" t="s">
        <v>2114</v>
      </c>
      <c r="C65" s="8">
        <v>0.19</v>
      </c>
    </row>
    <row r="66" spans="1:3" ht="18" customHeight="1">
      <c r="A66" s="6">
        <v>62</v>
      </c>
      <c r="B66" s="7" t="s">
        <v>2115</v>
      </c>
      <c r="C66" s="8">
        <v>0.38700000000000001</v>
      </c>
    </row>
    <row r="67" spans="1:3" ht="18" customHeight="1">
      <c r="A67" s="6">
        <v>63</v>
      </c>
      <c r="B67" s="7" t="s">
        <v>2116</v>
      </c>
      <c r="C67" s="8">
        <v>0.97</v>
      </c>
    </row>
    <row r="68" spans="1:3" ht="18" customHeight="1">
      <c r="A68" s="6">
        <v>64</v>
      </c>
      <c r="B68" s="7" t="s">
        <v>2117</v>
      </c>
      <c r="C68" s="8">
        <v>0.28999999999999998</v>
      </c>
    </row>
    <row r="69" spans="1:3" ht="18" customHeight="1">
      <c r="A69" s="6">
        <v>65</v>
      </c>
      <c r="B69" s="7" t="s">
        <v>2118</v>
      </c>
      <c r="C69" s="8">
        <v>0.25</v>
      </c>
    </row>
    <row r="70" spans="1:3" ht="18" customHeight="1">
      <c r="A70" s="6">
        <v>66</v>
      </c>
      <c r="B70" s="7" t="s">
        <v>2119</v>
      </c>
      <c r="C70" s="8">
        <v>0.28999999999999998</v>
      </c>
    </row>
    <row r="71" spans="1:3" ht="18" customHeight="1">
      <c r="A71" s="6">
        <v>67</v>
      </c>
      <c r="B71" s="7" t="s">
        <v>2120</v>
      </c>
      <c r="C71" s="8">
        <v>0.31</v>
      </c>
    </row>
    <row r="72" spans="1:3" ht="18" customHeight="1">
      <c r="A72" s="6">
        <v>68</v>
      </c>
      <c r="B72" s="7" t="s">
        <v>2121</v>
      </c>
      <c r="C72" s="8">
        <v>0.33</v>
      </c>
    </row>
    <row r="73" spans="1:3" ht="18" customHeight="1">
      <c r="A73" s="6">
        <v>69</v>
      </c>
      <c r="B73" s="7" t="s">
        <v>2122</v>
      </c>
      <c r="C73" s="8">
        <v>0.37</v>
      </c>
    </row>
    <row r="74" spans="1:3" ht="18" customHeight="1">
      <c r="A74" s="6">
        <v>70</v>
      </c>
      <c r="B74" s="7" t="s">
        <v>2123</v>
      </c>
      <c r="C74" s="8">
        <v>0.4</v>
      </c>
    </row>
    <row r="75" spans="1:3" ht="18" customHeight="1">
      <c r="A75" s="6">
        <v>71</v>
      </c>
      <c r="B75" s="7" t="s">
        <v>2124</v>
      </c>
      <c r="C75" s="8">
        <v>0.41</v>
      </c>
    </row>
    <row r="76" spans="1:3" ht="18" customHeight="1">
      <c r="A76" s="6">
        <v>72</v>
      </c>
      <c r="B76" s="7" t="s">
        <v>2125</v>
      </c>
      <c r="C76" s="8">
        <v>0.43</v>
      </c>
    </row>
    <row r="77" spans="1:3" ht="18" customHeight="1">
      <c r="A77" s="6">
        <v>73</v>
      </c>
      <c r="B77" s="7" t="s">
        <v>2126</v>
      </c>
      <c r="C77" s="8">
        <v>0.46</v>
      </c>
    </row>
    <row r="78" spans="1:3" ht="18" customHeight="1">
      <c r="A78" s="6">
        <v>74</v>
      </c>
      <c r="B78" s="7" t="s">
        <v>2127</v>
      </c>
      <c r="C78" s="8">
        <v>0.55000000000000004</v>
      </c>
    </row>
    <row r="79" spans="1:3" ht="18" customHeight="1">
      <c r="A79" s="6">
        <v>75</v>
      </c>
      <c r="B79" s="7" t="s">
        <v>2128</v>
      </c>
      <c r="C79" s="8">
        <v>0.51</v>
      </c>
    </row>
    <row r="80" spans="1:3" ht="18" customHeight="1">
      <c r="A80" s="6">
        <v>76</v>
      </c>
      <c r="B80" s="7" t="s">
        <v>2129</v>
      </c>
      <c r="C80" s="8">
        <v>0.74</v>
      </c>
    </row>
    <row r="81" spans="1:3" ht="18" customHeight="1">
      <c r="A81" s="6">
        <v>77</v>
      </c>
      <c r="B81" s="7" t="s">
        <v>2130</v>
      </c>
      <c r="C81" s="8">
        <v>0.8</v>
      </c>
    </row>
    <row r="82" spans="1:3" ht="18" customHeight="1">
      <c r="A82" s="6">
        <v>78</v>
      </c>
      <c r="B82" s="9" t="s">
        <v>2132</v>
      </c>
      <c r="C82" s="8">
        <v>2.4</v>
      </c>
    </row>
    <row r="83" spans="1:3" ht="18" customHeight="1">
      <c r="A83" s="6">
        <v>79</v>
      </c>
      <c r="B83" s="7" t="s">
        <v>2133</v>
      </c>
      <c r="C83" s="8">
        <v>0.83</v>
      </c>
    </row>
    <row r="84" spans="1:3" ht="18" customHeight="1">
      <c r="A84" s="6">
        <v>80</v>
      </c>
      <c r="B84" s="7" t="s">
        <v>2134</v>
      </c>
      <c r="C84" s="8">
        <v>0.89</v>
      </c>
    </row>
    <row r="85" spans="1:3" ht="18" customHeight="1">
      <c r="A85" s="6">
        <v>81</v>
      </c>
      <c r="B85" s="7" t="s">
        <v>2135</v>
      </c>
      <c r="C85" s="8">
        <v>0.34</v>
      </c>
    </row>
    <row r="86" spans="1:3" ht="18" customHeight="1">
      <c r="A86" s="6">
        <v>82</v>
      </c>
      <c r="B86" s="7" t="s">
        <v>2136</v>
      </c>
      <c r="C86" s="8">
        <v>0.44</v>
      </c>
    </row>
    <row r="87" spans="1:3" ht="18" customHeight="1">
      <c r="A87" s="6">
        <v>83</v>
      </c>
      <c r="B87" s="7" t="s">
        <v>2137</v>
      </c>
      <c r="C87" s="8">
        <v>0.51</v>
      </c>
    </row>
    <row r="88" spans="1:3" ht="18" customHeight="1">
      <c r="A88" s="6">
        <v>84</v>
      </c>
      <c r="B88" s="7" t="s">
        <v>2138</v>
      </c>
      <c r="C88" s="8">
        <v>0.52</v>
      </c>
    </row>
    <row r="89" spans="1:3" ht="18" customHeight="1">
      <c r="A89" s="6">
        <v>85</v>
      </c>
      <c r="B89" s="7" t="s">
        <v>2139</v>
      </c>
      <c r="C89" s="8">
        <v>0.57999999999999996</v>
      </c>
    </row>
    <row r="90" spans="1:3" ht="18" customHeight="1">
      <c r="A90" s="6">
        <v>86</v>
      </c>
      <c r="B90" s="7" t="s">
        <v>2140</v>
      </c>
      <c r="C90" s="8">
        <v>0.78</v>
      </c>
    </row>
    <row r="91" spans="1:3" ht="18" customHeight="1">
      <c r="A91" s="6">
        <v>87</v>
      </c>
      <c r="B91" s="7" t="s">
        <v>2141</v>
      </c>
      <c r="C91" s="8">
        <v>0.88</v>
      </c>
    </row>
    <row r="92" spans="1:3" ht="18" customHeight="1">
      <c r="A92" s="6">
        <v>88</v>
      </c>
      <c r="B92" s="7" t="s">
        <v>2142</v>
      </c>
      <c r="C92" s="8">
        <v>0.36</v>
      </c>
    </row>
    <row r="93" spans="1:3" ht="18" customHeight="1">
      <c r="A93" s="6">
        <v>89</v>
      </c>
      <c r="B93" s="7" t="s">
        <v>2143</v>
      </c>
      <c r="C93" s="8">
        <v>1.32</v>
      </c>
    </row>
    <row r="94" spans="1:3" ht="18" customHeight="1">
      <c r="A94" s="6">
        <v>90</v>
      </c>
      <c r="B94" s="7" t="s">
        <v>2144</v>
      </c>
      <c r="C94" s="8">
        <v>1.4</v>
      </c>
    </row>
    <row r="95" spans="1:3" ht="18" customHeight="1">
      <c r="A95" s="6">
        <v>91</v>
      </c>
      <c r="B95" s="7" t="s">
        <v>2145</v>
      </c>
      <c r="C95" s="8">
        <v>2.0299999999999998</v>
      </c>
    </row>
    <row r="96" spans="1:3" ht="18" customHeight="1">
      <c r="A96" s="6">
        <v>92</v>
      </c>
      <c r="B96" s="7" t="s">
        <v>2146</v>
      </c>
      <c r="C96" s="8">
        <v>2.2000000000000002</v>
      </c>
    </row>
    <row r="97" spans="1:3" ht="18" customHeight="1">
      <c r="A97" s="6">
        <v>93</v>
      </c>
      <c r="B97" s="7" t="s">
        <v>2148</v>
      </c>
      <c r="C97" s="8">
        <v>2.71</v>
      </c>
    </row>
    <row r="98" spans="1:3" ht="18" customHeight="1">
      <c r="A98" s="6">
        <v>94</v>
      </c>
      <c r="B98" s="7" t="s">
        <v>2149</v>
      </c>
      <c r="C98" s="8">
        <v>2.85</v>
      </c>
    </row>
    <row r="99" spans="1:3" ht="18" customHeight="1">
      <c r="A99" s="6">
        <v>95</v>
      </c>
      <c r="B99" s="7" t="s">
        <v>2150</v>
      </c>
      <c r="C99" s="8">
        <v>2.59</v>
      </c>
    </row>
    <row r="100" spans="1:3" ht="18" customHeight="1">
      <c r="A100" s="6">
        <v>96</v>
      </c>
      <c r="B100" s="7" t="s">
        <v>2151</v>
      </c>
      <c r="C100" s="8">
        <v>2.75</v>
      </c>
    </row>
    <row r="101" spans="1:3" ht="18" customHeight="1">
      <c r="A101" s="6">
        <v>97</v>
      </c>
      <c r="B101" s="7" t="s">
        <v>2152</v>
      </c>
      <c r="C101" s="8">
        <v>2.5</v>
      </c>
    </row>
    <row r="102" spans="1:3" ht="18" customHeight="1">
      <c r="A102" s="6">
        <v>98</v>
      </c>
      <c r="B102" s="7" t="s">
        <v>2153</v>
      </c>
      <c r="C102" s="8">
        <v>2.6</v>
      </c>
    </row>
    <row r="103" spans="1:3" ht="18" customHeight="1">
      <c r="A103" s="6">
        <v>99</v>
      </c>
      <c r="B103" s="7" t="s">
        <v>2154</v>
      </c>
      <c r="C103" s="8">
        <v>2.7</v>
      </c>
    </row>
    <row r="104" spans="1:3" ht="18" customHeight="1">
      <c r="A104" s="6">
        <v>100</v>
      </c>
      <c r="B104" s="7" t="s">
        <v>2155</v>
      </c>
      <c r="C104" s="8">
        <v>41</v>
      </c>
    </row>
    <row r="105" spans="1:3" ht="18" customHeight="1">
      <c r="A105" s="6">
        <v>101</v>
      </c>
      <c r="B105" s="9" t="s">
        <v>2156</v>
      </c>
      <c r="C105" s="8">
        <v>0.32</v>
      </c>
    </row>
    <row r="106" spans="1:3" ht="18" customHeight="1">
      <c r="A106" s="6">
        <v>102</v>
      </c>
      <c r="B106" s="9" t="s">
        <v>2157</v>
      </c>
      <c r="C106" s="8">
        <v>0.38</v>
      </c>
    </row>
    <row r="107" spans="1:3" ht="18" customHeight="1">
      <c r="A107" s="6">
        <v>103</v>
      </c>
      <c r="B107" s="9" t="s">
        <v>2158</v>
      </c>
      <c r="C107" s="8">
        <v>0.56000000000000005</v>
      </c>
    </row>
    <row r="108" spans="1:3" ht="18" customHeight="1">
      <c r="A108" s="6">
        <v>104</v>
      </c>
      <c r="B108" s="7" t="s">
        <v>2159</v>
      </c>
      <c r="C108" s="8">
        <v>2.5</v>
      </c>
    </row>
    <row r="109" spans="1:3" ht="18" customHeight="1">
      <c r="A109" s="6">
        <v>105</v>
      </c>
      <c r="B109" s="7" t="s">
        <v>2160</v>
      </c>
      <c r="C109" s="8">
        <v>4.4000000000000004</v>
      </c>
    </row>
    <row r="110" spans="1:3" ht="18" customHeight="1">
      <c r="A110" s="6">
        <v>106</v>
      </c>
      <c r="B110" s="7" t="s">
        <v>2161</v>
      </c>
      <c r="C110" s="8">
        <v>4.8</v>
      </c>
    </row>
    <row r="111" spans="1:3" ht="18" customHeight="1">
      <c r="A111" s="6">
        <v>107</v>
      </c>
      <c r="B111" s="7" t="s">
        <v>2162</v>
      </c>
      <c r="C111" s="8">
        <v>19.100000000000001</v>
      </c>
    </row>
    <row r="112" spans="1:3" ht="18" customHeight="1">
      <c r="A112" s="6">
        <v>108</v>
      </c>
      <c r="B112" s="16" t="s">
        <v>2163</v>
      </c>
      <c r="C112" s="8">
        <v>2.97</v>
      </c>
    </row>
    <row r="113" spans="1:3" ht="18" customHeight="1">
      <c r="A113" s="6">
        <v>109</v>
      </c>
      <c r="B113" s="16" t="s">
        <v>2164</v>
      </c>
      <c r="C113" s="8">
        <v>0.5</v>
      </c>
    </row>
    <row r="114" spans="1:3" ht="18" customHeight="1">
      <c r="A114" s="6">
        <v>110</v>
      </c>
      <c r="B114" s="16" t="s">
        <v>2165</v>
      </c>
      <c r="C114" s="8">
        <v>0.98</v>
      </c>
    </row>
    <row r="115" spans="1:3" ht="18" customHeight="1">
      <c r="A115" s="6">
        <v>111</v>
      </c>
      <c r="B115" s="16" t="s">
        <v>2166</v>
      </c>
      <c r="C115" s="8">
        <v>0.3</v>
      </c>
    </row>
    <row r="116" spans="1:3" ht="18" customHeight="1">
      <c r="A116" s="6">
        <v>112</v>
      </c>
      <c r="B116" s="7" t="s">
        <v>2167</v>
      </c>
      <c r="C116" s="8">
        <v>3.5999999999999997E-2</v>
      </c>
    </row>
    <row r="117" spans="1:3" ht="18" customHeight="1">
      <c r="A117" s="6">
        <v>113</v>
      </c>
      <c r="B117" s="7" t="s">
        <v>2168</v>
      </c>
      <c r="C117" s="8">
        <v>4.4999999999999998E-2</v>
      </c>
    </row>
    <row r="118" spans="1:3" ht="18" customHeight="1">
      <c r="A118" s="6">
        <v>114</v>
      </c>
      <c r="B118" s="7" t="s">
        <v>2169</v>
      </c>
      <c r="C118" s="8">
        <v>7.9000000000000001E-2</v>
      </c>
    </row>
    <row r="119" spans="1:3" ht="18" customHeight="1">
      <c r="A119" s="6">
        <v>115</v>
      </c>
      <c r="B119" s="7" t="s">
        <v>2170</v>
      </c>
      <c r="C119" s="8">
        <v>0.09</v>
      </c>
    </row>
    <row r="120" spans="1:3" ht="18" customHeight="1">
      <c r="A120" s="6">
        <v>116</v>
      </c>
      <c r="B120" s="7" t="s">
        <v>2171</v>
      </c>
      <c r="C120" s="8">
        <v>8.5000000000000006E-2</v>
      </c>
    </row>
    <row r="121" spans="1:3" ht="18" customHeight="1">
      <c r="A121" s="6">
        <v>117</v>
      </c>
      <c r="B121" s="7" t="s">
        <v>2172</v>
      </c>
      <c r="C121" s="8">
        <v>0.13</v>
      </c>
    </row>
    <row r="122" spans="1:3" ht="18" customHeight="1">
      <c r="A122" s="6">
        <v>118</v>
      </c>
      <c r="B122" s="7" t="s">
        <v>2173</v>
      </c>
      <c r="C122" s="8">
        <v>0.11</v>
      </c>
    </row>
    <row r="123" spans="1:3" ht="18" customHeight="1">
      <c r="A123" s="6">
        <v>119</v>
      </c>
      <c r="B123" s="7" t="s">
        <v>2174</v>
      </c>
      <c r="C123" s="8">
        <v>0.14000000000000001</v>
      </c>
    </row>
    <row r="124" spans="1:3" ht="18" customHeight="1">
      <c r="A124" s="6">
        <v>120</v>
      </c>
      <c r="B124" s="7" t="s">
        <v>2175</v>
      </c>
      <c r="C124" s="8">
        <v>0.27</v>
      </c>
    </row>
    <row r="125" spans="1:3" ht="18" customHeight="1">
      <c r="A125" s="6">
        <v>121</v>
      </c>
      <c r="B125" s="7" t="s">
        <v>2176</v>
      </c>
      <c r="C125" s="8">
        <v>0.31</v>
      </c>
    </row>
    <row r="126" spans="1:3" ht="18" customHeight="1">
      <c r="A126" s="6">
        <v>122</v>
      </c>
      <c r="B126" s="7" t="s">
        <v>2177</v>
      </c>
      <c r="C126" s="8">
        <v>0.5</v>
      </c>
    </row>
    <row r="127" spans="1:3" ht="18" customHeight="1">
      <c r="A127" s="6">
        <v>123</v>
      </c>
      <c r="B127" s="7" t="s">
        <v>2178</v>
      </c>
      <c r="C127" s="8">
        <v>0.9</v>
      </c>
    </row>
    <row r="128" spans="1:3" ht="18" customHeight="1">
      <c r="A128" s="6">
        <v>124</v>
      </c>
      <c r="B128" s="9" t="s">
        <v>2179</v>
      </c>
      <c r="C128" s="8">
        <v>1.4E-2</v>
      </c>
    </row>
    <row r="129" spans="1:3" ht="18" customHeight="1">
      <c r="A129" s="6">
        <v>125</v>
      </c>
      <c r="B129" s="9" t="s">
        <v>2180</v>
      </c>
      <c r="C129" s="8">
        <v>2.1999999999999999E-2</v>
      </c>
    </row>
    <row r="130" spans="1:3" ht="18" customHeight="1">
      <c r="A130" s="6">
        <v>126</v>
      </c>
      <c r="B130" s="9" t="s">
        <v>2181</v>
      </c>
      <c r="C130" s="8">
        <v>3.4000000000000002E-2</v>
      </c>
    </row>
    <row r="131" spans="1:3" ht="18" customHeight="1">
      <c r="A131" s="6">
        <v>127</v>
      </c>
      <c r="B131" s="9" t="s">
        <v>2182</v>
      </c>
      <c r="C131" s="8">
        <v>5.6000000000000001E-2</v>
      </c>
    </row>
    <row r="132" spans="1:3" ht="18" customHeight="1">
      <c r="A132" s="6">
        <v>128</v>
      </c>
      <c r="B132" s="9" t="s">
        <v>2183</v>
      </c>
      <c r="C132" s="8">
        <v>0.11</v>
      </c>
    </row>
    <row r="133" spans="1:3" ht="18" customHeight="1">
      <c r="A133" s="6">
        <v>129</v>
      </c>
      <c r="B133" s="9" t="s">
        <v>2184</v>
      </c>
      <c r="C133" s="8">
        <v>0.2</v>
      </c>
    </row>
    <row r="134" spans="1:3" ht="18" customHeight="1">
      <c r="A134" s="6">
        <v>130</v>
      </c>
      <c r="B134" s="9" t="s">
        <v>2185</v>
      </c>
      <c r="C134" s="8">
        <v>1.4E-2</v>
      </c>
    </row>
    <row r="135" spans="1:3" ht="18" customHeight="1">
      <c r="A135" s="6">
        <v>131</v>
      </c>
      <c r="B135" s="9" t="s">
        <v>2186</v>
      </c>
      <c r="C135" s="8">
        <v>2.5000000000000001E-2</v>
      </c>
    </row>
    <row r="136" spans="1:3" ht="18" customHeight="1">
      <c r="A136" s="6">
        <v>132</v>
      </c>
      <c r="B136" s="9" t="s">
        <v>2187</v>
      </c>
      <c r="C136" s="8">
        <v>0.09</v>
      </c>
    </row>
    <row r="137" spans="1:3" ht="18" customHeight="1">
      <c r="A137" s="6">
        <v>133</v>
      </c>
      <c r="B137" s="9" t="s">
        <v>2188</v>
      </c>
      <c r="C137" s="8">
        <v>0.16</v>
      </c>
    </row>
    <row r="138" spans="1:3" ht="18" customHeight="1">
      <c r="A138" s="6">
        <v>134</v>
      </c>
      <c r="B138" s="9" t="s">
        <v>2189</v>
      </c>
      <c r="C138" s="8">
        <v>4.4999999999999998E-2</v>
      </c>
    </row>
    <row r="139" spans="1:3" ht="18" customHeight="1">
      <c r="A139" s="6">
        <v>135</v>
      </c>
      <c r="B139" s="7" t="s">
        <v>2190</v>
      </c>
      <c r="C139" s="8">
        <v>7.0000000000000007E-2</v>
      </c>
    </row>
    <row r="140" spans="1:3" ht="18" customHeight="1">
      <c r="A140" s="6">
        <v>136</v>
      </c>
      <c r="B140" s="7" t="s">
        <v>2191</v>
      </c>
      <c r="C140" s="8">
        <v>0.5</v>
      </c>
    </row>
    <row r="141" spans="1:3" ht="18" customHeight="1">
      <c r="A141" s="6">
        <v>137</v>
      </c>
      <c r="B141" s="7" t="s">
        <v>2192</v>
      </c>
      <c r="C141" s="8">
        <v>0.52</v>
      </c>
    </row>
    <row r="142" spans="1:3" ht="18" customHeight="1">
      <c r="A142" s="6">
        <v>138</v>
      </c>
      <c r="B142" s="9" t="s">
        <v>2193</v>
      </c>
      <c r="C142" s="8">
        <v>0.09</v>
      </c>
    </row>
    <row r="143" spans="1:3" ht="18" customHeight="1">
      <c r="A143" s="6">
        <v>139</v>
      </c>
      <c r="B143" s="9" t="s">
        <v>2194</v>
      </c>
      <c r="C143" s="8">
        <v>9.5000000000000001E-2</v>
      </c>
    </row>
    <row r="144" spans="1:3" ht="18" customHeight="1">
      <c r="A144" s="6">
        <v>140</v>
      </c>
      <c r="B144" s="9" t="s">
        <v>2195</v>
      </c>
      <c r="C144" s="8">
        <v>0.13500000000000001</v>
      </c>
    </row>
    <row r="145" spans="1:9" ht="18" customHeight="1">
      <c r="A145" s="6">
        <v>141</v>
      </c>
      <c r="B145" s="9" t="s">
        <v>2196</v>
      </c>
      <c r="C145" s="8">
        <v>0.17</v>
      </c>
    </row>
    <row r="146" spans="1:9" ht="18" customHeight="1">
      <c r="A146" s="6">
        <v>142</v>
      </c>
      <c r="B146" s="9" t="s">
        <v>2197</v>
      </c>
      <c r="C146" s="8">
        <v>0.245</v>
      </c>
    </row>
    <row r="147" spans="1:9" ht="18" customHeight="1">
      <c r="A147" s="6">
        <v>143</v>
      </c>
      <c r="B147" s="17" t="s">
        <v>2198</v>
      </c>
      <c r="C147" s="14">
        <v>0.09</v>
      </c>
    </row>
    <row r="148" spans="1:9" ht="18" customHeight="1">
      <c r="A148" s="6"/>
      <c r="B148" s="18" t="s">
        <v>2243</v>
      </c>
      <c r="C148" s="8">
        <v>8.5000000000000006E-2</v>
      </c>
    </row>
    <row r="149" spans="1:9" ht="18" customHeight="1">
      <c r="A149" s="6">
        <v>144</v>
      </c>
      <c r="B149" s="18" t="s">
        <v>2199</v>
      </c>
      <c r="C149" s="8">
        <v>0.1</v>
      </c>
    </row>
    <row r="150" spans="1:9" ht="18" customHeight="1">
      <c r="A150" s="6">
        <v>145</v>
      </c>
      <c r="B150" s="19" t="s">
        <v>2200</v>
      </c>
      <c r="C150" s="14">
        <v>0.18</v>
      </c>
      <c r="D150" s="997" t="s">
        <v>2304</v>
      </c>
      <c r="E150" s="997"/>
      <c r="F150" s="997"/>
      <c r="G150" s="997"/>
      <c r="H150" s="997"/>
      <c r="I150" s="997"/>
    </row>
    <row r="151" spans="1:9" ht="18" customHeight="1">
      <c r="A151" s="6">
        <v>146</v>
      </c>
      <c r="B151" s="19" t="s">
        <v>2201</v>
      </c>
      <c r="C151" s="14">
        <v>0.13</v>
      </c>
      <c r="D151" s="20"/>
    </row>
    <row r="152" spans="1:9" ht="18" customHeight="1">
      <c r="A152" s="6">
        <v>147</v>
      </c>
      <c r="B152" s="18" t="s">
        <v>2202</v>
      </c>
      <c r="C152" s="8">
        <v>0.35</v>
      </c>
    </row>
    <row r="153" spans="1:9" ht="18" customHeight="1">
      <c r="A153" s="6">
        <v>148</v>
      </c>
      <c r="B153" s="9" t="s">
        <v>2203</v>
      </c>
      <c r="C153" s="8">
        <v>0.49</v>
      </c>
    </row>
    <row r="154" spans="1:9" ht="18" customHeight="1">
      <c r="A154" s="6">
        <v>149</v>
      </c>
      <c r="B154" s="9" t="s">
        <v>2204</v>
      </c>
      <c r="C154" s="8">
        <v>0.55000000000000004</v>
      </c>
    </row>
    <row r="155" spans="1:9" ht="18" customHeight="1">
      <c r="A155" s="6">
        <v>150</v>
      </c>
      <c r="B155" s="9" t="s">
        <v>2205</v>
      </c>
      <c r="C155" s="8">
        <v>0.57999999999999996</v>
      </c>
    </row>
    <row r="156" spans="1:9" ht="18" customHeight="1">
      <c r="A156" s="6">
        <v>151</v>
      </c>
      <c r="B156" s="9" t="s">
        <v>2206</v>
      </c>
      <c r="C156" s="8">
        <v>0.64</v>
      </c>
    </row>
    <row r="157" spans="1:9" ht="18" customHeight="1">
      <c r="A157" s="6">
        <v>152</v>
      </c>
      <c r="B157" s="9" t="s">
        <v>2207</v>
      </c>
      <c r="C157" s="8">
        <v>0.65</v>
      </c>
    </row>
    <row r="158" spans="1:9" ht="18" customHeight="1">
      <c r="A158" s="6">
        <v>153</v>
      </c>
      <c r="B158" s="9" t="s">
        <v>2208</v>
      </c>
      <c r="C158" s="8">
        <v>0.75</v>
      </c>
    </row>
    <row r="159" spans="1:9" ht="18" customHeight="1">
      <c r="A159" s="6">
        <v>154</v>
      </c>
      <c r="B159" s="9" t="s">
        <v>2209</v>
      </c>
      <c r="C159" s="8">
        <v>0.75</v>
      </c>
    </row>
    <row r="160" spans="1:9" ht="18" customHeight="1">
      <c r="A160" s="6">
        <v>155</v>
      </c>
      <c r="B160" s="9" t="s">
        <v>2210</v>
      </c>
      <c r="C160" s="8">
        <v>17.5</v>
      </c>
    </row>
    <row r="161" spans="1:4" ht="18" customHeight="1">
      <c r="A161" s="6">
        <v>156</v>
      </c>
      <c r="B161" s="18" t="s">
        <v>2211</v>
      </c>
      <c r="C161" s="8">
        <v>0.16</v>
      </c>
    </row>
    <row r="162" spans="1:4" ht="18" customHeight="1">
      <c r="A162" s="6">
        <v>157</v>
      </c>
      <c r="B162" s="18" t="s">
        <v>2212</v>
      </c>
      <c r="C162" s="8">
        <v>0.125</v>
      </c>
      <c r="D162" s="21"/>
    </row>
    <row r="163" spans="1:4" ht="18" customHeight="1">
      <c r="A163" s="6">
        <v>158</v>
      </c>
      <c r="B163" s="16" t="s">
        <v>2213</v>
      </c>
      <c r="C163" s="8">
        <v>0.24</v>
      </c>
    </row>
    <row r="164" spans="1:4" ht="18" customHeight="1">
      <c r="A164" s="6">
        <v>159</v>
      </c>
      <c r="B164" s="16" t="s">
        <v>2214</v>
      </c>
      <c r="C164" s="8">
        <v>0.42</v>
      </c>
    </row>
    <row r="165" spans="1:4" ht="18" customHeight="1">
      <c r="A165" s="6">
        <v>160</v>
      </c>
      <c r="B165" s="16" t="s">
        <v>2215</v>
      </c>
      <c r="C165" s="8">
        <v>0.32</v>
      </c>
    </row>
    <row r="166" spans="1:4" ht="18" customHeight="1">
      <c r="A166" s="6">
        <v>161</v>
      </c>
      <c r="B166" s="18" t="s">
        <v>2216</v>
      </c>
      <c r="C166" s="8">
        <v>0.65</v>
      </c>
    </row>
    <row r="167" spans="1:4" ht="18" customHeight="1">
      <c r="A167" s="6">
        <v>162</v>
      </c>
      <c r="B167" s="16" t="s">
        <v>2217</v>
      </c>
      <c r="C167" s="8">
        <v>0.33</v>
      </c>
    </row>
    <row r="168" spans="1:4" ht="18" customHeight="1">
      <c r="A168" s="6">
        <v>163</v>
      </c>
      <c r="B168" s="18" t="s">
        <v>2218</v>
      </c>
      <c r="C168" s="8">
        <v>0.8</v>
      </c>
    </row>
    <row r="169" spans="1:4" ht="18" customHeight="1">
      <c r="A169" s="6">
        <v>164</v>
      </c>
      <c r="B169" s="18" t="s">
        <v>2219</v>
      </c>
      <c r="C169" s="8">
        <v>1.46</v>
      </c>
    </row>
    <row r="170" spans="1:4" ht="18" customHeight="1">
      <c r="A170" s="6">
        <v>165</v>
      </c>
      <c r="B170" s="18" t="s">
        <v>2220</v>
      </c>
      <c r="C170" s="8">
        <v>0.25</v>
      </c>
    </row>
    <row r="171" spans="1:4" ht="18" customHeight="1">
      <c r="A171" s="6">
        <v>166</v>
      </c>
      <c r="B171" s="16" t="s">
        <v>2221</v>
      </c>
      <c r="C171" s="8">
        <v>0.38</v>
      </c>
    </row>
    <row r="172" spans="1:4" ht="18" customHeight="1">
      <c r="A172" s="6">
        <v>167</v>
      </c>
      <c r="B172" s="16" t="s">
        <v>2222</v>
      </c>
      <c r="C172" s="8">
        <v>13</v>
      </c>
    </row>
    <row r="173" spans="1:4" ht="18" customHeight="1">
      <c r="A173" s="6">
        <v>168</v>
      </c>
      <c r="B173" s="16" t="s">
        <v>2223</v>
      </c>
      <c r="C173" s="8">
        <v>17.5</v>
      </c>
    </row>
    <row r="174" spans="1:4" ht="18" customHeight="1">
      <c r="A174" s="6">
        <v>169</v>
      </c>
      <c r="B174" s="16" t="s">
        <v>2224</v>
      </c>
      <c r="C174" s="8">
        <v>0.23</v>
      </c>
    </row>
    <row r="175" spans="1:4" ht="18" customHeight="1">
      <c r="A175" s="6">
        <v>170</v>
      </c>
      <c r="B175" s="18" t="s">
        <v>2225</v>
      </c>
      <c r="C175" s="8">
        <v>4.8000000000000001E-2</v>
      </c>
    </row>
    <row r="176" spans="1:4" ht="18" customHeight="1">
      <c r="A176" s="6">
        <v>171</v>
      </c>
      <c r="B176" s="18" t="s">
        <v>2226</v>
      </c>
      <c r="C176" s="8">
        <v>5.0999999999999997E-2</v>
      </c>
    </row>
    <row r="177" spans="1:5" ht="18" customHeight="1">
      <c r="A177" s="6">
        <v>172</v>
      </c>
      <c r="B177" s="18" t="s">
        <v>2227</v>
      </c>
      <c r="C177" s="8">
        <v>0.14000000000000001</v>
      </c>
    </row>
    <row r="178" spans="1:5" ht="18" customHeight="1">
      <c r="A178" s="6">
        <v>173</v>
      </c>
      <c r="B178" s="18" t="s">
        <v>2228</v>
      </c>
      <c r="C178" s="8">
        <v>0.13</v>
      </c>
    </row>
    <row r="179" spans="1:5" ht="18" customHeight="1">
      <c r="A179" s="6">
        <v>174</v>
      </c>
      <c r="B179" s="18" t="s">
        <v>2305</v>
      </c>
      <c r="C179" s="8">
        <v>9.1999999999999993</v>
      </c>
    </row>
    <row r="180" spans="1:5" ht="18" customHeight="1">
      <c r="A180" s="6">
        <v>175</v>
      </c>
      <c r="B180" s="16" t="s">
        <v>2231</v>
      </c>
      <c r="C180" s="8">
        <v>1.65</v>
      </c>
    </row>
    <row r="181" spans="1:5" s="1" customFormat="1" ht="18" customHeight="1">
      <c r="A181" s="6">
        <v>176</v>
      </c>
      <c r="B181" s="18" t="s">
        <v>2232</v>
      </c>
      <c r="C181" s="8">
        <v>0.68</v>
      </c>
      <c r="E181" s="4"/>
    </row>
    <row r="182" spans="1:5" s="1" customFormat="1" ht="18" customHeight="1">
      <c r="A182" s="6">
        <v>177</v>
      </c>
      <c r="B182" s="16" t="s">
        <v>2233</v>
      </c>
      <c r="C182" s="8">
        <v>1.02</v>
      </c>
      <c r="E182" s="4"/>
    </row>
    <row r="183" spans="1:5" s="1" customFormat="1" ht="18" customHeight="1">
      <c r="A183" s="6">
        <v>178</v>
      </c>
      <c r="B183" s="18" t="s">
        <v>2234</v>
      </c>
      <c r="C183" s="8">
        <v>0.43</v>
      </c>
      <c r="E183" s="4"/>
    </row>
    <row r="184" spans="1:5" s="1" customFormat="1" ht="18" customHeight="1">
      <c r="A184" s="6">
        <v>179</v>
      </c>
      <c r="B184" s="16" t="s">
        <v>2235</v>
      </c>
      <c r="C184" s="8">
        <v>1</v>
      </c>
      <c r="E184" s="4"/>
    </row>
    <row r="185" spans="1:5" s="1" customFormat="1" ht="18" customHeight="1">
      <c r="A185" s="6">
        <v>180</v>
      </c>
      <c r="B185" s="18" t="s">
        <v>2236</v>
      </c>
      <c r="C185" s="8">
        <v>0.54</v>
      </c>
      <c r="E185" s="4"/>
    </row>
    <row r="186" spans="1:5" s="1" customFormat="1" ht="18" customHeight="1">
      <c r="A186" s="6">
        <v>181</v>
      </c>
      <c r="B186" s="16" t="s">
        <v>2237</v>
      </c>
      <c r="C186" s="8">
        <v>18.100000000000001</v>
      </c>
      <c r="E186" s="4"/>
    </row>
    <row r="187" spans="1:5" s="1" customFormat="1" ht="18" customHeight="1">
      <c r="A187" s="6">
        <v>182</v>
      </c>
      <c r="B187" s="16" t="s">
        <v>2238</v>
      </c>
      <c r="C187" s="8">
        <v>12.3</v>
      </c>
      <c r="E187" s="4"/>
    </row>
  </sheetData>
  <sheetProtection algorithmName="SHA-512" hashValue="W++udda/hLowiGQutK6NZ9Bdvjfvi+cfpANa3X//G+UWW7tW5bfCgdJRYbHlimhsDPXcgbykqpEIDGBK/8pLEw==" saltValue="G9VUpDstN/h/+MyEssDbIQ==" spinCount="100000" sheet="1" objects="1" scenarios="1" selectLockedCells="1" selectUnlockedCells="1"/>
  <mergeCells count="4">
    <mergeCell ref="D44:E44"/>
    <mergeCell ref="D150:I150"/>
    <mergeCell ref="A1:A2"/>
    <mergeCell ref="B1:B2"/>
  </mergeCells>
  <phoneticPr fontId="120" type="noConversion"/>
  <pageMargins left="0.7" right="0.7" top="0.75" bottom="0.75" header="0.3" footer="0.3"/>
  <pageSetup paperSize="9" orientation="portrait"/>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 id="{00000000-000E-0000-1200-000001000000}">
            <xm:f>Sheet1!$A$3&lt;&gt;1</xm:f>
            <x14:dxf>
              <font>
                <color theme="3" tint="0.79992065187536243"/>
              </font>
              <fill>
                <patternFill patternType="solid">
                  <bgColor theme="3" tint="0.79992065187536243"/>
                </patternFill>
              </fill>
            </x14:dxf>
          </x14:cfRule>
          <xm:sqref>A1:XFD1048576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llowEditUser xmlns="https://web.wps.cn/et/2018/main" xmlns:s="http://schemas.openxmlformats.org/spreadsheetml/2006/main" hasInvisiblePropRange="0">
  <rangeList sheetStid="34" master="" otherUserPermission="visible"/>
  <rangeList sheetStid="37" master="" otherUserPermission="visible"/>
  <rangeList sheetStid="35" master="" otherUserPermission="visible"/>
  <rangeList sheetStid="36" master="" otherUserPermission="visible"/>
  <rangeList sheetStid="18" master="" otherUserPermission="visible">
    <arrUserId title="区域1_1_1" rangeCreator="" othersAccessPermission="edit"/>
    <arrUserId title="区域1_1_1_1" rangeCreator="" othersAccessPermission="edit"/>
    <arrUserId title="区域1_1_1_2" rangeCreator="" othersAccessPermission="edit"/>
    <arrUserId title="区域1_1_1_3" rangeCreator="" othersAccessPermission="edit"/>
    <arrUserId title="区域1_1_1_4" rangeCreator="" othersAccessPermission="edit"/>
    <arrUserId title="区域1_1_1_5" rangeCreator="" othersAccessPermission="edit"/>
    <arrUserId title="区域1_1_1_12" rangeCreator="" othersAccessPermission="edit"/>
    <arrUserId title="区域1_1_1_13" rangeCreator="" othersAccessPermission="edit"/>
    <arrUserId title="区域1_1_1_14" rangeCreator="" othersAccessPermission="edit"/>
    <arrUserId title="区域1_1_1_15" rangeCreator="" othersAccessPermission="edit"/>
    <arrUserId title="区域1_1_1_16" rangeCreator="" othersAccessPermission="edit"/>
    <arrUserId title="区域1_1_1_17" rangeCreator="" othersAccessPermission="edit"/>
    <arrUserId title="区域1_1_1_18" rangeCreator="" othersAccessPermission="edit"/>
    <arrUserId title="区域1_1_1_19" rangeCreator="" othersAccessPermission="edit"/>
    <arrUserId title="区域1_1_1_20" rangeCreator="" othersAccessPermission="edit"/>
    <arrUserId title="区域1_1_1_21" rangeCreator="" othersAccessPermission="edit"/>
    <arrUserId title="区域1_1_4" rangeCreator="" othersAccessPermission="edit"/>
    <arrUserId title="区域2_1_3" rangeCreator="" othersAccessPermission="edit"/>
    <arrUserId title="区域1_1_5" rangeCreator="" othersAccessPermission="edit"/>
    <arrUserId title="区域2_1_4" rangeCreator="" othersAccessPermission="edit"/>
    <arrUserId title="区域2_1_5" rangeCreator="" othersAccessPermission="edit"/>
    <arrUserId title="区域1_1_1_32" rangeCreator="" othersAccessPermission="edit"/>
    <arrUserId title="区域1_1_1_33" rangeCreator="" othersAccessPermission="edit"/>
    <arrUserId title="区域1_1_1_34" rangeCreator="" othersAccessPermission="edit"/>
    <arrUserId title="区域1_1_1_35" rangeCreator="" othersAccessPermission="edit"/>
    <arrUserId title="区域1_1_1_36" rangeCreator="" othersAccessPermission="edit"/>
    <arrUserId title="区域1_1_1_37" rangeCreator="" othersAccessPermission="edit"/>
    <arrUserId title="区域1_1_1_38" rangeCreator="" othersAccessPermission="edit"/>
    <arrUserId title="区域1_1_1_39" rangeCreator="" othersAccessPermission="edit"/>
    <arrUserId title="区域1_1_1_40" rangeCreator="" othersAccessPermission="edit"/>
    <arrUserId title="区域1_1_1_41" rangeCreator="" othersAccessPermission="edit"/>
    <arrUserId title="区域1_1_1_42" rangeCreator="" othersAccessPermission="edit"/>
    <arrUserId title="区域1_1_1_43" rangeCreator="" othersAccessPermission="edit"/>
    <arrUserId title="区域1_1_2" rangeCreator="" othersAccessPermission="edit"/>
    <arrUserId title="区域1_1_2_1" rangeCreator="" othersAccessPermission="edit"/>
    <arrUserId title="区域1_1_1_6" rangeCreator="" othersAccessPermission="edit"/>
    <arrUserId title="区域1_1_1_7" rangeCreator="" othersAccessPermission="edit"/>
    <arrUserId title="区域1_1_1_8" rangeCreator="" othersAccessPermission="edit"/>
    <arrUserId title="区域1_1_1_9" rangeCreator="" othersAccessPermission="edit"/>
    <arrUserId title="区域1_1_1_24" rangeCreator="" othersAccessPermission="edit"/>
    <arrUserId title="区域1_1_1_25" rangeCreator="" othersAccessPermission="edit"/>
    <arrUserId title="区域1_1_1_26" rangeCreator="" othersAccessPermission="edit"/>
    <arrUserId title="区域1_1_1_27" rangeCreator="" othersAccessPermission="edit"/>
    <arrUserId title="区域1_1_2_2" rangeCreator="" othersAccessPermission="edit"/>
    <arrUserId title="区域1_1_2_3" rangeCreator="" othersAccessPermission="edit"/>
    <arrUserId title="区域1_1_2_6" rangeCreator="" othersAccessPermission="edit"/>
    <arrUserId title="区域1_1_2_7" rangeCreator="" othersAccessPermission="edit"/>
    <arrUserId title="区域1_1_1_28" rangeCreator="" othersAccessPermission="edit"/>
    <arrUserId title="区域1_1_1_29" rangeCreator="" othersAccessPermission="edit"/>
    <arrUserId title="区域1_1_1_30" rangeCreator="" othersAccessPermission="edit"/>
    <arrUserId title="区域1_1_1_31" rangeCreator="" othersAccessPermission="edit"/>
    <arrUserId title="区域1_1_2_4" rangeCreator="" othersAccessPermission="edit"/>
    <arrUserId title="区域1_1_2_5" rangeCreator="" othersAccessPermission="edit"/>
    <arrUserId title="区域1_1_2_8" rangeCreator="" othersAccessPermission="edit"/>
    <arrUserId title="区域1_1_2_9" rangeCreator="" othersAccessPermission="edit"/>
    <arrUserId title="区域1_1_1_10" rangeCreator="" othersAccessPermission="edit"/>
    <arrUserId title="区域1_1_1_11" rangeCreator="" othersAccessPermission="edit"/>
    <arrUserId title="区域1_1_1_22" rangeCreator="" othersAccessPermission="edit"/>
    <arrUserId title="区域1_1_1_23" rangeCreator="" othersAccessPermission="edit"/>
    <arrUserId title="区域1_1_1_44" rangeCreator="" othersAccessPermission="edit"/>
    <arrUserId title="区域1_1_1_45" rangeCreator="" othersAccessPermission="edit"/>
    <arrUserId title="区域1_1_1_46" rangeCreator="" othersAccessPermission="edit"/>
    <arrUserId title="区域1_1_1_47" rangeCreator="" othersAccessPermission="edit"/>
    <arrUserId title="区域1_1_2_10" rangeCreator="" othersAccessPermission="edit"/>
    <arrUserId title="区域1_1_2_11" rangeCreator="" othersAccessPermission="edit"/>
    <arrUserId title="区域1_1_2_12" rangeCreator="" othersAccessPermission="edit"/>
    <arrUserId title="区域1_1_2_13" rangeCreator="" othersAccessPermission="edit"/>
    <arrUserId title="区域1_1_2_15" rangeCreator="" othersAccessPermission="edit"/>
    <arrUserId title="区域1_1_2_16" rangeCreator="" othersAccessPermission="edit"/>
    <arrUserId title="区域1_1_2_17" rangeCreator="" othersAccessPermission="edit"/>
    <arrUserId title="区域1_1_2_18" rangeCreator="" othersAccessPermission="edit"/>
    <arrUserId title="区域1_1_2_19" rangeCreator="" othersAccessPermission="edit"/>
    <arrUserId title="区域1_1_2_30" rangeCreator="" othersAccessPermission="edit"/>
    <arrUserId title="区域1_1_2_31" rangeCreator="" othersAccessPermission="edit"/>
    <arrUserId title="区域1_1_1_55" rangeCreator="" othersAccessPermission="edit"/>
    <arrUserId title="区域1_1_2_14" rangeCreator="" othersAccessPermission="edit"/>
    <arrUserId title="区域1_1_2_20" rangeCreator="" othersAccessPermission="edit"/>
    <arrUserId title="区域1_1_2_21" rangeCreator="" othersAccessPermission="edit"/>
    <arrUserId title="区域1_1_2_22" rangeCreator="" othersAccessPermission="edit"/>
    <arrUserId title="区域1_1_2_23" rangeCreator="" othersAccessPermission="edit"/>
    <arrUserId title="区域1_1_2_24" rangeCreator="" othersAccessPermission="edit"/>
    <arrUserId title="区域1_1_1_10_1" rangeCreator="" othersAccessPermission="edit"/>
    <arrUserId title="区域1_1_1_11_1" rangeCreator="" othersAccessPermission="edit"/>
    <arrUserId title="区域1_1_1_22_1" rangeCreator="" othersAccessPermission="edit"/>
    <arrUserId title="区域1_1_1_23_1" rangeCreator="" othersAccessPermission="edit"/>
    <arrUserId title="区域1_1_1_44_1" rangeCreator="" othersAccessPermission="edit"/>
    <arrUserId title="区域1_1_1_45_1" rangeCreator="" othersAccessPermission="edit"/>
    <arrUserId title="区域1_1_1_46_1" rangeCreator="" othersAccessPermission="edit"/>
    <arrUserId title="区域1_1_1_47_1" rangeCreator="" othersAccessPermission="edit"/>
    <arrUserId title="区域1_1_2_10_1" rangeCreator="" othersAccessPermission="edit"/>
    <arrUserId title="区域1_1_2_11_1" rangeCreator="" othersAccessPermission="edit"/>
    <arrUserId title="区域1_1_1_48" rangeCreator="" othersAccessPermission="edit"/>
    <arrUserId title="区域1_1_1_49" rangeCreator="" othersAccessPermission="edit"/>
    <arrUserId title="区域1_1_1_50" rangeCreator="" othersAccessPermission="edit"/>
    <arrUserId title="区域1_1_1_51" rangeCreator="" othersAccessPermission="edit"/>
    <arrUserId title="区域1_1" rangeCreator="" othersAccessPermission="edit"/>
    <arrUserId title="区域2_1" rangeCreator="" othersAccessPermission="edit"/>
    <arrUserId title="区域1_1_3" rangeCreator="" othersAccessPermission="edit"/>
    <arrUserId title="区域2_1_1" rangeCreator="" othersAccessPermission="edit"/>
    <arrUserId title="区域2_1_2" rangeCreator="" othersAccessPermission="edit"/>
    <arrUserId title="区域1_1_1_52" rangeCreator="" othersAccessPermission="edit"/>
    <arrUserId title="区域1_1_2_25" rangeCreator="" othersAccessPermission="edit"/>
    <arrUserId title="区域1_1_2_26" rangeCreator="" othersAccessPermission="edit"/>
    <arrUserId title="区域1_1_2_27" rangeCreator="" othersAccessPermission="edit"/>
    <arrUserId title="区域1_1_2_28" rangeCreator="" othersAccessPermission="edit"/>
    <arrUserId title="区域1_1_2_29" rangeCreator="" othersAccessPermission="edit"/>
    <arrUserId title="区域1_1_2_32" rangeCreator="" othersAccessPermission="edit"/>
    <arrUserId title="区域1_1_2_33" rangeCreator="" othersAccessPermission="edit"/>
    <arrUserId title="区域1_1_2_34" rangeCreator="" othersAccessPermission="edit"/>
    <arrUserId title="区域1_1_1_52_1" rangeCreator="" othersAccessPermission="edit"/>
    <arrUserId title="区域1_1_1_53" rangeCreator="" othersAccessPermission="edit"/>
    <arrUserId title="区域1_1_1_54" rangeCreator="" othersAccessPermission="edit"/>
    <arrUserId title="区域1_1_1_55_1" rangeCreator="" othersAccessPermission="edit"/>
    <arrUserId title="区域1_1_2_35" rangeCreator="" othersAccessPermission="edit"/>
    <arrUserId title="区域1_1_2_36" rangeCreator="" othersAccessPermission="edit"/>
  </rangeList>
  <rangeList sheetStid="21" master="" otherUserPermission="visible">
    <arrUserId title="区域3" rangeCreator="" othersAccessPermission="edit"/>
    <arrUserId title="区域1_1_1" rangeCreator="" othersAccessPermission="edit"/>
    <arrUserId title="区域1_1_2" rangeCreator="" othersAccessPermission="edit"/>
    <arrUserId title="区域2_1" rangeCreator="" othersAccessPermission="edit"/>
    <arrUserId title="区域1_1" rangeCreator="" othersAccessPermission="edit"/>
    <arrUserId title="区域1_1_1_1" rangeCreator="" othersAccessPermission="edit"/>
    <arrUserId title="区域1_1_2_1" rangeCreator="" othersAccessPermission="edit"/>
    <arrUserId title="区域1_1_1_52" rangeCreator="" othersAccessPermission="edit"/>
    <arrUserId title="区域1_1_1_53" rangeCreator="" othersAccessPermission="edit"/>
    <arrUserId title="区域1_1_1_54" rangeCreator="" othersAccessPermission="edit"/>
    <arrUserId title="区域1_1_1_55" rangeCreator="" othersAccessPermission="edit"/>
  </rangeList>
  <rangeList sheetStid="8" master="" otherUserPermission="visible"/>
  <rangeList sheetStid="26" master="" otherUserPermission="visible"/>
  <rangeList sheetStid="11" master="" otherUserPermission="visible"/>
  <rangeList sheetStid="30" master="" otherUserPermission="visible"/>
  <rangeList sheetStid="29" master="" otherUserPermission="visible"/>
  <rangeList sheetStid="38" master="" otherUserPermission="visible"/>
  <rangeList sheetStid="12" master="" otherUserPermission="visible"/>
  <rangeList sheetStid="6" master="" otherUserPermission="visible"/>
  <rangeList sheetStid="7" master="" otherUserPermission="visible"/>
  <rangeList sheetStid="10" master="" otherUserPermission="visible"/>
  <rangeList sheetStid="33" master="" otherUserPermission="visible"/>
  <rangeList sheetStid="32" master="" otherUserPermission="visible"/>
  <rangeList sheetStid="31" master="" otherUserPermission="visible"/>
</allowEditUser>
</file>

<file path=customXml/itemProps1.xml><?xml version="1.0" encoding="utf-8"?>
<ds:datastoreItem xmlns:ds="http://schemas.openxmlformats.org/officeDocument/2006/customXml" ds:itemID="{C4F6C959-5CE4-41F4-B2C7-878BDAF7E3C6}">
  <ds:schemaRefs/>
</ds:datastoreItem>
</file>

<file path=customXml/itemProps2.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11</vt:i4>
      </vt:variant>
    </vt:vector>
  </HeadingPairs>
  <TitlesOfParts>
    <vt:vector size="30" baseType="lpstr">
      <vt:lpstr> price 恒鑫荣</vt:lpstr>
      <vt:lpstr>SaleOrder Management</vt:lpstr>
      <vt:lpstr>Price PDF</vt:lpstr>
      <vt:lpstr>设计清单</vt:lpstr>
      <vt:lpstr>报价辅助计算</vt:lpstr>
      <vt:lpstr>报价辅助计算模板</vt:lpstr>
      <vt:lpstr>常规材料表</vt:lpstr>
      <vt:lpstr>Sheet1</vt:lpstr>
      <vt:lpstr>下拉菜单</vt:lpstr>
      <vt:lpstr>材料信息更新</vt:lpstr>
      <vt:lpstr>部件清单</vt:lpstr>
      <vt:lpstr>历史价格</vt:lpstr>
      <vt:lpstr>客户清单</vt:lpstr>
      <vt:lpstr>柱片老表</vt:lpstr>
      <vt:lpstr>横斜撑</vt:lpstr>
      <vt:lpstr>标准件价格</vt:lpstr>
      <vt:lpstr>穿梭板部件价格</vt:lpstr>
      <vt:lpstr>美式P梁价格</vt:lpstr>
      <vt:lpstr>标准件 每周更新</vt:lpstr>
      <vt:lpstr>报价辅助计算模板!Criteria</vt:lpstr>
      <vt:lpstr>' price 恒鑫荣'!Print_Area</vt:lpstr>
      <vt:lpstr>'Price PDF'!Print_Area</vt:lpstr>
      <vt:lpstr>部件清单!Print_Area</vt:lpstr>
      <vt:lpstr>历史价格!Print_Area</vt:lpstr>
      <vt:lpstr>设计清单!Print_Area</vt:lpstr>
      <vt:lpstr>' price 恒鑫荣'!Print_Titles</vt:lpstr>
      <vt:lpstr>'Price PDF'!Print_Titles</vt:lpstr>
      <vt:lpstr>历史价格!Print_Titles</vt:lpstr>
      <vt:lpstr>设计清单!Print_Titles</vt:lpstr>
      <vt:lpstr>下拉菜单!连接1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liang</dc:creator>
  <cp:lastModifiedBy>峰 佘</cp:lastModifiedBy>
  <cp:lastPrinted>2025-12-12T08:36:26Z</cp:lastPrinted>
  <dcterms:created xsi:type="dcterms:W3CDTF">2008-07-21T06:26:00Z</dcterms:created>
  <dcterms:modified xsi:type="dcterms:W3CDTF">2026-03-09T01:26:40Z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DF090D87641E4A3DA2724E039005E8B4_12</vt:lpwstr>
  </property>
  <property fmtid="{D5CDD505-2E9C-101B-9397-08002B2CF9AE}" pid="3" name="KSOProductBuildVer">
    <vt:lpwstr>2052-12.1.0.24034</vt:lpwstr>
  </property>
  <property fmtid="{D5CDD505-2E9C-101B-9397-08002B2CF9AE}" pid="4" name="CalculationRule">
    <vt:i4>0</vt:i4>
  </property>
</Properties>
</file>