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ilinxdesigns\Pluto\documentation\"/>
    </mc:Choice>
  </mc:AlternateContent>
  <xr:revisionPtr revIDLastSave="0" documentId="13_ncr:1_{E4CDDADF-5467-486B-84D5-37284C092637}" xr6:coauthVersionLast="46" xr6:coauthVersionMax="46" xr10:uidLastSave="{00000000-0000-0000-0000-000000000000}"/>
  <bookViews>
    <workbookView xWindow="-120" yWindow="-120" windowWidth="29040" windowHeight="15840" activeTab="1" xr2:uid="{80753A69-26B6-439C-AC5C-910C9C43C75D}"/>
  </bookViews>
  <sheets>
    <sheet name="Protocol 1" sheetId="1" r:id="rId1"/>
    <sheet name="Protoco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29" i="1"/>
  <c r="C7" i="1"/>
  <c r="D7" i="1"/>
  <c r="E7" i="1"/>
  <c r="C8" i="1"/>
  <c r="D8" i="1"/>
  <c r="E8" i="1"/>
  <c r="C10" i="1"/>
  <c r="D10" i="1"/>
  <c r="E10" i="1"/>
  <c r="C14" i="1"/>
  <c r="C15" i="1" s="1"/>
  <c r="C16" i="1" s="1"/>
  <c r="D14" i="1"/>
  <c r="D15" i="1" s="1"/>
  <c r="D16" i="1" s="1"/>
  <c r="E14" i="1"/>
  <c r="E15" i="1" s="1"/>
  <c r="E16" i="1" s="1"/>
  <c r="C104" i="2"/>
  <c r="C120" i="2" s="1"/>
  <c r="C101" i="2"/>
  <c r="C10" i="2"/>
  <c r="C12" i="2" s="1"/>
  <c r="D10" i="2"/>
  <c r="D12" i="2" s="1"/>
  <c r="E10" i="2"/>
  <c r="E12" i="2" s="1"/>
  <c r="F10" i="2"/>
  <c r="F12" i="2" s="1"/>
  <c r="G10" i="2"/>
  <c r="G12" i="2" s="1"/>
  <c r="B101" i="2"/>
  <c r="B76" i="2"/>
  <c r="B51" i="2"/>
  <c r="C32" i="2"/>
  <c r="C34" i="2" s="1"/>
  <c r="D32" i="2"/>
  <c r="D34" i="2" s="1"/>
  <c r="E32" i="2"/>
  <c r="E34" i="2" s="1"/>
  <c r="F32" i="2"/>
  <c r="F34" i="2" s="1"/>
  <c r="G32" i="2"/>
  <c r="G34" i="2" s="1"/>
  <c r="G29" i="2"/>
  <c r="F29" i="2"/>
  <c r="E29" i="2"/>
  <c r="D29" i="2"/>
  <c r="C29" i="2"/>
  <c r="B29" i="2"/>
  <c r="C7" i="2"/>
  <c r="D7" i="2"/>
  <c r="E7" i="2"/>
  <c r="F7" i="2"/>
  <c r="G7" i="2"/>
  <c r="B7" i="2"/>
  <c r="B7" i="1"/>
  <c r="B104" i="2"/>
  <c r="B120" i="2" s="1"/>
  <c r="B79" i="2"/>
  <c r="B81" i="2" s="1"/>
  <c r="B87" i="2" s="1"/>
  <c r="B88" i="2" s="1"/>
  <c r="B54" i="2"/>
  <c r="B56" i="2" s="1"/>
  <c r="B32" i="2"/>
  <c r="B34" i="2" s="1"/>
  <c r="B10" i="2"/>
  <c r="B12" i="2" s="1"/>
  <c r="B18" i="2" s="1"/>
  <c r="B19" i="2" s="1"/>
  <c r="B36" i="1"/>
  <c r="B42" i="1" s="1"/>
  <c r="B43" i="1" s="1"/>
  <c r="B32" i="1"/>
  <c r="B30" i="1"/>
  <c r="B8" i="1"/>
  <c r="B14" i="1"/>
  <c r="B15" i="1" s="1"/>
  <c r="B16" i="1" s="1"/>
  <c r="B17" i="1" s="1"/>
  <c r="B10" i="1"/>
  <c r="B22" i="2" l="1"/>
  <c r="B44" i="2"/>
  <c r="C44" i="2"/>
  <c r="D44" i="2"/>
  <c r="E44" i="2"/>
  <c r="F44" i="2"/>
  <c r="G44" i="2"/>
  <c r="G45" i="2" s="1"/>
  <c r="G22" i="2"/>
  <c r="E22" i="2"/>
  <c r="F22" i="2"/>
  <c r="D22" i="2"/>
  <c r="C22" i="2"/>
  <c r="C23" i="2" s="1"/>
  <c r="B57" i="2"/>
  <c r="B65" i="2"/>
  <c r="B67" i="2"/>
  <c r="B68" i="2" s="1"/>
  <c r="B69" i="2"/>
  <c r="B70" i="2" s="1"/>
  <c r="B90" i="2"/>
  <c r="B91" i="2" s="1"/>
  <c r="B92" i="2"/>
  <c r="B93" i="2" s="1"/>
  <c r="B94" i="2"/>
  <c r="B95" i="2" s="1"/>
  <c r="G13" i="2"/>
  <c r="G20" i="2" s="1"/>
  <c r="F13" i="2"/>
  <c r="F20" i="2" s="1"/>
  <c r="E13" i="2"/>
  <c r="E20" i="2" s="1"/>
  <c r="D13" i="2"/>
  <c r="D20" i="2" s="1"/>
  <c r="C13" i="2"/>
  <c r="C14" i="2" s="1"/>
  <c r="C15" i="2" s="1"/>
  <c r="B107" i="2"/>
  <c r="B121" i="2" s="1"/>
  <c r="C107" i="2"/>
  <c r="C108" i="2" s="1"/>
  <c r="B35" i="2"/>
  <c r="B116" i="2"/>
  <c r="B118" i="2"/>
  <c r="C116" i="2"/>
  <c r="C118" i="2"/>
  <c r="B18" i="1"/>
  <c r="D17" i="1"/>
  <c r="D18" i="1"/>
  <c r="D19" i="1" s="1"/>
  <c r="D23" i="1"/>
  <c r="D24" i="1" s="1"/>
  <c r="E17" i="1"/>
  <c r="E23" i="1"/>
  <c r="E24" i="1" s="1"/>
  <c r="E18" i="1"/>
  <c r="E19" i="1" s="1"/>
  <c r="C18" i="1"/>
  <c r="C19" i="1" s="1"/>
  <c r="C17" i="1"/>
  <c r="C23" i="1"/>
  <c r="C24" i="1" s="1"/>
  <c r="B82" i="2"/>
  <c r="D18" i="2"/>
  <c r="D19" i="2" s="1"/>
  <c r="E35" i="2"/>
  <c r="E36" i="2" s="1"/>
  <c r="E37" i="2" s="1"/>
  <c r="C18" i="2"/>
  <c r="C19" i="2" s="1"/>
  <c r="B13" i="2"/>
  <c r="B20" i="2" s="1"/>
  <c r="G18" i="2"/>
  <c r="G19" i="2" s="1"/>
  <c r="F18" i="2"/>
  <c r="F19" i="2" s="1"/>
  <c r="E18" i="2"/>
  <c r="E19" i="2" s="1"/>
  <c r="F35" i="2"/>
  <c r="F36" i="2" s="1"/>
  <c r="F37" i="2" s="1"/>
  <c r="G35" i="2"/>
  <c r="G36" i="2" s="1"/>
  <c r="G37" i="2" s="1"/>
  <c r="D40" i="2"/>
  <c r="D41" i="2" s="1"/>
  <c r="D35" i="2"/>
  <c r="C40" i="2"/>
  <c r="C41" i="2" s="1"/>
  <c r="C35" i="2"/>
  <c r="G40" i="2"/>
  <c r="G41" i="2" s="1"/>
  <c r="F40" i="2"/>
  <c r="F41" i="2" s="1"/>
  <c r="E40" i="2"/>
  <c r="E41" i="2" s="1"/>
  <c r="B23" i="1"/>
  <c r="B24" i="1" s="1"/>
  <c r="B62" i="2"/>
  <c r="B63" i="2" s="1"/>
  <c r="B40" i="2"/>
  <c r="B41" i="2" s="1"/>
  <c r="B19" i="1"/>
  <c r="F45" i="2" l="1"/>
  <c r="E45" i="2"/>
  <c r="D45" i="2"/>
  <c r="C45" i="2"/>
  <c r="B66" i="2"/>
  <c r="B45" i="2"/>
  <c r="D23" i="2"/>
  <c r="F23" i="2"/>
  <c r="E23" i="2"/>
  <c r="C119" i="2"/>
  <c r="G23" i="2"/>
  <c r="B23" i="2"/>
  <c r="G14" i="2"/>
  <c r="G15" i="2" s="1"/>
  <c r="D14" i="2"/>
  <c r="D15" i="2" s="1"/>
  <c r="B108" i="2"/>
  <c r="B115" i="2" s="1"/>
  <c r="F14" i="2"/>
  <c r="F15" i="2" s="1"/>
  <c r="C20" i="2"/>
  <c r="E14" i="2"/>
  <c r="E15" i="2" s="1"/>
  <c r="F42" i="2"/>
  <c r="C117" i="2"/>
  <c r="B113" i="2"/>
  <c r="B114" i="2" s="1"/>
  <c r="C113" i="2"/>
  <c r="C114" i="2" s="1"/>
  <c r="C121" i="2"/>
  <c r="E42" i="2"/>
  <c r="B119" i="2"/>
  <c r="B117" i="2"/>
  <c r="C20" i="1"/>
  <c r="C21" i="1" s="1"/>
  <c r="C25" i="1"/>
  <c r="E20" i="1"/>
  <c r="E21" i="1" s="1"/>
  <c r="E25" i="1"/>
  <c r="D20" i="1"/>
  <c r="D21" i="1" s="1"/>
  <c r="D25" i="1"/>
  <c r="C115" i="2"/>
  <c r="C109" i="2"/>
  <c r="C110" i="2" s="1"/>
  <c r="G42" i="2"/>
  <c r="C42" i="2"/>
  <c r="C36" i="2"/>
  <c r="C37" i="2" s="1"/>
  <c r="D42" i="2"/>
  <c r="D36" i="2"/>
  <c r="D37" i="2" s="1"/>
  <c r="B14" i="2"/>
  <c r="B15" i="2" s="1"/>
  <c r="B38" i="1"/>
  <c r="B39" i="1" s="1"/>
  <c r="B40" i="1" s="1"/>
  <c r="B44" i="1"/>
  <c r="B20" i="1"/>
  <c r="B21" i="1" s="1"/>
  <c r="B25" i="1"/>
  <c r="B89" i="2"/>
  <c r="B83" i="2"/>
  <c r="B84" i="2" s="1"/>
  <c r="B64" i="2"/>
  <c r="B58" i="2"/>
  <c r="B59" i="2" s="1"/>
  <c r="B42" i="2"/>
  <c r="B36" i="2"/>
  <c r="B37" i="2" s="1"/>
  <c r="B109" i="2" l="1"/>
  <c r="B110" i="2" s="1"/>
</calcChain>
</file>

<file path=xl/sharedStrings.xml><?xml version="1.0" encoding="utf-8"?>
<sst xmlns="http://schemas.openxmlformats.org/spreadsheetml/2006/main" count="270" uniqueCount="84">
  <si>
    <t>Sources: "Metis - How it Works" and "HPSDR - USB Data Protocol"</t>
  </si>
  <si>
    <t>Data transfers in a Metis UDP packet, which contains 2 USB data frames</t>
  </si>
  <si>
    <t>RX Sample Data</t>
  </si>
  <si>
    <t>TX Sample Data</t>
  </si>
  <si>
    <t>Payload per USB frame</t>
  </si>
  <si>
    <t>bytes</t>
  </si>
  <si>
    <t>Payload per Metis frame</t>
  </si>
  <si>
    <t>Number of DDC enabled</t>
  </si>
  <si>
    <t>combined IQ sample size</t>
  </si>
  <si>
    <t>DDC bytes per mic sample</t>
  </si>
  <si>
    <t>microphone sample size</t>
  </si>
  <si>
    <t>one set of DDC samples</t>
  </si>
  <si>
    <t>inc mic samples</t>
  </si>
  <si>
    <t>sets per USB frame</t>
  </si>
  <si>
    <t>padding bytes per USB frame</t>
  </si>
  <si>
    <t>Sample Rate</t>
  </si>
  <si>
    <t>KHz</t>
  </si>
  <si>
    <t>sample period</t>
  </si>
  <si>
    <t>us</t>
  </si>
  <si>
    <t>time period covered by frame</t>
  </si>
  <si>
    <t>time period covered by metis frame</t>
  </si>
  <si>
    <t>Metis Frame rate required</t>
  </si>
  <si>
    <t>Kframes/sec</t>
  </si>
  <si>
    <t>data rate</t>
  </si>
  <si>
    <t>Metis frame size</t>
  </si>
  <si>
    <t>Mbytes/sec</t>
  </si>
  <si>
    <t>KHz (fixed)</t>
  </si>
  <si>
    <t>L/R speaker pair sample size</t>
  </si>
  <si>
    <t>I/Q TX pair sample size</t>
  </si>
  <si>
    <t>sets of I/Q &amp; L/R per USB frame</t>
  </si>
  <si>
    <t>Source: "OpenHPSDR Ethernet Protocol V3.8"</t>
  </si>
  <si>
    <t>Data transfers are in separate packets for each function so we need a calculator for each.</t>
  </si>
  <si>
    <t>RX Sample Data - Single DDC</t>
  </si>
  <si>
    <t>Required FIFO size</t>
  </si>
  <si>
    <t>samples</t>
  </si>
  <si>
    <t>Required FIFO size (per DDC)</t>
  </si>
  <si>
    <t>desired queued Metis packets</t>
  </si>
  <si>
    <t>time period covered</t>
  </si>
  <si>
    <t>ms</t>
  </si>
  <si>
    <t>this covers speaker data AND I/Q data</t>
  </si>
  <si>
    <t>(p52)</t>
  </si>
  <si>
    <t>Payload bytes per packet</t>
  </si>
  <si>
    <t>Samples per packet</t>
  </si>
  <si>
    <t>UDP overhead</t>
  </si>
  <si>
    <t>P2 DDC packet payload size</t>
  </si>
  <si>
    <t>time period covered by packet</t>
  </si>
  <si>
    <t>P2 packet rate required</t>
  </si>
  <si>
    <t>desired queued P2 packets</t>
  </si>
  <si>
    <t>Required FIFO size per DDC</t>
  </si>
  <si>
    <t>RX Sample Data - Interleaved DDC</t>
  </si>
  <si>
    <t>(two synchronous DDC)</t>
  </si>
  <si>
    <t>Microphone data</t>
  </si>
  <si>
    <t>(p49)</t>
  </si>
  <si>
    <t>mic sample size</t>
  </si>
  <si>
    <t>Required FIFO size for mic data</t>
  </si>
  <si>
    <t>Speaker  data</t>
  </si>
  <si>
    <t>(p36)</t>
  </si>
  <si>
    <t>L/R pair sample size</t>
  </si>
  <si>
    <t>L/R pair samples per packet</t>
  </si>
  <si>
    <t>K packets/sec</t>
  </si>
  <si>
    <t>Required FIFO size for speaker data</t>
  </si>
  <si>
    <t>TX I/Q modulation  data</t>
  </si>
  <si>
    <t>(p37)</t>
  </si>
  <si>
    <t>Sample period</t>
  </si>
  <si>
    <t>Sample pairs per packet</t>
  </si>
  <si>
    <t>EER/ET mode</t>
  </si>
  <si>
    <t>N</t>
  </si>
  <si>
    <t>Y</t>
  </si>
  <si>
    <t>Sample Period</t>
  </si>
  <si>
    <t>packets</t>
  </si>
  <si>
    <t>period covered</t>
  </si>
  <si>
    <t>number of packets</t>
  </si>
  <si>
    <t>256 byte threshold for data xfer</t>
  </si>
  <si>
    <t>512 byte threshold for data xfer</t>
  </si>
  <si>
    <t>1024 byte threshold for data xfer</t>
  </si>
  <si>
    <t>2048 byte threshold for data xfer</t>
  </si>
  <si>
    <t>4096 byte threshold for data xfer</t>
  </si>
  <si>
    <t>8192 threshold for data xfer</t>
  </si>
  <si>
    <t>selected threshold (bytes)</t>
  </si>
  <si>
    <t>strategy: keep latency to ~1ms</t>
  </si>
  <si>
    <t>fixed threshold OK. Suggest start @512 bytes</t>
  </si>
  <si>
    <t>fixed threshold OK. Suggest start @1024 bytes</t>
  </si>
  <si>
    <t>keep FIFO size ~2x transfer size</t>
  </si>
  <si>
    <t>suggest 4096 byte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</si>
</sst>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164" fontId="0" fillId="0" borderId="1" xfId="0" applyNumberFormat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1" fontId="0" fillId="0" borderId="1" xfId="0" applyNumberFormat="1" applyBorder="1"/>
    <xf numFmtId="1" fontId="0" fillId="2" borderId="1" xfId="0" applyNumberFormat="1" applyFill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D591-578E-4DFF-AF97-8D59EFA208B2}">
  <dimension ref="A1:F44"/>
  <sheetViews>
    <sheetView topLeftCell="A4" workbookViewId="0">
      <selection activeCell="G40" sqref="G40"/>
    </sheetView>
  </sheetViews>
  <sheetFormatPr defaultRowHeight="15" x14ac:dyDescent="0.25"/>
  <cols>
    <col min="1" max="1" width="34.5703125" customWidth="1"/>
  </cols>
  <sheetData>
    <row r="1" spans="1:6" x14ac:dyDescent="0.25">
      <c r="A1" t="s">
        <v>0</v>
      </c>
    </row>
    <row r="3" spans="1:6" x14ac:dyDescent="0.25">
      <c r="A3" t="s">
        <v>1</v>
      </c>
    </row>
    <row r="5" spans="1:6" x14ac:dyDescent="0.25">
      <c r="A5" s="1" t="s">
        <v>2</v>
      </c>
    </row>
    <row r="6" spans="1:6" x14ac:dyDescent="0.25">
      <c r="A6" s="4" t="s">
        <v>15</v>
      </c>
      <c r="B6" s="2">
        <v>384</v>
      </c>
      <c r="C6" s="2">
        <v>192</v>
      </c>
      <c r="D6" s="2">
        <v>96</v>
      </c>
      <c r="E6" s="2">
        <v>48</v>
      </c>
      <c r="F6" t="s">
        <v>16</v>
      </c>
    </row>
    <row r="7" spans="1:6" x14ac:dyDescent="0.25">
      <c r="A7" s="4" t="s">
        <v>17</v>
      </c>
      <c r="B7" s="3">
        <f>1000/B6</f>
        <v>2.6041666666666665</v>
      </c>
      <c r="C7" s="3">
        <f t="shared" ref="C7:E7" si="0">1000/C6</f>
        <v>5.208333333333333</v>
      </c>
      <c r="D7" s="3">
        <f t="shared" si="0"/>
        <v>10.416666666666666</v>
      </c>
      <c r="E7" s="3">
        <f t="shared" si="0"/>
        <v>20.833333333333332</v>
      </c>
      <c r="F7" t="s">
        <v>18</v>
      </c>
    </row>
    <row r="8" spans="1:6" x14ac:dyDescent="0.25">
      <c r="A8" s="4" t="s">
        <v>24</v>
      </c>
      <c r="B8" s="3">
        <f>1024+8</f>
        <v>1032</v>
      </c>
      <c r="C8" s="3">
        <f t="shared" ref="C8:E8" si="1">1024+8</f>
        <v>1032</v>
      </c>
      <c r="D8" s="3">
        <f t="shared" si="1"/>
        <v>1032</v>
      </c>
      <c r="E8" s="3">
        <f t="shared" si="1"/>
        <v>1032</v>
      </c>
      <c r="F8" t="s">
        <v>5</v>
      </c>
    </row>
    <row r="9" spans="1:6" x14ac:dyDescent="0.25">
      <c r="A9" t="s">
        <v>4</v>
      </c>
      <c r="B9">
        <v>504</v>
      </c>
      <c r="C9">
        <v>504</v>
      </c>
      <c r="D9">
        <v>504</v>
      </c>
      <c r="E9">
        <v>504</v>
      </c>
      <c r="F9" t="s">
        <v>5</v>
      </c>
    </row>
    <row r="10" spans="1:6" x14ac:dyDescent="0.25">
      <c r="A10" t="s">
        <v>6</v>
      </c>
      <c r="B10">
        <f>B9*2</f>
        <v>1008</v>
      </c>
      <c r="C10">
        <f t="shared" ref="C10:E10" si="2">C9*2</f>
        <v>1008</v>
      </c>
      <c r="D10">
        <f t="shared" si="2"/>
        <v>1008</v>
      </c>
      <c r="E10">
        <f t="shared" si="2"/>
        <v>1008</v>
      </c>
      <c r="F10" t="s">
        <v>5</v>
      </c>
    </row>
    <row r="11" spans="1:6" x14ac:dyDescent="0.25">
      <c r="A11" t="s">
        <v>10</v>
      </c>
      <c r="B11">
        <v>2</v>
      </c>
      <c r="C11">
        <v>2</v>
      </c>
      <c r="D11">
        <v>2</v>
      </c>
      <c r="E11">
        <v>2</v>
      </c>
      <c r="F11" t="s">
        <v>5</v>
      </c>
    </row>
    <row r="12" spans="1:6" x14ac:dyDescent="0.25">
      <c r="A12" t="s">
        <v>7</v>
      </c>
      <c r="B12" s="2">
        <v>5</v>
      </c>
      <c r="C12" s="2">
        <v>5</v>
      </c>
      <c r="D12" s="2">
        <v>5</v>
      </c>
      <c r="E12" s="2">
        <v>5</v>
      </c>
    </row>
    <row r="13" spans="1:6" x14ac:dyDescent="0.25">
      <c r="A13" t="s">
        <v>8</v>
      </c>
      <c r="B13">
        <v>6</v>
      </c>
      <c r="C13">
        <v>6</v>
      </c>
      <c r="D13">
        <v>6</v>
      </c>
      <c r="E13">
        <v>6</v>
      </c>
      <c r="F13" t="s">
        <v>5</v>
      </c>
    </row>
    <row r="14" spans="1:6" x14ac:dyDescent="0.25">
      <c r="A14" t="s">
        <v>9</v>
      </c>
      <c r="B14">
        <f>B13*B12</f>
        <v>30</v>
      </c>
      <c r="C14">
        <f t="shared" ref="C14:E14" si="3">C13*C12</f>
        <v>30</v>
      </c>
      <c r="D14">
        <f t="shared" si="3"/>
        <v>30</v>
      </c>
      <c r="E14">
        <f t="shared" si="3"/>
        <v>30</v>
      </c>
    </row>
    <row r="15" spans="1:6" x14ac:dyDescent="0.25">
      <c r="A15" t="s">
        <v>11</v>
      </c>
      <c r="B15">
        <f>B14+B11</f>
        <v>32</v>
      </c>
      <c r="C15">
        <f t="shared" ref="C15:E15" si="4">C14+C11</f>
        <v>32</v>
      </c>
      <c r="D15">
        <f t="shared" si="4"/>
        <v>32</v>
      </c>
      <c r="E15">
        <f t="shared" si="4"/>
        <v>32</v>
      </c>
      <c r="F15" t="s">
        <v>12</v>
      </c>
    </row>
    <row r="16" spans="1:6" x14ac:dyDescent="0.25">
      <c r="A16" t="s">
        <v>13</v>
      </c>
      <c r="B16">
        <f>INT(B9/B15)</f>
        <v>15</v>
      </c>
      <c r="C16">
        <f t="shared" ref="C16:E16" si="5">INT(C9/C15)</f>
        <v>15</v>
      </c>
      <c r="D16">
        <f t="shared" si="5"/>
        <v>15</v>
      </c>
      <c r="E16">
        <f t="shared" si="5"/>
        <v>15</v>
      </c>
    </row>
    <row r="17" spans="1:6" x14ac:dyDescent="0.25">
      <c r="A17" t="s">
        <v>14</v>
      </c>
      <c r="B17">
        <f>B9-(B16*B15)</f>
        <v>24</v>
      </c>
      <c r="C17">
        <f t="shared" ref="C17:E17" si="6">C9-(C16*C15)</f>
        <v>24</v>
      </c>
      <c r="D17">
        <f t="shared" si="6"/>
        <v>24</v>
      </c>
      <c r="E17">
        <f t="shared" si="6"/>
        <v>24</v>
      </c>
    </row>
    <row r="18" spans="1:6" x14ac:dyDescent="0.25">
      <c r="A18" t="s">
        <v>19</v>
      </c>
      <c r="B18">
        <f>B16*B7</f>
        <v>39.0625</v>
      </c>
      <c r="C18">
        <f t="shared" ref="C18:E18" si="7">C16*C7</f>
        <v>78.125</v>
      </c>
      <c r="D18">
        <f t="shared" si="7"/>
        <v>156.25</v>
      </c>
      <c r="E18">
        <f t="shared" si="7"/>
        <v>312.5</v>
      </c>
      <c r="F18" t="s">
        <v>18</v>
      </c>
    </row>
    <row r="19" spans="1:6" x14ac:dyDescent="0.25">
      <c r="A19" t="s">
        <v>20</v>
      </c>
      <c r="B19">
        <f>2*B18</f>
        <v>78.125</v>
      </c>
      <c r="C19">
        <f t="shared" ref="C19:E19" si="8">2*C18</f>
        <v>156.25</v>
      </c>
      <c r="D19">
        <f t="shared" si="8"/>
        <v>312.5</v>
      </c>
      <c r="E19">
        <f t="shared" si="8"/>
        <v>625</v>
      </c>
      <c r="F19" t="s">
        <v>18</v>
      </c>
    </row>
    <row r="20" spans="1:6" x14ac:dyDescent="0.25">
      <c r="A20" t="s">
        <v>21</v>
      </c>
      <c r="B20">
        <f>1000/B19</f>
        <v>12.8</v>
      </c>
      <c r="C20">
        <f t="shared" ref="C20:E20" si="9">1000/C19</f>
        <v>6.4</v>
      </c>
      <c r="D20">
        <f t="shared" si="9"/>
        <v>3.2</v>
      </c>
      <c r="E20">
        <f t="shared" si="9"/>
        <v>1.6</v>
      </c>
      <c r="F20" t="s">
        <v>22</v>
      </c>
    </row>
    <row r="21" spans="1:6" x14ac:dyDescent="0.25">
      <c r="A21" t="s">
        <v>23</v>
      </c>
      <c r="B21">
        <f>B8*B20/1000</f>
        <v>13.2096</v>
      </c>
      <c r="C21">
        <f t="shared" ref="C21:E21" si="10">C8*C20/1000</f>
        <v>6.6048</v>
      </c>
      <c r="D21">
        <f t="shared" si="10"/>
        <v>3.3024</v>
      </c>
      <c r="E21">
        <f t="shared" si="10"/>
        <v>1.6512</v>
      </c>
      <c r="F21" t="s">
        <v>25</v>
      </c>
    </row>
    <row r="22" spans="1:6" x14ac:dyDescent="0.25">
      <c r="A22" t="s">
        <v>36</v>
      </c>
      <c r="B22" s="2">
        <v>10</v>
      </c>
      <c r="C22" s="2">
        <v>10</v>
      </c>
      <c r="D22" s="2">
        <v>10</v>
      </c>
      <c r="E22" s="2">
        <v>10</v>
      </c>
    </row>
    <row r="23" spans="1:6" x14ac:dyDescent="0.25">
      <c r="A23" t="s">
        <v>35</v>
      </c>
      <c r="B23">
        <f>B22*B16*2</f>
        <v>300</v>
      </c>
      <c r="C23">
        <f t="shared" ref="C23:E23" si="11">C22*C16*2</f>
        <v>300</v>
      </c>
      <c r="D23">
        <f t="shared" si="11"/>
        <v>300</v>
      </c>
      <c r="E23">
        <f t="shared" si="11"/>
        <v>300</v>
      </c>
      <c r="F23" t="s">
        <v>34</v>
      </c>
    </row>
    <row r="24" spans="1:6" x14ac:dyDescent="0.25">
      <c r="A24" t="s">
        <v>33</v>
      </c>
      <c r="B24">
        <f>B23*B13*B12</f>
        <v>9000</v>
      </c>
      <c r="C24">
        <f t="shared" ref="C24:E24" si="12">C23*C13*C12</f>
        <v>9000</v>
      </c>
      <c r="D24">
        <f t="shared" si="12"/>
        <v>9000</v>
      </c>
      <c r="E24">
        <f t="shared" si="12"/>
        <v>9000</v>
      </c>
      <c r="F24" t="s">
        <v>5</v>
      </c>
    </row>
    <row r="25" spans="1:6" x14ac:dyDescent="0.25">
      <c r="A25" t="s">
        <v>37</v>
      </c>
      <c r="B25">
        <f>B19*B22/1000</f>
        <v>0.78125</v>
      </c>
      <c r="C25">
        <f t="shared" ref="C25:E25" si="13">C19*C22/1000</f>
        <v>1.5625</v>
      </c>
      <c r="D25">
        <f t="shared" si="13"/>
        <v>3.125</v>
      </c>
      <c r="E25">
        <f t="shared" si="13"/>
        <v>6.25</v>
      </c>
      <c r="F25" t="s">
        <v>38</v>
      </c>
    </row>
    <row r="27" spans="1:6" x14ac:dyDescent="0.25">
      <c r="A27" s="1" t="s">
        <v>3</v>
      </c>
    </row>
    <row r="28" spans="1:6" x14ac:dyDescent="0.25">
      <c r="A28" s="4" t="s">
        <v>15</v>
      </c>
      <c r="B28" s="3">
        <v>48</v>
      </c>
      <c r="C28" t="s">
        <v>26</v>
      </c>
      <c r="D28" s="3"/>
      <c r="E28" s="3"/>
    </row>
    <row r="29" spans="1:6" x14ac:dyDescent="0.25">
      <c r="A29" s="4" t="s">
        <v>68</v>
      </c>
      <c r="B29" s="3">
        <f>1000/B28</f>
        <v>20.833333333333332</v>
      </c>
      <c r="C29" t="s">
        <v>18</v>
      </c>
      <c r="D29" s="3"/>
      <c r="E29" s="3"/>
    </row>
    <row r="30" spans="1:6" x14ac:dyDescent="0.25">
      <c r="A30" s="4" t="s">
        <v>24</v>
      </c>
      <c r="B30" s="3">
        <f>1024+8</f>
        <v>1032</v>
      </c>
      <c r="C30" t="s">
        <v>5</v>
      </c>
      <c r="D30" s="3"/>
      <c r="E30" s="3"/>
    </row>
    <row r="31" spans="1:6" x14ac:dyDescent="0.25">
      <c r="A31" t="s">
        <v>4</v>
      </c>
      <c r="B31">
        <v>504</v>
      </c>
      <c r="C31" t="s">
        <v>5</v>
      </c>
    </row>
    <row r="32" spans="1:6" x14ac:dyDescent="0.25">
      <c r="A32" t="s">
        <v>6</v>
      </c>
      <c r="B32">
        <f>B31*2</f>
        <v>1008</v>
      </c>
      <c r="C32" t="s">
        <v>5</v>
      </c>
    </row>
    <row r="33" spans="1:5" x14ac:dyDescent="0.25">
      <c r="A33" t="s">
        <v>27</v>
      </c>
      <c r="B33">
        <v>4</v>
      </c>
      <c r="C33" t="s">
        <v>5</v>
      </c>
    </row>
    <row r="34" spans="1:5" x14ac:dyDescent="0.25">
      <c r="A34" t="s">
        <v>28</v>
      </c>
      <c r="B34" s="3">
        <v>4</v>
      </c>
      <c r="C34" t="s">
        <v>5</v>
      </c>
      <c r="D34" s="3"/>
      <c r="E34" s="3"/>
    </row>
    <row r="35" spans="1:5" x14ac:dyDescent="0.25">
      <c r="A35" t="s">
        <v>8</v>
      </c>
      <c r="B35">
        <v>8</v>
      </c>
      <c r="C35" t="s">
        <v>5</v>
      </c>
    </row>
    <row r="36" spans="1:5" x14ac:dyDescent="0.25">
      <c r="A36" t="s">
        <v>29</v>
      </c>
      <c r="B36">
        <f>B31/B35</f>
        <v>63</v>
      </c>
    </row>
    <row r="37" spans="1:5" x14ac:dyDescent="0.25">
      <c r="A37" t="s">
        <v>19</v>
      </c>
      <c r="B37">
        <f>B36*B29</f>
        <v>1312.5</v>
      </c>
      <c r="C37" t="s">
        <v>18</v>
      </c>
    </row>
    <row r="38" spans="1:5" x14ac:dyDescent="0.25">
      <c r="A38" t="s">
        <v>20</v>
      </c>
      <c r="B38">
        <f>2*B37</f>
        <v>2625</v>
      </c>
      <c r="C38" t="s">
        <v>18</v>
      </c>
    </row>
    <row r="39" spans="1:5" x14ac:dyDescent="0.25">
      <c r="A39" t="s">
        <v>21</v>
      </c>
      <c r="B39">
        <f>1000/B38</f>
        <v>0.38095238095238093</v>
      </c>
      <c r="C39" t="s">
        <v>22</v>
      </c>
    </row>
    <row r="40" spans="1:5" x14ac:dyDescent="0.25">
      <c r="A40" t="s">
        <v>23</v>
      </c>
      <c r="B40">
        <f>B30*B39/1000</f>
        <v>0.39314285714285713</v>
      </c>
      <c r="C40" t="s">
        <v>25</v>
      </c>
    </row>
    <row r="41" spans="1:5" x14ac:dyDescent="0.25">
      <c r="A41" t="s">
        <v>36</v>
      </c>
      <c r="B41" s="2">
        <v>5</v>
      </c>
      <c r="C41" s="3"/>
      <c r="D41" s="3"/>
      <c r="E41" s="3"/>
    </row>
    <row r="42" spans="1:5" x14ac:dyDescent="0.25">
      <c r="A42" t="s">
        <v>33</v>
      </c>
      <c r="B42">
        <f>B36*2*B41</f>
        <v>630</v>
      </c>
      <c r="C42" t="s">
        <v>34</v>
      </c>
    </row>
    <row r="43" spans="1:5" x14ac:dyDescent="0.25">
      <c r="A43" t="s">
        <v>33</v>
      </c>
      <c r="B43">
        <f>B42*B35</f>
        <v>5040</v>
      </c>
      <c r="C43" t="s">
        <v>5</v>
      </c>
      <c r="D43" t="s">
        <v>39</v>
      </c>
    </row>
    <row r="44" spans="1:5" x14ac:dyDescent="0.25">
      <c r="A44" t="s">
        <v>37</v>
      </c>
      <c r="B44">
        <f>B37*B41/1000</f>
        <v>6.5625</v>
      </c>
      <c r="C44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D1632-DACB-4834-AD06-09A0262BBC17}">
  <dimension ref="A1:H122"/>
  <sheetViews>
    <sheetView tabSelected="1" workbookViewId="0">
      <selection activeCell="B125" sqref="B125"/>
    </sheetView>
  </sheetViews>
  <sheetFormatPr defaultRowHeight="15" x14ac:dyDescent="0.25"/>
  <cols>
    <col min="1" max="1" width="32.28515625" customWidth="1"/>
    <col min="2" max="2" width="9.5703125" bestFit="1" customWidth="1"/>
    <col min="3" max="3" width="12.7109375" customWidth="1"/>
    <col min="4" max="4" width="14.42578125" customWidth="1"/>
    <col min="7" max="7" width="9.140625" customWidth="1"/>
    <col min="8" max="8" width="13.5703125" customWidth="1"/>
    <col min="10" max="10" width="14.28515625" customWidth="1"/>
  </cols>
  <sheetData>
    <row r="1" spans="1:8" x14ac:dyDescent="0.25">
      <c r="A1" t="s">
        <v>30</v>
      </c>
    </row>
    <row r="3" spans="1:8" x14ac:dyDescent="0.25">
      <c r="A3" t="s">
        <v>31</v>
      </c>
    </row>
    <row r="5" spans="1:8" x14ac:dyDescent="0.25">
      <c r="A5" s="1" t="s">
        <v>32</v>
      </c>
      <c r="B5" t="s">
        <v>40</v>
      </c>
    </row>
    <row r="6" spans="1:8" x14ac:dyDescent="0.25">
      <c r="A6" s="7" t="s">
        <v>15</v>
      </c>
      <c r="B6" s="11">
        <v>1536</v>
      </c>
      <c r="C6" s="11">
        <v>768</v>
      </c>
      <c r="D6" s="11">
        <v>384</v>
      </c>
      <c r="E6" s="11">
        <v>192</v>
      </c>
      <c r="F6" s="11">
        <v>96</v>
      </c>
      <c r="G6" s="11">
        <v>48</v>
      </c>
      <c r="H6" s="9" t="s">
        <v>16</v>
      </c>
    </row>
    <row r="7" spans="1:8" x14ac:dyDescent="0.25">
      <c r="A7" s="7" t="s">
        <v>63</v>
      </c>
      <c r="B7" s="8">
        <f>1000/B6</f>
        <v>0.65104166666666663</v>
      </c>
      <c r="C7" s="8">
        <f t="shared" ref="C7:G7" si="0">1000/C6</f>
        <v>1.3020833333333333</v>
      </c>
      <c r="D7" s="8">
        <f t="shared" si="0"/>
        <v>2.6041666666666665</v>
      </c>
      <c r="E7" s="8">
        <f t="shared" si="0"/>
        <v>5.208333333333333</v>
      </c>
      <c r="F7" s="8">
        <f t="shared" si="0"/>
        <v>10.416666666666666</v>
      </c>
      <c r="G7" s="8">
        <f t="shared" si="0"/>
        <v>20.833333333333332</v>
      </c>
      <c r="H7" s="9" t="s">
        <v>18</v>
      </c>
    </row>
    <row r="8" spans="1:8" x14ac:dyDescent="0.25">
      <c r="A8" s="7" t="s">
        <v>44</v>
      </c>
      <c r="B8" s="8">
        <v>1444</v>
      </c>
      <c r="C8" s="8">
        <v>1444</v>
      </c>
      <c r="D8" s="8">
        <v>1444</v>
      </c>
      <c r="E8" s="8">
        <v>1444</v>
      </c>
      <c r="F8" s="8">
        <v>1444</v>
      </c>
      <c r="G8" s="8">
        <v>1444</v>
      </c>
      <c r="H8" s="9" t="s">
        <v>5</v>
      </c>
    </row>
    <row r="9" spans="1:8" x14ac:dyDescent="0.25">
      <c r="A9" s="7" t="s">
        <v>43</v>
      </c>
      <c r="B9" s="8">
        <v>32</v>
      </c>
      <c r="C9" s="8">
        <v>32</v>
      </c>
      <c r="D9" s="8">
        <v>32</v>
      </c>
      <c r="E9" s="8">
        <v>32</v>
      </c>
      <c r="F9" s="8">
        <v>32</v>
      </c>
      <c r="G9" s="8">
        <v>32</v>
      </c>
      <c r="H9" s="9" t="s">
        <v>5</v>
      </c>
    </row>
    <row r="10" spans="1:8" x14ac:dyDescent="0.25">
      <c r="A10" s="9" t="s">
        <v>41</v>
      </c>
      <c r="B10" s="9">
        <f>B8-16</f>
        <v>1428</v>
      </c>
      <c r="C10" s="9">
        <f t="shared" ref="C10:G10" si="1">C8-16</f>
        <v>1428</v>
      </c>
      <c r="D10" s="9">
        <f t="shared" si="1"/>
        <v>1428</v>
      </c>
      <c r="E10" s="9">
        <f t="shared" si="1"/>
        <v>1428</v>
      </c>
      <c r="F10" s="9">
        <f t="shared" si="1"/>
        <v>1428</v>
      </c>
      <c r="G10" s="9">
        <f t="shared" si="1"/>
        <v>1428</v>
      </c>
      <c r="H10" s="9" t="s">
        <v>5</v>
      </c>
    </row>
    <row r="11" spans="1:8" x14ac:dyDescent="0.25">
      <c r="A11" s="9" t="s">
        <v>8</v>
      </c>
      <c r="B11" s="9">
        <v>6</v>
      </c>
      <c r="C11" s="9">
        <v>6</v>
      </c>
      <c r="D11" s="9">
        <v>6</v>
      </c>
      <c r="E11" s="9">
        <v>6</v>
      </c>
      <c r="F11" s="9">
        <v>6</v>
      </c>
      <c r="G11" s="9">
        <v>6</v>
      </c>
      <c r="H11" s="9" t="s">
        <v>5</v>
      </c>
    </row>
    <row r="12" spans="1:8" x14ac:dyDescent="0.25">
      <c r="A12" s="9" t="s">
        <v>42</v>
      </c>
      <c r="B12" s="9">
        <f>B10/B11</f>
        <v>238</v>
      </c>
      <c r="C12" s="9">
        <f t="shared" ref="C12:G12" si="2">C10/C11</f>
        <v>238</v>
      </c>
      <c r="D12" s="9">
        <f t="shared" si="2"/>
        <v>238</v>
      </c>
      <c r="E12" s="9">
        <f t="shared" si="2"/>
        <v>238</v>
      </c>
      <c r="F12" s="9">
        <f t="shared" si="2"/>
        <v>238</v>
      </c>
      <c r="G12" s="9">
        <f t="shared" si="2"/>
        <v>238</v>
      </c>
      <c r="H12" s="9"/>
    </row>
    <row r="13" spans="1:8" x14ac:dyDescent="0.25">
      <c r="A13" s="9" t="s">
        <v>45</v>
      </c>
      <c r="B13" s="10">
        <f>B12*B7</f>
        <v>154.94791666666666</v>
      </c>
      <c r="C13" s="10">
        <f t="shared" ref="C13:G13" si="3">C12*C7</f>
        <v>309.89583333333331</v>
      </c>
      <c r="D13" s="10">
        <f t="shared" si="3"/>
        <v>619.79166666666663</v>
      </c>
      <c r="E13" s="10">
        <f t="shared" si="3"/>
        <v>1239.5833333333333</v>
      </c>
      <c r="F13" s="10">
        <f t="shared" si="3"/>
        <v>2479.1666666666665</v>
      </c>
      <c r="G13" s="10">
        <f t="shared" si="3"/>
        <v>4958.333333333333</v>
      </c>
      <c r="H13" s="9" t="s">
        <v>18</v>
      </c>
    </row>
    <row r="14" spans="1:8" x14ac:dyDescent="0.25">
      <c r="A14" s="9" t="s">
        <v>46</v>
      </c>
      <c r="B14" s="10">
        <f>1000/B13</f>
        <v>6.4537815126050422</v>
      </c>
      <c r="C14" s="10">
        <f t="shared" ref="C14:G14" si="4">1000/C13</f>
        <v>3.2268907563025211</v>
      </c>
      <c r="D14" s="10">
        <f t="shared" si="4"/>
        <v>1.6134453781512605</v>
      </c>
      <c r="E14" s="10">
        <f t="shared" si="4"/>
        <v>0.80672268907563027</v>
      </c>
      <c r="F14" s="10">
        <f t="shared" si="4"/>
        <v>0.40336134453781514</v>
      </c>
      <c r="G14" s="10">
        <f t="shared" si="4"/>
        <v>0.20168067226890757</v>
      </c>
      <c r="H14" s="9" t="s">
        <v>59</v>
      </c>
    </row>
    <row r="15" spans="1:8" x14ac:dyDescent="0.25">
      <c r="A15" s="9" t="s">
        <v>23</v>
      </c>
      <c r="B15" s="10">
        <f>(B8+B9)*B14/1000</f>
        <v>9.5257815126050431</v>
      </c>
      <c r="C15" s="10">
        <f t="shared" ref="C15:G15" si="5">(C8+C9)*C14/1000</f>
        <v>4.7628907563025216</v>
      </c>
      <c r="D15" s="10">
        <f t="shared" si="5"/>
        <v>2.3814453781512608</v>
      </c>
      <c r="E15" s="10">
        <f t="shared" si="5"/>
        <v>1.1907226890756304</v>
      </c>
      <c r="F15" s="10">
        <f t="shared" si="5"/>
        <v>0.5953613445378152</v>
      </c>
      <c r="G15" s="10">
        <f t="shared" si="5"/>
        <v>0.2976806722689076</v>
      </c>
      <c r="H15" s="9" t="s">
        <v>25</v>
      </c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47</v>
      </c>
      <c r="B17" s="11">
        <v>5</v>
      </c>
      <c r="C17" s="11">
        <v>5</v>
      </c>
      <c r="D17" s="11">
        <v>5</v>
      </c>
      <c r="E17" s="11">
        <v>5</v>
      </c>
      <c r="F17" s="11">
        <v>5</v>
      </c>
      <c r="G17" s="11">
        <v>5</v>
      </c>
      <c r="H17" s="9"/>
    </row>
    <row r="18" spans="1:8" x14ac:dyDescent="0.25">
      <c r="A18" s="9" t="s">
        <v>48</v>
      </c>
      <c r="B18" s="9">
        <f>B12*B17</f>
        <v>1190</v>
      </c>
      <c r="C18" s="9">
        <f t="shared" ref="C18:G18" si="6">C12*C17</f>
        <v>1190</v>
      </c>
      <c r="D18" s="9">
        <f t="shared" si="6"/>
        <v>1190</v>
      </c>
      <c r="E18" s="9">
        <f t="shared" si="6"/>
        <v>1190</v>
      </c>
      <c r="F18" s="9">
        <f t="shared" si="6"/>
        <v>1190</v>
      </c>
      <c r="G18" s="9">
        <f t="shared" si="6"/>
        <v>1190</v>
      </c>
      <c r="H18" s="9" t="s">
        <v>34</v>
      </c>
    </row>
    <row r="19" spans="1:8" x14ac:dyDescent="0.25">
      <c r="A19" s="9" t="s">
        <v>48</v>
      </c>
      <c r="B19" s="9">
        <f>B18*B11</f>
        <v>7140</v>
      </c>
      <c r="C19" s="9">
        <f t="shared" ref="C19:G19" si="7">C18*C11</f>
        <v>7140</v>
      </c>
      <c r="D19" s="9">
        <f t="shared" si="7"/>
        <v>7140</v>
      </c>
      <c r="E19" s="9">
        <f t="shared" si="7"/>
        <v>7140</v>
      </c>
      <c r="F19" s="9">
        <f t="shared" si="7"/>
        <v>7140</v>
      </c>
      <c r="G19" s="9">
        <f t="shared" si="7"/>
        <v>7140</v>
      </c>
      <c r="H19" s="9" t="s">
        <v>5</v>
      </c>
    </row>
    <row r="20" spans="1:8" x14ac:dyDescent="0.25">
      <c r="A20" s="9" t="s">
        <v>37</v>
      </c>
      <c r="B20" s="12">
        <f>B13*B17/1000</f>
        <v>0.77473958333333326</v>
      </c>
      <c r="C20" s="12">
        <f t="shared" ref="C20:G20" si="8">C13*C17/1000</f>
        <v>1.5494791666666665</v>
      </c>
      <c r="D20" s="12">
        <f t="shared" si="8"/>
        <v>3.098958333333333</v>
      </c>
      <c r="E20" s="12">
        <f t="shared" si="8"/>
        <v>6.1979166666666661</v>
      </c>
      <c r="F20" s="12">
        <f t="shared" si="8"/>
        <v>12.395833333333332</v>
      </c>
      <c r="G20" s="12">
        <f t="shared" si="8"/>
        <v>24.791666666666664</v>
      </c>
      <c r="H20" s="9" t="s">
        <v>38</v>
      </c>
    </row>
    <row r="21" spans="1:8" x14ac:dyDescent="0.25">
      <c r="A21" s="8" t="s">
        <v>78</v>
      </c>
      <c r="B21" s="17">
        <v>8192</v>
      </c>
      <c r="C21" s="17">
        <v>4096</v>
      </c>
      <c r="D21" s="17">
        <v>2048</v>
      </c>
      <c r="E21" s="17">
        <v>2048</v>
      </c>
      <c r="F21" s="17">
        <v>2048</v>
      </c>
      <c r="G21" s="17">
        <v>2048</v>
      </c>
      <c r="H21" s="9"/>
    </row>
    <row r="22" spans="1:8" x14ac:dyDescent="0.25">
      <c r="A22" s="8" t="s">
        <v>71</v>
      </c>
      <c r="B22" s="10">
        <f>B21/B$10</f>
        <v>5.7366946778711485</v>
      </c>
      <c r="C22" s="10">
        <f t="shared" ref="C22:G22" si="9">C21/C$10</f>
        <v>2.8683473389355743</v>
      </c>
      <c r="D22" s="10">
        <f t="shared" si="9"/>
        <v>1.4341736694677871</v>
      </c>
      <c r="E22" s="10">
        <f t="shared" si="9"/>
        <v>1.4341736694677871</v>
      </c>
      <c r="F22" s="10">
        <f t="shared" si="9"/>
        <v>1.4341736694677871</v>
      </c>
      <c r="G22" s="10">
        <f t="shared" si="9"/>
        <v>1.4341736694677871</v>
      </c>
      <c r="H22" s="9" t="s">
        <v>69</v>
      </c>
    </row>
    <row r="23" spans="1:8" x14ac:dyDescent="0.25">
      <c r="A23" s="8" t="s">
        <v>70</v>
      </c>
      <c r="B23" s="10">
        <f>B22*B$13/1000</f>
        <v>0.88888888888888884</v>
      </c>
      <c r="C23" s="10">
        <f t="shared" ref="C23:G23" si="10">C22*C$13/1000</f>
        <v>0.88888888888888884</v>
      </c>
      <c r="D23" s="10">
        <f t="shared" si="10"/>
        <v>0.88888888888888884</v>
      </c>
      <c r="E23" s="10">
        <f t="shared" si="10"/>
        <v>1.7777777777777777</v>
      </c>
      <c r="F23" s="10">
        <f t="shared" si="10"/>
        <v>3.5555555555555554</v>
      </c>
      <c r="G23" s="10">
        <f t="shared" si="10"/>
        <v>7.1111111111111107</v>
      </c>
      <c r="H23" s="9" t="s">
        <v>38</v>
      </c>
    </row>
    <row r="24" spans="1:8" x14ac:dyDescent="0.25">
      <c r="A24" s="13" t="s">
        <v>79</v>
      </c>
      <c r="B24" s="18"/>
      <c r="C24" s="18"/>
      <c r="D24" s="18"/>
      <c r="E24" s="18"/>
      <c r="F24" s="18"/>
      <c r="G24" s="18"/>
      <c r="H24" s="14"/>
    </row>
    <row r="27" spans="1:8" x14ac:dyDescent="0.25">
      <c r="A27" s="1" t="s">
        <v>49</v>
      </c>
      <c r="B27" t="s">
        <v>40</v>
      </c>
      <c r="D27" t="s">
        <v>50</v>
      </c>
    </row>
    <row r="28" spans="1:8" x14ac:dyDescent="0.25">
      <c r="A28" s="7" t="s">
        <v>15</v>
      </c>
      <c r="B28" s="11">
        <v>1536</v>
      </c>
      <c r="C28" s="11">
        <v>768</v>
      </c>
      <c r="D28" s="11">
        <v>384</v>
      </c>
      <c r="E28" s="11">
        <v>192</v>
      </c>
      <c r="F28" s="11">
        <v>96</v>
      </c>
      <c r="G28" s="11">
        <v>48</v>
      </c>
      <c r="H28" s="9" t="s">
        <v>16</v>
      </c>
    </row>
    <row r="29" spans="1:8" x14ac:dyDescent="0.25">
      <c r="A29" s="7" t="s">
        <v>63</v>
      </c>
      <c r="B29" s="8">
        <f>1000/B28</f>
        <v>0.65104166666666663</v>
      </c>
      <c r="C29" s="8">
        <f t="shared" ref="C29" si="11">1000/C28</f>
        <v>1.3020833333333333</v>
      </c>
      <c r="D29" s="8">
        <f t="shared" ref="D29" si="12">1000/D28</f>
        <v>2.6041666666666665</v>
      </c>
      <c r="E29" s="8">
        <f t="shared" ref="E29" si="13">1000/E28</f>
        <v>5.208333333333333</v>
      </c>
      <c r="F29" s="8">
        <f t="shared" ref="F29" si="14">1000/F28</f>
        <v>10.416666666666666</v>
      </c>
      <c r="G29" s="8">
        <f t="shared" ref="G29" si="15">1000/G28</f>
        <v>20.833333333333332</v>
      </c>
      <c r="H29" s="9" t="s">
        <v>18</v>
      </c>
    </row>
    <row r="30" spans="1:8" x14ac:dyDescent="0.25">
      <c r="A30" s="7" t="s">
        <v>44</v>
      </c>
      <c r="B30" s="8">
        <v>1444</v>
      </c>
      <c r="C30" s="8">
        <v>1444</v>
      </c>
      <c r="D30" s="8">
        <v>1444</v>
      </c>
      <c r="E30" s="8">
        <v>1444</v>
      </c>
      <c r="F30" s="8">
        <v>1444</v>
      </c>
      <c r="G30" s="8">
        <v>1444</v>
      </c>
      <c r="H30" s="9" t="s">
        <v>5</v>
      </c>
    </row>
    <row r="31" spans="1:8" x14ac:dyDescent="0.25">
      <c r="A31" s="7" t="s">
        <v>43</v>
      </c>
      <c r="B31" s="8">
        <v>32</v>
      </c>
      <c r="C31" s="8">
        <v>32</v>
      </c>
      <c r="D31" s="8">
        <v>32</v>
      </c>
      <c r="E31" s="8">
        <v>32</v>
      </c>
      <c r="F31" s="8">
        <v>32</v>
      </c>
      <c r="G31" s="8">
        <v>32</v>
      </c>
      <c r="H31" s="9" t="s">
        <v>5</v>
      </c>
    </row>
    <row r="32" spans="1:8" x14ac:dyDescent="0.25">
      <c r="A32" s="9" t="s">
        <v>41</v>
      </c>
      <c r="B32" s="9">
        <f>B30-16</f>
        <v>1428</v>
      </c>
      <c r="C32" s="9">
        <f t="shared" ref="C32:G32" si="16">C30-16</f>
        <v>1428</v>
      </c>
      <c r="D32" s="9">
        <f t="shared" si="16"/>
        <v>1428</v>
      </c>
      <c r="E32" s="9">
        <f t="shared" si="16"/>
        <v>1428</v>
      </c>
      <c r="F32" s="9">
        <f t="shared" si="16"/>
        <v>1428</v>
      </c>
      <c r="G32" s="9">
        <f t="shared" si="16"/>
        <v>1428</v>
      </c>
      <c r="H32" s="9" t="s">
        <v>5</v>
      </c>
    </row>
    <row r="33" spans="1:8" x14ac:dyDescent="0.25">
      <c r="A33" s="9" t="s">
        <v>8</v>
      </c>
      <c r="B33" s="9">
        <v>6</v>
      </c>
      <c r="C33" s="9">
        <v>6</v>
      </c>
      <c r="D33" s="9">
        <v>6</v>
      </c>
      <c r="E33" s="9">
        <v>6</v>
      </c>
      <c r="F33" s="9">
        <v>6</v>
      </c>
      <c r="G33" s="9">
        <v>6</v>
      </c>
      <c r="H33" s="9" t="s">
        <v>5</v>
      </c>
    </row>
    <row r="34" spans="1:8" x14ac:dyDescent="0.25">
      <c r="A34" s="9" t="s">
        <v>64</v>
      </c>
      <c r="B34" s="9">
        <f>B32/(B33*2)</f>
        <v>119</v>
      </c>
      <c r="C34" s="9">
        <f t="shared" ref="C34:G34" si="17">C32/(C33*2)</f>
        <v>119</v>
      </c>
      <c r="D34" s="9">
        <f t="shared" si="17"/>
        <v>119</v>
      </c>
      <c r="E34" s="9">
        <f t="shared" si="17"/>
        <v>119</v>
      </c>
      <c r="F34" s="9">
        <f t="shared" si="17"/>
        <v>119</v>
      </c>
      <c r="G34" s="9">
        <f t="shared" si="17"/>
        <v>119</v>
      </c>
      <c r="H34" s="9"/>
    </row>
    <row r="35" spans="1:8" x14ac:dyDescent="0.25">
      <c r="A35" s="9" t="s">
        <v>45</v>
      </c>
      <c r="B35" s="10">
        <f>B34*B29</f>
        <v>77.473958333333329</v>
      </c>
      <c r="C35" s="10">
        <f t="shared" ref="C35:G35" si="18">C34*C29</f>
        <v>154.94791666666666</v>
      </c>
      <c r="D35" s="10">
        <f t="shared" si="18"/>
        <v>309.89583333333331</v>
      </c>
      <c r="E35" s="10">
        <f t="shared" si="18"/>
        <v>619.79166666666663</v>
      </c>
      <c r="F35" s="10">
        <f t="shared" si="18"/>
        <v>1239.5833333333333</v>
      </c>
      <c r="G35" s="10">
        <f t="shared" si="18"/>
        <v>2479.1666666666665</v>
      </c>
      <c r="H35" s="9" t="s">
        <v>18</v>
      </c>
    </row>
    <row r="36" spans="1:8" x14ac:dyDescent="0.25">
      <c r="A36" s="9" t="s">
        <v>46</v>
      </c>
      <c r="B36" s="10">
        <f>1000/B35</f>
        <v>12.907563025210084</v>
      </c>
      <c r="C36" s="10">
        <f t="shared" ref="C36:G36" si="19">1000/C35</f>
        <v>6.4537815126050422</v>
      </c>
      <c r="D36" s="10">
        <f t="shared" si="19"/>
        <v>3.2268907563025211</v>
      </c>
      <c r="E36" s="10">
        <f t="shared" si="19"/>
        <v>1.6134453781512605</v>
      </c>
      <c r="F36" s="10">
        <f t="shared" si="19"/>
        <v>0.80672268907563027</v>
      </c>
      <c r="G36" s="10">
        <f t="shared" si="19"/>
        <v>0.40336134453781514</v>
      </c>
      <c r="H36" s="9" t="s">
        <v>59</v>
      </c>
    </row>
    <row r="37" spans="1:8" x14ac:dyDescent="0.25">
      <c r="A37" s="9" t="s">
        <v>23</v>
      </c>
      <c r="B37" s="10">
        <f>(B30+B31)*B36/1000</f>
        <v>19.051563025210086</v>
      </c>
      <c r="C37" s="10">
        <f t="shared" ref="C37:G37" si="20">(C30+C31)*C36/1000</f>
        <v>9.5257815126050431</v>
      </c>
      <c r="D37" s="10">
        <f t="shared" si="20"/>
        <v>4.7628907563025216</v>
      </c>
      <c r="E37" s="10">
        <f t="shared" si="20"/>
        <v>2.3814453781512608</v>
      </c>
      <c r="F37" s="10">
        <f t="shared" si="20"/>
        <v>1.1907226890756304</v>
      </c>
      <c r="G37" s="10">
        <f t="shared" si="20"/>
        <v>0.5953613445378152</v>
      </c>
      <c r="H37" s="9" t="s">
        <v>25</v>
      </c>
    </row>
    <row r="38" spans="1:8" x14ac:dyDescent="0.25">
      <c r="A38" s="9"/>
      <c r="B38" s="9"/>
      <c r="C38" s="9"/>
      <c r="D38" s="9"/>
      <c r="E38" s="9"/>
      <c r="F38" s="9"/>
      <c r="G38" s="9"/>
      <c r="H38" s="9"/>
    </row>
    <row r="39" spans="1:8" x14ac:dyDescent="0.25">
      <c r="A39" s="9" t="s">
        <v>47</v>
      </c>
      <c r="B39" s="11">
        <v>20</v>
      </c>
      <c r="C39" s="11">
        <v>20</v>
      </c>
      <c r="D39" s="11">
        <v>20</v>
      </c>
      <c r="E39" s="11">
        <v>20</v>
      </c>
      <c r="F39" s="11">
        <v>20</v>
      </c>
      <c r="G39" s="11">
        <v>20</v>
      </c>
      <c r="H39" s="9"/>
    </row>
    <row r="40" spans="1:8" x14ac:dyDescent="0.25">
      <c r="A40" s="9" t="s">
        <v>48</v>
      </c>
      <c r="B40" s="9">
        <f>B34*B39</f>
        <v>2380</v>
      </c>
      <c r="C40" s="9">
        <f t="shared" ref="C40:G40" si="21">C34*C39</f>
        <v>2380</v>
      </c>
      <c r="D40" s="9">
        <f t="shared" si="21"/>
        <v>2380</v>
      </c>
      <c r="E40" s="9">
        <f t="shared" si="21"/>
        <v>2380</v>
      </c>
      <c r="F40" s="9">
        <f t="shared" si="21"/>
        <v>2380</v>
      </c>
      <c r="G40" s="9">
        <f t="shared" si="21"/>
        <v>2380</v>
      </c>
      <c r="H40" s="9" t="s">
        <v>34</v>
      </c>
    </row>
    <row r="41" spans="1:8" x14ac:dyDescent="0.25">
      <c r="A41" s="9" t="s">
        <v>48</v>
      </c>
      <c r="B41" s="9">
        <f>B40*B33*2</f>
        <v>28560</v>
      </c>
      <c r="C41" s="9">
        <f t="shared" ref="C41:G41" si="22">C40*C33*2</f>
        <v>28560</v>
      </c>
      <c r="D41" s="9">
        <f t="shared" si="22"/>
        <v>28560</v>
      </c>
      <c r="E41" s="9">
        <f t="shared" si="22"/>
        <v>28560</v>
      </c>
      <c r="F41" s="9">
        <f t="shared" si="22"/>
        <v>28560</v>
      </c>
      <c r="G41" s="9">
        <f t="shared" si="22"/>
        <v>28560</v>
      </c>
      <c r="H41" s="9" t="s">
        <v>5</v>
      </c>
    </row>
    <row r="42" spans="1:8" x14ac:dyDescent="0.25">
      <c r="A42" s="9" t="s">
        <v>37</v>
      </c>
      <c r="B42" s="12">
        <f>B35*B39/1000</f>
        <v>1.5494791666666665</v>
      </c>
      <c r="C42" s="12">
        <f t="shared" ref="C42:G42" si="23">C35*C39/1000</f>
        <v>3.098958333333333</v>
      </c>
      <c r="D42" s="12">
        <f t="shared" si="23"/>
        <v>6.1979166666666661</v>
      </c>
      <c r="E42" s="12">
        <f t="shared" si="23"/>
        <v>12.395833333333332</v>
      </c>
      <c r="F42" s="12">
        <f t="shared" si="23"/>
        <v>24.791666666666664</v>
      </c>
      <c r="G42" s="12">
        <f t="shared" si="23"/>
        <v>49.583333333333329</v>
      </c>
      <c r="H42" s="9" t="s">
        <v>38</v>
      </c>
    </row>
    <row r="43" spans="1:8" x14ac:dyDescent="0.25">
      <c r="A43" s="8" t="s">
        <v>78</v>
      </c>
      <c r="B43" s="17">
        <v>16384</v>
      </c>
      <c r="C43" s="17">
        <v>8192</v>
      </c>
      <c r="D43" s="17">
        <v>4096</v>
      </c>
      <c r="E43" s="17">
        <v>2048</v>
      </c>
      <c r="F43" s="17">
        <v>2048</v>
      </c>
      <c r="G43" s="17">
        <v>2048</v>
      </c>
      <c r="H43" s="9"/>
    </row>
    <row r="44" spans="1:8" x14ac:dyDescent="0.25">
      <c r="A44" s="8" t="s">
        <v>71</v>
      </c>
      <c r="B44" s="10">
        <f>B43/B$10</f>
        <v>11.473389355742297</v>
      </c>
      <c r="C44" s="10">
        <f t="shared" ref="C44" si="24">C43/C$10</f>
        <v>5.7366946778711485</v>
      </c>
      <c r="D44" s="10">
        <f t="shared" ref="D44" si="25">D43/D$10</f>
        <v>2.8683473389355743</v>
      </c>
      <c r="E44" s="10">
        <f t="shared" ref="E44" si="26">E43/E$10</f>
        <v>1.4341736694677871</v>
      </c>
      <c r="F44" s="10">
        <f t="shared" ref="F44" si="27">F43/F$10</f>
        <v>1.4341736694677871</v>
      </c>
      <c r="G44" s="10">
        <f t="shared" ref="G44" si="28">G43/G$10</f>
        <v>1.4341736694677871</v>
      </c>
      <c r="H44" s="9" t="s">
        <v>69</v>
      </c>
    </row>
    <row r="45" spans="1:8" x14ac:dyDescent="0.25">
      <c r="A45" s="8" t="s">
        <v>70</v>
      </c>
      <c r="B45" s="10">
        <f>B44*B$35/1000</f>
        <v>0.88888888888888884</v>
      </c>
      <c r="C45" s="10">
        <f t="shared" ref="C45:G45" si="29">C44*C$35/1000</f>
        <v>0.88888888888888884</v>
      </c>
      <c r="D45" s="10">
        <f t="shared" si="29"/>
        <v>0.88888888888888884</v>
      </c>
      <c r="E45" s="10">
        <f t="shared" si="29"/>
        <v>0.88888888888888884</v>
      </c>
      <c r="F45" s="10">
        <f t="shared" si="29"/>
        <v>1.7777777777777777</v>
      </c>
      <c r="G45" s="10">
        <f t="shared" si="29"/>
        <v>3.5555555555555554</v>
      </c>
      <c r="H45" s="9" t="s">
        <v>38</v>
      </c>
    </row>
    <row r="46" spans="1:8" x14ac:dyDescent="0.25">
      <c r="A46" s="13" t="s">
        <v>79</v>
      </c>
    </row>
    <row r="47" spans="1:8" x14ac:dyDescent="0.25">
      <c r="A47" s="13" t="s">
        <v>82</v>
      </c>
    </row>
    <row r="49" spans="1:7" x14ac:dyDescent="0.25">
      <c r="A49" s="1" t="s">
        <v>51</v>
      </c>
      <c r="B49" t="s">
        <v>52</v>
      </c>
    </row>
    <row r="50" spans="1:7" x14ac:dyDescent="0.25">
      <c r="A50" s="7" t="s">
        <v>15</v>
      </c>
      <c r="B50" s="8">
        <v>48</v>
      </c>
      <c r="C50" s="9" t="s">
        <v>16</v>
      </c>
      <c r="D50" s="3"/>
      <c r="E50" s="3"/>
      <c r="F50" s="3"/>
      <c r="G50" s="3"/>
    </row>
    <row r="51" spans="1:7" x14ac:dyDescent="0.25">
      <c r="A51" s="7" t="s">
        <v>63</v>
      </c>
      <c r="B51" s="8">
        <f>1000/B50</f>
        <v>20.833333333333332</v>
      </c>
      <c r="C51" s="9" t="s">
        <v>18</v>
      </c>
      <c r="D51" s="3"/>
      <c r="E51" s="3"/>
      <c r="F51" s="3"/>
      <c r="G51" s="3"/>
    </row>
    <row r="52" spans="1:7" x14ac:dyDescent="0.25">
      <c r="A52" s="7" t="s">
        <v>44</v>
      </c>
      <c r="B52" s="8">
        <v>132</v>
      </c>
      <c r="C52" s="9" t="s">
        <v>5</v>
      </c>
      <c r="D52" s="3"/>
      <c r="E52" s="3"/>
      <c r="F52" s="3"/>
      <c r="G52" s="3"/>
    </row>
    <row r="53" spans="1:7" x14ac:dyDescent="0.25">
      <c r="A53" s="7" t="s">
        <v>43</v>
      </c>
      <c r="B53" s="8">
        <v>32</v>
      </c>
      <c r="C53" s="9" t="s">
        <v>5</v>
      </c>
      <c r="D53" s="3"/>
      <c r="E53" s="3"/>
      <c r="F53" s="3"/>
      <c r="G53" s="3"/>
    </row>
    <row r="54" spans="1:7" x14ac:dyDescent="0.25">
      <c r="A54" s="9" t="s">
        <v>41</v>
      </c>
      <c r="B54" s="9">
        <f>B52-4</f>
        <v>128</v>
      </c>
      <c r="C54" s="9" t="s">
        <v>5</v>
      </c>
    </row>
    <row r="55" spans="1:7" x14ac:dyDescent="0.25">
      <c r="A55" s="9" t="s">
        <v>53</v>
      </c>
      <c r="B55" s="9">
        <v>2</v>
      </c>
      <c r="C55" s="9" t="s">
        <v>5</v>
      </c>
    </row>
    <row r="56" spans="1:7" x14ac:dyDescent="0.25">
      <c r="A56" s="9" t="s">
        <v>42</v>
      </c>
      <c r="B56" s="9">
        <f>B54/B55</f>
        <v>64</v>
      </c>
      <c r="C56" s="9"/>
    </row>
    <row r="57" spans="1:7" x14ac:dyDescent="0.25">
      <c r="A57" s="9" t="s">
        <v>45</v>
      </c>
      <c r="B57" s="10">
        <f>B56*B51</f>
        <v>1333.3333333333333</v>
      </c>
      <c r="C57" s="9" t="s">
        <v>18</v>
      </c>
      <c r="D57" s="6"/>
      <c r="E57" s="6"/>
      <c r="F57" s="6"/>
      <c r="G57" s="6"/>
    </row>
    <row r="58" spans="1:7" x14ac:dyDescent="0.25">
      <c r="A58" s="9" t="s">
        <v>46</v>
      </c>
      <c r="B58" s="10">
        <f>1000/B57</f>
        <v>0.75</v>
      </c>
      <c r="C58" s="9" t="s">
        <v>59</v>
      </c>
      <c r="D58" s="6"/>
      <c r="E58" s="6"/>
      <c r="F58" s="6"/>
      <c r="G58" s="6"/>
    </row>
    <row r="59" spans="1:7" x14ac:dyDescent="0.25">
      <c r="A59" s="9" t="s">
        <v>23</v>
      </c>
      <c r="B59" s="10">
        <f>(B52+B53)*B58/1000</f>
        <v>0.123</v>
      </c>
      <c r="C59" s="9" t="s">
        <v>25</v>
      </c>
      <c r="D59" s="6"/>
      <c r="E59" s="6"/>
      <c r="F59" s="6"/>
      <c r="G59" s="6"/>
    </row>
    <row r="60" spans="1:7" x14ac:dyDescent="0.25">
      <c r="A60" s="9"/>
      <c r="B60" s="9"/>
      <c r="C60" s="9"/>
    </row>
    <row r="61" spans="1:7" x14ac:dyDescent="0.25">
      <c r="A61" s="9" t="s">
        <v>47</v>
      </c>
      <c r="B61" s="11">
        <v>10</v>
      </c>
      <c r="C61" s="9"/>
      <c r="D61" s="3"/>
      <c r="E61" s="3"/>
      <c r="F61" s="3"/>
      <c r="G61" s="3"/>
    </row>
    <row r="62" spans="1:7" x14ac:dyDescent="0.25">
      <c r="A62" s="9" t="s">
        <v>54</v>
      </c>
      <c r="B62" s="9">
        <f>B56*B61</f>
        <v>640</v>
      </c>
      <c r="C62" s="9" t="s">
        <v>34</v>
      </c>
    </row>
    <row r="63" spans="1:7" x14ac:dyDescent="0.25">
      <c r="A63" s="9" t="s">
        <v>54</v>
      </c>
      <c r="B63" s="9">
        <f>B62*B55</f>
        <v>1280</v>
      </c>
      <c r="C63" s="9" t="s">
        <v>5</v>
      </c>
    </row>
    <row r="64" spans="1:7" x14ac:dyDescent="0.25">
      <c r="A64" s="9" t="s">
        <v>37</v>
      </c>
      <c r="B64" s="12">
        <f>B57*B61/1000</f>
        <v>13.333333333333332</v>
      </c>
      <c r="C64" s="9" t="s">
        <v>38</v>
      </c>
      <c r="D64" s="5"/>
      <c r="E64" s="5"/>
      <c r="F64" s="5"/>
      <c r="G64" s="5"/>
    </row>
    <row r="65" spans="1:7" x14ac:dyDescent="0.25">
      <c r="A65" s="8" t="s">
        <v>72</v>
      </c>
      <c r="B65" s="16">
        <f>256/B$54</f>
        <v>2</v>
      </c>
      <c r="C65" s="8" t="s">
        <v>69</v>
      </c>
      <c r="D65" s="5"/>
      <c r="E65" s="5"/>
      <c r="F65" s="5"/>
      <c r="G65" s="5"/>
    </row>
    <row r="66" spans="1:7" x14ac:dyDescent="0.25">
      <c r="A66" s="8" t="s">
        <v>72</v>
      </c>
      <c r="B66" s="12">
        <f>B$57*B65/1000</f>
        <v>2.6666666666666665</v>
      </c>
      <c r="C66" s="8" t="s">
        <v>38</v>
      </c>
      <c r="D66" s="5"/>
      <c r="E66" s="5"/>
      <c r="F66" s="5"/>
      <c r="G66" s="5"/>
    </row>
    <row r="67" spans="1:7" x14ac:dyDescent="0.25">
      <c r="A67" s="8" t="s">
        <v>73</v>
      </c>
      <c r="B67" s="16">
        <f>512/B$54</f>
        <v>4</v>
      </c>
      <c r="C67" s="8" t="s">
        <v>69</v>
      </c>
      <c r="D67" s="5"/>
      <c r="E67" s="5"/>
      <c r="F67" s="5"/>
      <c r="G67" s="5"/>
    </row>
    <row r="68" spans="1:7" x14ac:dyDescent="0.25">
      <c r="A68" s="8" t="s">
        <v>73</v>
      </c>
      <c r="B68" s="12">
        <f>B$57*B67/1000</f>
        <v>5.333333333333333</v>
      </c>
      <c r="C68" s="8" t="s">
        <v>38</v>
      </c>
      <c r="D68" s="5"/>
      <c r="E68" s="5"/>
      <c r="F68" s="5"/>
      <c r="G68" s="5"/>
    </row>
    <row r="69" spans="1:7" x14ac:dyDescent="0.25">
      <c r="A69" s="8" t="s">
        <v>74</v>
      </c>
      <c r="B69" s="16">
        <f>1024/B$54</f>
        <v>8</v>
      </c>
      <c r="C69" s="8" t="s">
        <v>69</v>
      </c>
      <c r="D69" s="5"/>
      <c r="E69" s="5"/>
      <c r="F69" s="5"/>
      <c r="G69" s="5"/>
    </row>
    <row r="70" spans="1:7" x14ac:dyDescent="0.25">
      <c r="A70" s="8" t="s">
        <v>74</v>
      </c>
      <c r="B70" s="12">
        <f>B$57*B69/1000</f>
        <v>10.666666666666666</v>
      </c>
      <c r="C70" s="8" t="s">
        <v>38</v>
      </c>
      <c r="D70" s="5"/>
      <c r="E70" s="5"/>
      <c r="F70" s="5"/>
      <c r="G70" s="5"/>
    </row>
    <row r="71" spans="1:7" x14ac:dyDescent="0.25">
      <c r="A71" s="13" t="s">
        <v>80</v>
      </c>
    </row>
    <row r="74" spans="1:7" x14ac:dyDescent="0.25">
      <c r="A74" s="1" t="s">
        <v>55</v>
      </c>
      <c r="B74" t="s">
        <v>56</v>
      </c>
    </row>
    <row r="75" spans="1:7" x14ac:dyDescent="0.25">
      <c r="A75" s="7" t="s">
        <v>15</v>
      </c>
      <c r="B75" s="8">
        <v>48</v>
      </c>
      <c r="C75" s="9" t="s">
        <v>16</v>
      </c>
      <c r="D75" s="3"/>
      <c r="E75" s="3"/>
      <c r="F75" s="3"/>
      <c r="G75" s="3"/>
    </row>
    <row r="76" spans="1:7" x14ac:dyDescent="0.25">
      <c r="A76" s="7" t="s">
        <v>63</v>
      </c>
      <c r="B76" s="8">
        <f>1000/B75</f>
        <v>20.833333333333332</v>
      </c>
      <c r="C76" s="9" t="s">
        <v>18</v>
      </c>
      <c r="D76" s="3"/>
      <c r="E76" s="3"/>
      <c r="F76" s="3"/>
      <c r="G76" s="3"/>
    </row>
    <row r="77" spans="1:7" x14ac:dyDescent="0.25">
      <c r="A77" s="7" t="s">
        <v>44</v>
      </c>
      <c r="B77" s="8">
        <v>260</v>
      </c>
      <c r="C77" s="9" t="s">
        <v>5</v>
      </c>
      <c r="D77" s="3"/>
      <c r="E77" s="3"/>
      <c r="F77" s="3"/>
      <c r="G77" s="3"/>
    </row>
    <row r="78" spans="1:7" x14ac:dyDescent="0.25">
      <c r="A78" s="7" t="s">
        <v>43</v>
      </c>
      <c r="B78" s="8">
        <v>32</v>
      </c>
      <c r="C78" s="9" t="s">
        <v>5</v>
      </c>
      <c r="D78" s="3"/>
      <c r="E78" s="3"/>
      <c r="F78" s="3"/>
      <c r="G78" s="3"/>
    </row>
    <row r="79" spans="1:7" x14ac:dyDescent="0.25">
      <c r="A79" s="9" t="s">
        <v>41</v>
      </c>
      <c r="B79" s="9">
        <f>B77-4</f>
        <v>256</v>
      </c>
      <c r="C79" s="9" t="s">
        <v>5</v>
      </c>
    </row>
    <row r="80" spans="1:7" x14ac:dyDescent="0.25">
      <c r="A80" s="9" t="s">
        <v>57</v>
      </c>
      <c r="B80" s="9">
        <v>4</v>
      </c>
      <c r="C80" s="9" t="s">
        <v>5</v>
      </c>
    </row>
    <row r="81" spans="1:7" x14ac:dyDescent="0.25">
      <c r="A81" s="9" t="s">
        <v>58</v>
      </c>
      <c r="B81" s="9">
        <f>B79/B80</f>
        <v>64</v>
      </c>
      <c r="C81" s="9"/>
    </row>
    <row r="82" spans="1:7" x14ac:dyDescent="0.25">
      <c r="A82" s="9" t="s">
        <v>45</v>
      </c>
      <c r="B82" s="10">
        <f>B81*B76</f>
        <v>1333.3333333333333</v>
      </c>
      <c r="C82" s="9" t="s">
        <v>18</v>
      </c>
      <c r="D82" s="6"/>
      <c r="E82" s="6"/>
      <c r="F82" s="6"/>
      <c r="G82" s="6"/>
    </row>
    <row r="83" spans="1:7" x14ac:dyDescent="0.25">
      <c r="A83" s="9" t="s">
        <v>46</v>
      </c>
      <c r="B83" s="10">
        <f>1000/B82</f>
        <v>0.75</v>
      </c>
      <c r="C83" s="9" t="s">
        <v>59</v>
      </c>
      <c r="D83" s="6"/>
      <c r="E83" s="6"/>
      <c r="F83" s="6"/>
      <c r="G83" s="6"/>
    </row>
    <row r="84" spans="1:7" x14ac:dyDescent="0.25">
      <c r="A84" s="9" t="s">
        <v>23</v>
      </c>
      <c r="B84" s="10">
        <f>(B77+B78)*B83/1000</f>
        <v>0.219</v>
      </c>
      <c r="C84" s="9" t="s">
        <v>25</v>
      </c>
      <c r="D84" s="6"/>
      <c r="E84" s="6"/>
      <c r="F84" s="6"/>
      <c r="G84" s="6"/>
    </row>
    <row r="85" spans="1:7" x14ac:dyDescent="0.25">
      <c r="A85" s="9"/>
      <c r="B85" s="9"/>
      <c r="C85" s="9"/>
    </row>
    <row r="86" spans="1:7" x14ac:dyDescent="0.25">
      <c r="A86" s="9" t="s">
        <v>47</v>
      </c>
      <c r="B86" s="11">
        <v>10</v>
      </c>
      <c r="C86" s="9"/>
      <c r="D86" s="3"/>
      <c r="E86" s="3"/>
      <c r="F86" s="3"/>
      <c r="G86" s="3"/>
    </row>
    <row r="87" spans="1:7" x14ac:dyDescent="0.25">
      <c r="A87" s="9" t="s">
        <v>60</v>
      </c>
      <c r="B87" s="9">
        <f>B81*B86</f>
        <v>640</v>
      </c>
      <c r="C87" s="9" t="s">
        <v>34</v>
      </c>
    </row>
    <row r="88" spans="1:7" x14ac:dyDescent="0.25">
      <c r="A88" s="9" t="s">
        <v>60</v>
      </c>
      <c r="B88" s="9">
        <f>B87*B80</f>
        <v>2560</v>
      </c>
      <c r="C88" s="9" t="s">
        <v>5</v>
      </c>
    </row>
    <row r="89" spans="1:7" x14ac:dyDescent="0.25">
      <c r="A89" s="9" t="s">
        <v>37</v>
      </c>
      <c r="B89" s="12">
        <f>B82*B86/1000</f>
        <v>13.333333333333332</v>
      </c>
      <c r="C89" s="9" t="s">
        <v>38</v>
      </c>
      <c r="D89" s="5"/>
      <c r="E89" s="5"/>
      <c r="F89" s="5"/>
      <c r="G89" s="5"/>
    </row>
    <row r="90" spans="1:7" x14ac:dyDescent="0.25">
      <c r="A90" s="8" t="s">
        <v>73</v>
      </c>
      <c r="B90" s="16">
        <f>512/B$79</f>
        <v>2</v>
      </c>
      <c r="C90" s="8" t="s">
        <v>69</v>
      </c>
      <c r="D90" s="5"/>
      <c r="E90" s="5"/>
      <c r="F90" s="5"/>
      <c r="G90" s="5"/>
    </row>
    <row r="91" spans="1:7" x14ac:dyDescent="0.25">
      <c r="A91" s="8" t="s">
        <v>73</v>
      </c>
      <c r="B91" s="12">
        <f>B$81*B$76*B90/1000</f>
        <v>2.6666666666666665</v>
      </c>
      <c r="C91" s="8" t="s">
        <v>38</v>
      </c>
      <c r="D91" s="5"/>
      <c r="E91" s="5"/>
      <c r="F91" s="5"/>
      <c r="G91" s="5"/>
    </row>
    <row r="92" spans="1:7" x14ac:dyDescent="0.25">
      <c r="A92" s="8" t="s">
        <v>74</v>
      </c>
      <c r="B92" s="16">
        <f>1024/B$79</f>
        <v>4</v>
      </c>
      <c r="C92" s="8" t="s">
        <v>69</v>
      </c>
      <c r="D92" s="5"/>
      <c r="E92" s="5"/>
      <c r="F92" s="5"/>
      <c r="G92" s="5"/>
    </row>
    <row r="93" spans="1:7" x14ac:dyDescent="0.25">
      <c r="A93" s="8" t="s">
        <v>74</v>
      </c>
      <c r="B93" s="12">
        <f>B$81*B$76*B92/1000</f>
        <v>5.333333333333333</v>
      </c>
      <c r="C93" s="8" t="s">
        <v>38</v>
      </c>
      <c r="D93" s="5"/>
      <c r="E93" s="5"/>
      <c r="F93" s="5"/>
      <c r="G93" s="5"/>
    </row>
    <row r="94" spans="1:7" x14ac:dyDescent="0.25">
      <c r="A94" s="8" t="s">
        <v>75</v>
      </c>
      <c r="B94" s="16">
        <f>2048/B$79</f>
        <v>8</v>
      </c>
      <c r="C94" s="8" t="s">
        <v>69</v>
      </c>
      <c r="D94" s="5"/>
      <c r="E94" s="5"/>
      <c r="F94" s="5"/>
      <c r="G94" s="5"/>
    </row>
    <row r="95" spans="1:7" x14ac:dyDescent="0.25">
      <c r="A95" s="8" t="s">
        <v>75</v>
      </c>
      <c r="B95" s="12">
        <f>B$81*B$76*B94/1000</f>
        <v>10.666666666666666</v>
      </c>
      <c r="C95" s="8" t="s">
        <v>38</v>
      </c>
      <c r="D95" s="5"/>
      <c r="E95" s="5"/>
      <c r="F95" s="5"/>
      <c r="G95" s="5"/>
    </row>
    <row r="96" spans="1:7" x14ac:dyDescent="0.25">
      <c r="A96" s="13" t="s">
        <v>81</v>
      </c>
      <c r="B96" s="15"/>
      <c r="C96" s="14"/>
      <c r="D96" s="5"/>
      <c r="E96" s="5"/>
      <c r="F96" s="5"/>
      <c r="G96" s="5"/>
    </row>
    <row r="99" spans="1:7" x14ac:dyDescent="0.25">
      <c r="A99" s="1" t="s">
        <v>61</v>
      </c>
      <c r="B99" t="s">
        <v>62</v>
      </c>
    </row>
    <row r="100" spans="1:7" x14ac:dyDescent="0.25">
      <c r="A100" s="7" t="s">
        <v>15</v>
      </c>
      <c r="B100" s="8">
        <v>192</v>
      </c>
      <c r="C100" s="8">
        <v>192</v>
      </c>
      <c r="D100" s="9" t="s">
        <v>16</v>
      </c>
      <c r="E100" s="3"/>
      <c r="F100" s="3"/>
      <c r="G100" s="3"/>
    </row>
    <row r="101" spans="1:7" x14ac:dyDescent="0.25">
      <c r="A101" s="7" t="s">
        <v>63</v>
      </c>
      <c r="B101" s="8">
        <f>1000/B100</f>
        <v>5.208333333333333</v>
      </c>
      <c r="C101" s="8">
        <f>1000/C100</f>
        <v>5.208333333333333</v>
      </c>
      <c r="D101" s="9" t="s">
        <v>18</v>
      </c>
      <c r="E101" s="3"/>
      <c r="F101" s="3"/>
      <c r="G101" s="3"/>
    </row>
    <row r="102" spans="1:7" x14ac:dyDescent="0.25">
      <c r="A102" s="7" t="s">
        <v>44</v>
      </c>
      <c r="B102" s="8">
        <v>1444</v>
      </c>
      <c r="C102" s="8">
        <v>1444</v>
      </c>
      <c r="D102" s="9" t="s">
        <v>5</v>
      </c>
      <c r="E102" s="3"/>
      <c r="F102" s="3"/>
      <c r="G102" s="3"/>
    </row>
    <row r="103" spans="1:7" x14ac:dyDescent="0.25">
      <c r="A103" s="7" t="s">
        <v>43</v>
      </c>
      <c r="B103" s="8">
        <v>32</v>
      </c>
      <c r="C103" s="8">
        <v>32</v>
      </c>
      <c r="D103" s="9" t="s">
        <v>5</v>
      </c>
      <c r="E103" s="3"/>
      <c r="F103" s="3"/>
      <c r="G103" s="3"/>
    </row>
    <row r="104" spans="1:7" x14ac:dyDescent="0.25">
      <c r="A104" s="9" t="s">
        <v>41</v>
      </c>
      <c r="B104" s="9">
        <f>B102-4</f>
        <v>1440</v>
      </c>
      <c r="C104" s="9">
        <f>C102-4</f>
        <v>1440</v>
      </c>
      <c r="D104" s="9" t="s">
        <v>5</v>
      </c>
    </row>
    <row r="105" spans="1:7" x14ac:dyDescent="0.25">
      <c r="A105" s="9" t="s">
        <v>65</v>
      </c>
      <c r="B105" s="11" t="s">
        <v>66</v>
      </c>
      <c r="C105" s="11" t="s">
        <v>67</v>
      </c>
      <c r="D105" s="9"/>
    </row>
    <row r="106" spans="1:7" x14ac:dyDescent="0.25">
      <c r="A106" s="9" t="s">
        <v>8</v>
      </c>
      <c r="B106" s="9">
        <v>6</v>
      </c>
      <c r="C106" s="9">
        <v>6</v>
      </c>
      <c r="D106" s="9" t="s">
        <v>5</v>
      </c>
    </row>
    <row r="107" spans="1:7" x14ac:dyDescent="0.25">
      <c r="A107" s="9" t="s">
        <v>42</v>
      </c>
      <c r="B107" s="9">
        <f>IF(B105="Y",B104/(2*B106),B104/B106)</f>
        <v>240</v>
      </c>
      <c r="C107" s="9">
        <f>IF(C105="Y",C104/(2*C106),C104/C106)</f>
        <v>120</v>
      </c>
      <c r="D107" s="9"/>
    </row>
    <row r="108" spans="1:7" x14ac:dyDescent="0.25">
      <c r="A108" s="9" t="s">
        <v>45</v>
      </c>
      <c r="B108" s="10">
        <f>B107*B101</f>
        <v>1250</v>
      </c>
      <c r="C108" s="10">
        <f>C107*C101</f>
        <v>625</v>
      </c>
      <c r="D108" s="9" t="s">
        <v>18</v>
      </c>
      <c r="E108" s="6"/>
      <c r="F108" s="6"/>
      <c r="G108" s="6"/>
    </row>
    <row r="109" spans="1:7" x14ac:dyDescent="0.25">
      <c r="A109" s="9" t="s">
        <v>46</v>
      </c>
      <c r="B109" s="10">
        <f>1000/B108</f>
        <v>0.8</v>
      </c>
      <c r="C109" s="10">
        <f>1000/C108</f>
        <v>1.6</v>
      </c>
      <c r="D109" s="9" t="s">
        <v>59</v>
      </c>
      <c r="E109" s="6"/>
      <c r="F109" s="6"/>
      <c r="G109" s="6"/>
    </row>
    <row r="110" spans="1:7" x14ac:dyDescent="0.25">
      <c r="A110" s="9" t="s">
        <v>23</v>
      </c>
      <c r="B110" s="10">
        <f>(B102+B103)*B109/1000</f>
        <v>1.1807999999999998</v>
      </c>
      <c r="C110" s="10">
        <f>(C102+C103)*C109/1000</f>
        <v>2.3615999999999997</v>
      </c>
      <c r="D110" s="9" t="s">
        <v>25</v>
      </c>
      <c r="E110" s="6"/>
      <c r="F110" s="6"/>
      <c r="G110" s="6"/>
    </row>
    <row r="111" spans="1:7" x14ac:dyDescent="0.25">
      <c r="A111" s="9"/>
      <c r="B111" s="9"/>
      <c r="C111" s="9"/>
      <c r="D111" s="9"/>
    </row>
    <row r="112" spans="1:7" x14ac:dyDescent="0.25">
      <c r="A112" s="9" t="s">
        <v>47</v>
      </c>
      <c r="B112" s="11">
        <v>10</v>
      </c>
      <c r="C112" s="11">
        <v>10</v>
      </c>
      <c r="D112" s="9"/>
      <c r="E112" s="3"/>
      <c r="F112" s="3"/>
      <c r="G112" s="3"/>
    </row>
    <row r="113" spans="1:7" x14ac:dyDescent="0.25">
      <c r="A113" s="9" t="s">
        <v>48</v>
      </c>
      <c r="B113" s="9">
        <f>B107*B112</f>
        <v>2400</v>
      </c>
      <c r="C113" s="9">
        <f>C107*C112</f>
        <v>1200</v>
      </c>
      <c r="D113" s="9" t="s">
        <v>34</v>
      </c>
    </row>
    <row r="114" spans="1:7" x14ac:dyDescent="0.25">
      <c r="A114" s="9" t="s">
        <v>48</v>
      </c>
      <c r="B114" s="9">
        <f>B113*B106</f>
        <v>14400</v>
      </c>
      <c r="C114" s="9">
        <f>C113*C106</f>
        <v>7200</v>
      </c>
      <c r="D114" s="9" t="s">
        <v>5</v>
      </c>
    </row>
    <row r="115" spans="1:7" x14ac:dyDescent="0.25">
      <c r="A115" s="9" t="s">
        <v>37</v>
      </c>
      <c r="B115" s="12">
        <f>B108*B112/1000</f>
        <v>12.5</v>
      </c>
      <c r="C115" s="12">
        <f>C108*C112/1000</f>
        <v>6.25</v>
      </c>
      <c r="D115" s="9" t="s">
        <v>38</v>
      </c>
      <c r="E115" s="5"/>
      <c r="F115" s="5"/>
      <c r="G115" s="5"/>
    </row>
    <row r="116" spans="1:7" x14ac:dyDescent="0.25">
      <c r="A116" s="8" t="s">
        <v>75</v>
      </c>
      <c r="B116" s="10">
        <f>2048/B$104</f>
        <v>1.4222222222222223</v>
      </c>
      <c r="C116" s="10">
        <f>2048/C$104</f>
        <v>1.4222222222222223</v>
      </c>
      <c r="D116" s="8" t="s">
        <v>69</v>
      </c>
    </row>
    <row r="117" spans="1:7" x14ac:dyDescent="0.25">
      <c r="A117" s="8" t="s">
        <v>75</v>
      </c>
      <c r="B117" s="10">
        <f>B$107*B$101*B116/1000</f>
        <v>1.7777777777777779</v>
      </c>
      <c r="C117" s="10">
        <f>C107*C101*C116/1000</f>
        <v>0.88888888888888895</v>
      </c>
      <c r="D117" s="8" t="s">
        <v>38</v>
      </c>
    </row>
    <row r="118" spans="1:7" x14ac:dyDescent="0.25">
      <c r="A118" s="8" t="s">
        <v>76</v>
      </c>
      <c r="B118" s="10">
        <f>4096/B$104</f>
        <v>2.8444444444444446</v>
      </c>
      <c r="C118" s="10">
        <f>4096/C$104</f>
        <v>2.8444444444444446</v>
      </c>
      <c r="D118" s="8" t="s">
        <v>69</v>
      </c>
    </row>
    <row r="119" spans="1:7" x14ac:dyDescent="0.25">
      <c r="A119" s="8" t="s">
        <v>76</v>
      </c>
      <c r="B119" s="10">
        <f>B$107*B$101*B118/1000</f>
        <v>3.5555555555555558</v>
      </c>
      <c r="C119" s="10">
        <f>C$107*C$101*C118/1000</f>
        <v>1.7777777777777779</v>
      </c>
      <c r="D119" s="8" t="s">
        <v>38</v>
      </c>
    </row>
    <row r="120" spans="1:7" x14ac:dyDescent="0.25">
      <c r="A120" s="8" t="s">
        <v>77</v>
      </c>
      <c r="B120" s="10">
        <f>8192/B$104</f>
        <v>5.6888888888888891</v>
      </c>
      <c r="C120" s="10">
        <f>8192/C$104</f>
        <v>5.6888888888888891</v>
      </c>
      <c r="D120" s="8" t="s">
        <v>69</v>
      </c>
    </row>
    <row r="121" spans="1:7" x14ac:dyDescent="0.25">
      <c r="A121" s="8" t="s">
        <v>77</v>
      </c>
      <c r="B121" s="10">
        <f>B$107*B$101*B120/1000</f>
        <v>7.1111111111111116</v>
      </c>
      <c r="C121" s="10">
        <f>C$107*C$101*C120/1000</f>
        <v>3.5555555555555558</v>
      </c>
      <c r="D121" s="8" t="s">
        <v>38</v>
      </c>
    </row>
    <row r="122" spans="1:7" x14ac:dyDescent="0.25">
      <c r="A122" s="1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 1</vt:lpstr>
      <vt:lpstr>Protocol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2021-01-02T12:36:03Z</dcterms:created>
  <dcterms:modified xsi:type="dcterms:W3CDTF">2021-04-09T17:17:23Z</dcterms:modified>
</cp:coreProperties>
</file>