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WorkGrp\Investments\Equities\Stock Analysis\"/>
    </mc:Choice>
  </mc:AlternateContent>
  <xr:revisionPtr revIDLastSave="0" documentId="13_ncr:1_{82794939-5937-4D76-9028-51707E53B3FE}" xr6:coauthVersionLast="47" xr6:coauthVersionMax="47" xr10:uidLastSave="{00000000-0000-0000-0000-000000000000}"/>
  <bookViews>
    <workbookView xWindow="-120" yWindow="-120" windowWidth="29040" windowHeight="15720" tabRatio="809" firstSheet="1" activeTab="6" xr2:uid="{00000000-000D-0000-FFFF-FFFF00000000}"/>
  </bookViews>
  <sheets>
    <sheet name="current sector weights" sheetId="23" r:id="rId1"/>
    <sheet name="Dvd Holdings" sheetId="17" r:id="rId2"/>
    <sheet name="Dvd Perf ranked 24" sheetId="19" r:id="rId3"/>
    <sheet name="Dvd MV-BV" sheetId="18" r:id="rId4"/>
    <sheet name="Dvd Final 23" sheetId="30" r:id="rId5"/>
    <sheet name="DVD Holdings Metrics" sheetId="12" r:id="rId6"/>
    <sheet name="Options 24" sheetId="28" r:id="rId7"/>
    <sheet name="Core Holdings" sheetId="9" r:id="rId8"/>
    <sheet name="Core perf ranked" sheetId="15" r:id="rId9"/>
    <sheet name="Core MV-BV" sheetId="10" r:id="rId10"/>
    <sheet name="Invesco" sheetId="29" r:id="rId11"/>
    <sheet name="Options 23" sheetId="26" r:id="rId12"/>
    <sheet name="IPS" sheetId="25" r:id="rId13"/>
    <sheet name="DVD ETFS" sheetId="27" r:id="rId14"/>
    <sheet name="23' project" sheetId="22" r:id="rId15"/>
    <sheet name="2022 Final" sheetId="14" r:id="rId16"/>
    <sheet name="22' perf ranked" sheetId="13" r:id="rId17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28" l="1"/>
  <c r="F12" i="18"/>
  <c r="F32" i="18"/>
  <c r="E33" i="18"/>
  <c r="E21" i="18"/>
  <c r="F22" i="18"/>
  <c r="E32" i="18"/>
  <c r="E12" i="18"/>
  <c r="G38" i="18"/>
  <c r="G6" i="18"/>
  <c r="F33" i="18"/>
  <c r="G36" i="18"/>
  <c r="F17" i="18"/>
  <c r="F43" i="18"/>
  <c r="F6" i="18"/>
  <c r="E22" i="18"/>
  <c r="G17" i="18"/>
  <c r="G43" i="18"/>
  <c r="G21" i="18"/>
  <c r="F36" i="18"/>
  <c r="E38" i="18"/>
  <c r="E43" i="18"/>
  <c r="E36" i="18"/>
  <c r="E6" i="18"/>
  <c r="G12" i="18"/>
  <c r="E17" i="18"/>
  <c r="G22" i="18"/>
  <c r="G33" i="18"/>
  <c r="F38" i="18"/>
  <c r="G32" i="18"/>
  <c r="F21" i="18"/>
  <c r="G11" i="18"/>
  <c r="G24" i="18"/>
  <c r="G25" i="18"/>
  <c r="G31" i="18"/>
  <c r="E8" i="18"/>
  <c r="E13" i="18"/>
  <c r="F13" i="18"/>
  <c r="F23" i="18"/>
  <c r="E25" i="18"/>
  <c r="E11" i="18"/>
  <c r="G29" i="18"/>
  <c r="F16" i="18"/>
  <c r="E31" i="18"/>
  <c r="E16" i="18"/>
  <c r="E7" i="18"/>
  <c r="G23" i="18"/>
  <c r="F24" i="18"/>
  <c r="F7" i="18"/>
  <c r="F8" i="18"/>
  <c r="F29" i="18"/>
  <c r="G16" i="18"/>
  <c r="E24" i="18"/>
  <c r="F11" i="18"/>
  <c r="E29" i="18"/>
  <c r="G7" i="18"/>
  <c r="G13" i="18"/>
  <c r="G8" i="18"/>
  <c r="E23" i="18"/>
  <c r="F31" i="18"/>
  <c r="F25" i="18"/>
  <c r="E10" i="18"/>
  <c r="E37" i="18"/>
  <c r="G41" i="18"/>
  <c r="G37" i="18"/>
  <c r="E35" i="18"/>
  <c r="F10" i="18"/>
  <c r="E45" i="18"/>
  <c r="E28" i="18"/>
  <c r="F15" i="18"/>
  <c r="F30" i="18"/>
  <c r="E19" i="18"/>
  <c r="F40" i="18"/>
  <c r="E41" i="18"/>
  <c r="G35" i="18"/>
  <c r="E30" i="18"/>
  <c r="G19" i="18"/>
  <c r="G15" i="18"/>
  <c r="G28" i="18"/>
  <c r="E40" i="18"/>
  <c r="F41" i="18"/>
  <c r="G10" i="18"/>
  <c r="G30" i="18"/>
  <c r="F19" i="18"/>
  <c r="F37" i="18"/>
  <c r="F45" i="18"/>
  <c r="G40" i="18"/>
  <c r="E15" i="18"/>
  <c r="G45" i="18"/>
  <c r="F28" i="18"/>
  <c r="F35" i="18"/>
  <c r="G18" i="18"/>
  <c r="F39" i="18"/>
  <c r="F14" i="18"/>
  <c r="E39" i="18"/>
  <c r="G14" i="18"/>
  <c r="G26" i="18"/>
  <c r="G9" i="18"/>
  <c r="E9" i="18"/>
  <c r="F27" i="18"/>
  <c r="F18" i="18"/>
  <c r="F9" i="18"/>
  <c r="F20" i="18"/>
  <c r="E18" i="18"/>
  <c r="G39" i="18"/>
  <c r="G34" i="18"/>
  <c r="E44" i="18"/>
  <c r="G44" i="18"/>
  <c r="F42" i="18"/>
  <c r="E42" i="18"/>
  <c r="F34" i="18"/>
  <c r="E34" i="18"/>
  <c r="G20" i="18"/>
  <c r="F44" i="18"/>
  <c r="E26" i="18"/>
  <c r="E14" i="18"/>
  <c r="F26" i="18"/>
  <c r="E27" i="18"/>
  <c r="E20" i="18"/>
  <c r="G42" i="18"/>
  <c r="G27" i="18"/>
  <c r="D47" i="18"/>
  <c r="O45" i="18"/>
  <c r="M45" i="18"/>
  <c r="I45" i="18" l="1"/>
  <c r="P45" i="18"/>
  <c r="O44" i="18"/>
  <c r="M44" i="18"/>
  <c r="P44" i="18" l="1"/>
  <c r="I44" i="18"/>
  <c r="K45" i="18"/>
  <c r="R45" i="18"/>
  <c r="S45" i="18" s="1"/>
  <c r="M43" i="18"/>
  <c r="O43" i="18" s="1"/>
  <c r="P43" i="18" l="1"/>
  <c r="I43" i="18"/>
  <c r="R44" i="18"/>
  <c r="S44" i="18" s="1"/>
  <c r="K44" i="18"/>
  <c r="O42" i="18"/>
  <c r="P42" i="18" l="1"/>
  <c r="I42" i="18"/>
  <c r="R43" i="18"/>
  <c r="S43" i="18" s="1"/>
  <c r="K43" i="18"/>
  <c r="O41" i="18"/>
  <c r="P41" i="18" l="1"/>
  <c r="I41" i="18"/>
  <c r="R42" i="18"/>
  <c r="S42" i="18" s="1"/>
  <c r="K42" i="18"/>
  <c r="O40" i="18"/>
  <c r="I40" i="18" l="1"/>
  <c r="P40" i="18"/>
  <c r="R41" i="18"/>
  <c r="S41" i="18" s="1"/>
  <c r="K41" i="18"/>
  <c r="M39" i="18"/>
  <c r="O39" i="18" s="1"/>
  <c r="P39" i="18" l="1"/>
  <c r="I39" i="18"/>
  <c r="R40" i="18"/>
  <c r="S40" i="18" s="1"/>
  <c r="K40" i="18"/>
  <c r="O38" i="18"/>
  <c r="P38" i="18" l="1"/>
  <c r="I38" i="18"/>
  <c r="K39" i="18"/>
  <c r="R39" i="18"/>
  <c r="S39" i="18" s="1"/>
  <c r="M37" i="18"/>
  <c r="O37" i="18" s="1"/>
  <c r="P37" i="18" l="1"/>
  <c r="I37" i="18"/>
  <c r="R38" i="18"/>
  <c r="S38" i="18" s="1"/>
  <c r="K38" i="18"/>
  <c r="O36" i="18"/>
  <c r="P36" i="18" l="1"/>
  <c r="I36" i="18"/>
  <c r="R37" i="18"/>
  <c r="S37" i="18" s="1"/>
  <c r="K37" i="18"/>
  <c r="O35" i="18"/>
  <c r="P35" i="18" l="1"/>
  <c r="I35" i="18"/>
  <c r="K36" i="18"/>
  <c r="R36" i="18"/>
  <c r="S36" i="18" s="1"/>
  <c r="M34" i="18"/>
  <c r="O34" i="18" s="1"/>
  <c r="P34" i="18" l="1"/>
  <c r="I34" i="18"/>
  <c r="R35" i="18"/>
  <c r="S35" i="18" s="1"/>
  <c r="K35" i="18"/>
  <c r="M33" i="18"/>
  <c r="R34" i="18" l="1"/>
  <c r="S34" i="18" s="1"/>
  <c r="K34" i="18"/>
  <c r="D33" i="18"/>
  <c r="I33" i="18" s="1"/>
  <c r="M32" i="18"/>
  <c r="O32" i="18" s="1"/>
  <c r="I32" i="18" l="1"/>
  <c r="P32" i="18"/>
  <c r="R33" i="18"/>
  <c r="S33" i="18" s="1"/>
  <c r="K33" i="18"/>
  <c r="O33" i="18"/>
  <c r="P33" i="18" s="1"/>
  <c r="M31" i="18"/>
  <c r="O31" i="18" s="1"/>
  <c r="P31" i="18" l="1"/>
  <c r="I31" i="18"/>
  <c r="K32" i="18"/>
  <c r="R32" i="18"/>
  <c r="S32" i="18" s="1"/>
  <c r="M30" i="18"/>
  <c r="O30" i="18" s="1"/>
  <c r="P30" i="18" l="1"/>
  <c r="I30" i="18"/>
  <c r="R31" i="18"/>
  <c r="S31" i="18" s="1"/>
  <c r="K31" i="18"/>
  <c r="M29" i="18"/>
  <c r="O29" i="18" s="1"/>
  <c r="P29" i="18" l="1"/>
  <c r="I29" i="18"/>
  <c r="R30" i="18"/>
  <c r="S30" i="18" s="1"/>
  <c r="K30" i="18"/>
  <c r="M28" i="18"/>
  <c r="O28" i="18" s="1"/>
  <c r="P28" i="18" l="1"/>
  <c r="I28" i="18"/>
  <c r="R29" i="18"/>
  <c r="S29" i="18" s="1"/>
  <c r="K29" i="18"/>
  <c r="O27" i="18"/>
  <c r="P27" i="18" l="1"/>
  <c r="I27" i="18"/>
  <c r="R28" i="18"/>
  <c r="S28" i="18" s="1"/>
  <c r="K28" i="18"/>
  <c r="M26" i="18"/>
  <c r="O26" i="18" s="1"/>
  <c r="I26" i="18" l="1"/>
  <c r="P26" i="18"/>
  <c r="K27" i="18"/>
  <c r="R27" i="18"/>
  <c r="S27" i="18" s="1"/>
  <c r="O25" i="18"/>
  <c r="P25" i="18" l="1"/>
  <c r="I25" i="18"/>
  <c r="R26" i="18"/>
  <c r="S26" i="18" s="1"/>
  <c r="K26" i="18"/>
  <c r="M24" i="18"/>
  <c r="O24" i="18" s="1"/>
  <c r="I24" i="18" l="1"/>
  <c r="P24" i="18"/>
  <c r="R25" i="18"/>
  <c r="S25" i="18" s="1"/>
  <c r="K25" i="18"/>
  <c r="M23" i="18"/>
  <c r="O23" i="18" s="1"/>
  <c r="P23" i="18" l="1"/>
  <c r="I23" i="18"/>
  <c r="R24" i="18"/>
  <c r="S24" i="18" s="1"/>
  <c r="K24" i="18"/>
  <c r="M22" i="18"/>
  <c r="O22" i="18" s="1"/>
  <c r="P22" i="18" l="1"/>
  <c r="I22" i="18"/>
  <c r="K23" i="18"/>
  <c r="R23" i="18"/>
  <c r="S23" i="18" s="1"/>
  <c r="M21" i="18"/>
  <c r="O21" i="18" s="1"/>
  <c r="P21" i="18" l="1"/>
  <c r="I21" i="18"/>
  <c r="R22" i="18"/>
  <c r="S22" i="18" s="1"/>
  <c r="K22" i="18"/>
  <c r="M20" i="18"/>
  <c r="O20" i="18" s="1"/>
  <c r="P20" i="18" l="1"/>
  <c r="I20" i="18"/>
  <c r="R21" i="18"/>
  <c r="S21" i="18" s="1"/>
  <c r="K21" i="18"/>
  <c r="M19" i="18"/>
  <c r="O19" i="18" s="1"/>
  <c r="P19" i="18" l="1"/>
  <c r="I19" i="18"/>
  <c r="R20" i="18"/>
  <c r="S20" i="18" s="1"/>
  <c r="K20" i="18"/>
  <c r="M18" i="18"/>
  <c r="O18" i="18" s="1"/>
  <c r="I18" i="18" l="1"/>
  <c r="P18" i="18"/>
  <c r="R19" i="18"/>
  <c r="S19" i="18" s="1"/>
  <c r="K19" i="18"/>
  <c r="M17" i="18"/>
  <c r="O17" i="18" s="1"/>
  <c r="I17" i="18" l="1"/>
  <c r="P17" i="18"/>
  <c r="R18" i="18"/>
  <c r="S18" i="18" s="1"/>
  <c r="K18" i="18"/>
  <c r="M16" i="18"/>
  <c r="O16" i="18" s="1"/>
  <c r="P16" i="18" l="1"/>
  <c r="I16" i="18"/>
  <c r="K17" i="18"/>
  <c r="R17" i="18"/>
  <c r="S17" i="18" s="1"/>
  <c r="M15" i="18"/>
  <c r="O15" i="18" s="1"/>
  <c r="P15" i="18" l="1"/>
  <c r="I15" i="18"/>
  <c r="R16" i="18"/>
  <c r="S16" i="18" s="1"/>
  <c r="K16" i="18"/>
  <c r="M14" i="18"/>
  <c r="O14" i="18" s="1"/>
  <c r="P14" i="18" l="1"/>
  <c r="I14" i="18"/>
  <c r="R15" i="18"/>
  <c r="S15" i="18" s="1"/>
  <c r="K15" i="18"/>
  <c r="M13" i="18"/>
  <c r="O13" i="18" s="1"/>
  <c r="I13" i="18" l="1"/>
  <c r="P13" i="18"/>
  <c r="R14" i="18"/>
  <c r="S14" i="18" s="1"/>
  <c r="K14" i="18"/>
  <c r="M12" i="18"/>
  <c r="O12" i="18" s="1"/>
  <c r="I12" i="18" l="1"/>
  <c r="P12" i="18"/>
  <c r="R13" i="18"/>
  <c r="S13" i="18" s="1"/>
  <c r="K13" i="18"/>
  <c r="M11" i="18"/>
  <c r="O11" i="18" s="1"/>
  <c r="P11" i="18" l="1"/>
  <c r="I11" i="18"/>
  <c r="K12" i="18"/>
  <c r="R12" i="18"/>
  <c r="S12" i="18" s="1"/>
  <c r="M10" i="18"/>
  <c r="O10" i="18" s="1"/>
  <c r="P10" i="18" l="1"/>
  <c r="I10" i="18"/>
  <c r="R11" i="18"/>
  <c r="S11" i="18" s="1"/>
  <c r="K11" i="18"/>
  <c r="B10" i="18"/>
  <c r="M9" i="18"/>
  <c r="O9" i="18" s="1"/>
  <c r="I9" i="18" l="1"/>
  <c r="P9" i="18"/>
  <c r="R10" i="18"/>
  <c r="S10" i="18" s="1"/>
  <c r="K10" i="18"/>
  <c r="M8" i="18"/>
  <c r="O8" i="18" s="1"/>
  <c r="P8" i="18" l="1"/>
  <c r="I8" i="18"/>
  <c r="R9" i="18"/>
  <c r="S9" i="18" s="1"/>
  <c r="K9" i="18"/>
  <c r="B8" i="18"/>
  <c r="M7" i="18"/>
  <c r="O7" i="18" s="1"/>
  <c r="I7" i="18" l="1"/>
  <c r="P7" i="18"/>
  <c r="R8" i="18"/>
  <c r="S8" i="18" s="1"/>
  <c r="K8" i="18"/>
  <c r="A7" i="18"/>
  <c r="M6" i="18"/>
  <c r="M48" i="18" s="1"/>
  <c r="I6" i="18" l="1"/>
  <c r="O6" i="18"/>
  <c r="P6" i="18" s="1"/>
  <c r="R7" i="18"/>
  <c r="S7" i="18" s="1"/>
  <c r="K7" i="18"/>
  <c r="B5" i="18"/>
  <c r="AD44" i="9"/>
  <c r="AC17" i="9"/>
  <c r="AD17" i="9"/>
  <c r="AC44" i="9"/>
  <c r="AC12" i="9"/>
  <c r="AC16" i="9"/>
  <c r="AC20" i="9"/>
  <c r="AD12" i="9"/>
  <c r="AD16" i="9"/>
  <c r="AD20" i="9"/>
  <c r="AD24" i="9"/>
  <c r="AD28" i="9"/>
  <c r="AD32" i="9"/>
  <c r="AD36" i="9"/>
  <c r="AD40" i="9"/>
  <c r="AD27" i="9"/>
  <c r="AC25" i="9"/>
  <c r="AC33" i="9"/>
  <c r="AC41" i="9"/>
  <c r="AD29" i="9"/>
  <c r="AD33" i="9"/>
  <c r="AD45" i="9"/>
  <c r="AC27" i="9"/>
  <c r="AD31" i="9"/>
  <c r="AC13" i="9"/>
  <c r="AC21" i="9"/>
  <c r="AC29" i="9"/>
  <c r="AC37" i="9"/>
  <c r="AC45" i="9"/>
  <c r="AD21" i="9"/>
  <c r="AD37" i="9"/>
  <c r="AD41" i="9"/>
  <c r="AD46" i="9"/>
  <c r="AC39" i="9"/>
  <c r="AD13" i="9"/>
  <c r="AD25" i="9"/>
  <c r="AD42" i="9"/>
  <c r="AC31" i="9"/>
  <c r="AD19" i="9"/>
  <c r="AD39" i="9"/>
  <c r="AC18" i="9"/>
  <c r="AC26" i="9"/>
  <c r="AC34" i="9"/>
  <c r="AC42" i="9"/>
  <c r="AC46" i="9"/>
  <c r="AD38" i="9"/>
  <c r="AC35" i="9"/>
  <c r="AD43" i="9"/>
  <c r="AC14" i="9"/>
  <c r="AC22" i="9"/>
  <c r="AC30" i="9"/>
  <c r="AC38" i="9"/>
  <c r="AD34" i="9"/>
  <c r="AD15" i="9"/>
  <c r="AD35" i="9"/>
  <c r="AD14" i="9"/>
  <c r="AD18" i="9"/>
  <c r="AD22" i="9"/>
  <c r="AD26" i="9"/>
  <c r="AD30" i="9"/>
  <c r="AC23" i="9"/>
  <c r="AD23" i="9"/>
  <c r="AC15" i="9"/>
  <c r="AC19" i="9"/>
  <c r="AC43" i="9"/>
  <c r="AC24" i="9"/>
  <c r="AC28" i="9"/>
  <c r="AC32" i="9"/>
  <c r="AC36" i="9"/>
  <c r="AC40" i="9"/>
  <c r="Y44" i="9"/>
  <c r="Z44" i="9"/>
  <c r="Y45" i="9"/>
  <c r="Z45" i="9"/>
  <c r="V59" i="19"/>
  <c r="V68" i="19"/>
  <c r="V60" i="19"/>
  <c r="V66" i="19"/>
  <c r="V63" i="19"/>
  <c r="V64" i="19"/>
  <c r="V69" i="19"/>
  <c r="V62" i="19"/>
  <c r="V67" i="19"/>
  <c r="V65" i="19"/>
  <c r="J12" i="19"/>
  <c r="J102" i="19"/>
  <c r="H92" i="19"/>
  <c r="H20" i="19"/>
  <c r="J34" i="19"/>
  <c r="J124" i="19"/>
  <c r="AA34" i="19"/>
  <c r="AA5" i="19"/>
  <c r="I36" i="19"/>
  <c r="I120" i="19"/>
  <c r="J94" i="19"/>
  <c r="J15" i="19"/>
  <c r="I99" i="19"/>
  <c r="I10" i="19"/>
  <c r="H31" i="19"/>
  <c r="H121" i="19"/>
  <c r="I14" i="19"/>
  <c r="I117" i="19"/>
  <c r="AA9" i="19"/>
  <c r="H40" i="19"/>
  <c r="H107" i="19"/>
  <c r="AB14" i="19"/>
  <c r="I24" i="19"/>
  <c r="I100" i="19"/>
  <c r="H36" i="19"/>
  <c r="H120" i="19"/>
  <c r="AB8" i="19"/>
  <c r="J24" i="19"/>
  <c r="J100" i="19"/>
  <c r="J30" i="19"/>
  <c r="J108" i="19"/>
  <c r="J42" i="19"/>
  <c r="J115" i="19"/>
  <c r="AA41" i="19"/>
  <c r="AA19" i="19"/>
  <c r="AA24" i="19"/>
  <c r="H95" i="19"/>
  <c r="H35" i="19"/>
  <c r="AB15" i="19"/>
  <c r="H5" i="19"/>
  <c r="H110" i="19"/>
  <c r="J31" i="19"/>
  <c r="J121" i="19"/>
  <c r="AB19" i="19"/>
  <c r="AB16" i="19"/>
  <c r="AA27" i="19"/>
  <c r="J37" i="19"/>
  <c r="J104" i="19"/>
  <c r="J6" i="19"/>
  <c r="J113" i="19"/>
  <c r="J95" i="19"/>
  <c r="J35" i="19"/>
  <c r="AB42" i="19"/>
  <c r="AA36" i="19"/>
  <c r="AB31" i="19"/>
  <c r="I4" i="19"/>
  <c r="I116" i="19"/>
  <c r="I12" i="19"/>
  <c r="I102" i="19"/>
  <c r="H38" i="19"/>
  <c r="I95" i="19"/>
  <c r="I35" i="19"/>
  <c r="AA22" i="19"/>
  <c r="I92" i="19"/>
  <c r="I20" i="19"/>
  <c r="H41" i="19"/>
  <c r="H127" i="19"/>
  <c r="H96" i="19"/>
  <c r="H27" i="19"/>
  <c r="AA7" i="19"/>
  <c r="I32" i="19"/>
  <c r="I101" i="19"/>
  <c r="I25" i="19"/>
  <c r="I109" i="19"/>
  <c r="H12" i="19"/>
  <c r="H102" i="19"/>
  <c r="H119" i="19"/>
  <c r="H13" i="19"/>
  <c r="I96" i="19"/>
  <c r="I27" i="19"/>
  <c r="J36" i="19"/>
  <c r="J120" i="19"/>
  <c r="J7" i="19"/>
  <c r="J114" i="19"/>
  <c r="AB29" i="19"/>
  <c r="H14" i="19"/>
  <c r="H117" i="19"/>
  <c r="H33" i="19"/>
  <c r="H128" i="19"/>
  <c r="AB17" i="19"/>
  <c r="I98" i="19"/>
  <c r="I29" i="19"/>
  <c r="H99" i="19"/>
  <c r="H10" i="19"/>
  <c r="AB23" i="19"/>
  <c r="J33" i="19"/>
  <c r="J128" i="19"/>
  <c r="AA4" i="19"/>
  <c r="I19" i="19"/>
  <c r="I126" i="19"/>
  <c r="I7" i="19"/>
  <c r="I114" i="19"/>
  <c r="J25" i="19"/>
  <c r="J109" i="19"/>
  <c r="J17" i="19"/>
  <c r="J122" i="19"/>
  <c r="H7" i="19"/>
  <c r="H114" i="19"/>
  <c r="H19" i="19"/>
  <c r="H126" i="19"/>
  <c r="I16" i="19"/>
  <c r="I105" i="19"/>
  <c r="AB39" i="19"/>
  <c r="AA26" i="19"/>
  <c r="AB34" i="19"/>
  <c r="J90" i="19"/>
  <c r="J9" i="19"/>
  <c r="H37" i="19"/>
  <c r="H104" i="19"/>
  <c r="I8" i="19"/>
  <c r="I111" i="19"/>
  <c r="I40" i="19"/>
  <c r="I107" i="19"/>
  <c r="I23" i="19"/>
  <c r="I125" i="19"/>
  <c r="AB25" i="19"/>
  <c r="AB5" i="19"/>
  <c r="H34" i="19"/>
  <c r="H124" i="19"/>
  <c r="AB9" i="19"/>
  <c r="I33" i="19"/>
  <c r="I128" i="19"/>
  <c r="AB40" i="19"/>
  <c r="AB27" i="19"/>
  <c r="AA39" i="19"/>
  <c r="AA6" i="19"/>
  <c r="AB22" i="19"/>
  <c r="AA17" i="19"/>
  <c r="H30" i="19"/>
  <c r="H108" i="19"/>
  <c r="AB38" i="19"/>
  <c r="AB32" i="19"/>
  <c r="AA35" i="19"/>
  <c r="H8" i="19"/>
  <c r="H111" i="19"/>
  <c r="J38" i="19"/>
  <c r="AA8" i="19"/>
  <c r="H24" i="19"/>
  <c r="H100" i="19"/>
  <c r="AB41" i="19"/>
  <c r="I30" i="19"/>
  <c r="I108" i="19"/>
  <c r="AA25" i="19"/>
  <c r="AA33" i="19"/>
  <c r="AB37" i="19"/>
  <c r="H4" i="19"/>
  <c r="H116" i="19"/>
  <c r="AB24" i="19"/>
  <c r="AA29" i="19"/>
  <c r="J26" i="19"/>
  <c r="J118" i="19"/>
  <c r="AB21" i="19"/>
  <c r="H25" i="19"/>
  <c r="H109" i="19"/>
  <c r="I22" i="19"/>
  <c r="I103" i="19"/>
  <c r="I39" i="19"/>
  <c r="I123" i="19"/>
  <c r="H94" i="19"/>
  <c r="H15" i="19"/>
  <c r="I90" i="19"/>
  <c r="I9" i="19"/>
  <c r="J21" i="19"/>
  <c r="J112" i="19"/>
  <c r="AB33" i="19"/>
  <c r="J19" i="19"/>
  <c r="J126" i="19"/>
  <c r="H32" i="19"/>
  <c r="H101" i="19"/>
  <c r="J4" i="19"/>
  <c r="J116" i="19"/>
  <c r="AB12" i="19"/>
  <c r="AA11" i="19"/>
  <c r="J98" i="19"/>
  <c r="J29" i="19"/>
  <c r="J119" i="19"/>
  <c r="J13" i="19"/>
  <c r="I97" i="19"/>
  <c r="I11" i="19"/>
  <c r="H23" i="19"/>
  <c r="H125" i="19"/>
  <c r="AB26" i="19"/>
  <c r="J22" i="19"/>
  <c r="J103" i="19"/>
  <c r="J39" i="19"/>
  <c r="J123" i="19"/>
  <c r="I34" i="19"/>
  <c r="I124" i="19"/>
  <c r="AB35" i="19"/>
  <c r="AA13" i="19"/>
  <c r="J92" i="19"/>
  <c r="J20" i="19"/>
  <c r="AB30" i="19"/>
  <c r="H6" i="19"/>
  <c r="H113" i="19"/>
  <c r="H97" i="19"/>
  <c r="H11" i="19"/>
  <c r="J8" i="19"/>
  <c r="J111" i="19"/>
  <c r="H17" i="19"/>
  <c r="H122" i="19"/>
  <c r="H91" i="19"/>
  <c r="H28" i="19"/>
  <c r="AB28" i="19"/>
  <c r="I42" i="19"/>
  <c r="I115" i="19"/>
  <c r="AA42" i="19"/>
  <c r="I31" i="19"/>
  <c r="I121" i="19"/>
  <c r="AA32" i="19"/>
  <c r="J16" i="19"/>
  <c r="J105" i="19"/>
  <c r="AA10" i="19"/>
  <c r="J23" i="19"/>
  <c r="J125" i="19"/>
  <c r="AA12" i="19"/>
  <c r="AA38" i="19"/>
  <c r="I41" i="19"/>
  <c r="I127" i="19"/>
  <c r="AB20" i="19"/>
  <c r="I26" i="19"/>
  <c r="I118" i="19"/>
  <c r="I91" i="19"/>
  <c r="I28" i="19"/>
  <c r="H98" i="19"/>
  <c r="H29" i="19"/>
  <c r="J41" i="19"/>
  <c r="J127" i="19"/>
  <c r="J5" i="19"/>
  <c r="J110" i="19"/>
  <c r="AA30" i="19"/>
  <c r="I119" i="19"/>
  <c r="I13" i="19"/>
  <c r="AA16" i="19"/>
  <c r="AB7" i="19"/>
  <c r="H39" i="19"/>
  <c r="H123" i="19"/>
  <c r="I38" i="19"/>
  <c r="AA15" i="19"/>
  <c r="H26" i="19"/>
  <c r="H118" i="19"/>
  <c r="H90" i="19"/>
  <c r="H9" i="19"/>
  <c r="J99" i="19"/>
  <c r="J10" i="19"/>
  <c r="AA14" i="19"/>
  <c r="H22" i="19"/>
  <c r="H103" i="19"/>
  <c r="AB13" i="19"/>
  <c r="I21" i="19"/>
  <c r="I112" i="19"/>
  <c r="J32" i="19"/>
  <c r="J101" i="19"/>
  <c r="J40" i="19"/>
  <c r="J107" i="19"/>
  <c r="I17" i="19"/>
  <c r="I122" i="19"/>
  <c r="AA28" i="19"/>
  <c r="J14" i="19"/>
  <c r="J117" i="19"/>
  <c r="AA21" i="19"/>
  <c r="AA23" i="19"/>
  <c r="AB10" i="19"/>
  <c r="I5" i="19"/>
  <c r="I110" i="19"/>
  <c r="J97" i="19"/>
  <c r="J11" i="19"/>
  <c r="H42" i="19"/>
  <c r="H115" i="19"/>
  <c r="AA40" i="19"/>
  <c r="I94" i="19"/>
  <c r="I15" i="19"/>
  <c r="AB6" i="19"/>
  <c r="H21" i="19"/>
  <c r="H112" i="19"/>
  <c r="AA37" i="19"/>
  <c r="J91" i="19"/>
  <c r="J28" i="19"/>
  <c r="AB4" i="19"/>
  <c r="J96" i="19"/>
  <c r="J27" i="19"/>
  <c r="AB11" i="19"/>
  <c r="AA31" i="19"/>
  <c r="AB36" i="19"/>
  <c r="H16" i="19"/>
  <c r="H105" i="19"/>
  <c r="I6" i="19"/>
  <c r="I113" i="19"/>
  <c r="I37" i="19"/>
  <c r="I104" i="19"/>
  <c r="AA20" i="19"/>
  <c r="H48" i="19"/>
  <c r="H93" i="19"/>
  <c r="H18" i="19"/>
  <c r="H106" i="19"/>
  <c r="J18" i="19"/>
  <c r="J106" i="19"/>
  <c r="J48" i="19"/>
  <c r="I48" i="19"/>
  <c r="I93" i="19"/>
  <c r="I18" i="19"/>
  <c r="I106" i="19"/>
  <c r="J93" i="19"/>
  <c r="V61" i="19"/>
  <c r="Q69" i="19"/>
  <c r="Q68" i="19"/>
  <c r="Q67" i="19"/>
  <c r="Q66" i="19"/>
  <c r="Q64" i="19"/>
  <c r="Q63" i="19"/>
  <c r="Q62" i="19"/>
  <c r="Q61" i="19"/>
  <c r="Q60" i="19"/>
  <c r="Q59" i="19"/>
  <c r="I48" i="18" l="1"/>
  <c r="I52" i="18" s="1"/>
  <c r="R6" i="18"/>
  <c r="K6" i="18"/>
  <c r="AE23" i="9"/>
  <c r="AE30" i="9"/>
  <c r="AE26" i="9"/>
  <c r="AE22" i="9"/>
  <c r="AE18" i="9"/>
  <c r="AE14" i="9"/>
  <c r="AE35" i="9"/>
  <c r="AE15" i="9"/>
  <c r="AE34" i="9"/>
  <c r="AE43" i="9"/>
  <c r="AE38" i="9"/>
  <c r="AE39" i="9"/>
  <c r="AE19" i="9"/>
  <c r="AE42" i="9"/>
  <c r="AE25" i="9"/>
  <c r="AE13" i="9"/>
  <c r="AE46" i="9"/>
  <c r="AE41" i="9"/>
  <c r="AE37" i="9"/>
  <c r="AE21" i="9"/>
  <c r="AE31" i="9"/>
  <c r="AE45" i="9"/>
  <c r="AE33" i="9"/>
  <c r="AE29" i="9"/>
  <c r="AE17" i="9"/>
  <c r="AE27" i="9"/>
  <c r="AE44" i="9"/>
  <c r="AE40" i="9"/>
  <c r="AE36" i="9"/>
  <c r="AE32" i="9"/>
  <c r="AE28" i="9"/>
  <c r="AE24" i="9"/>
  <c r="AE20" i="9"/>
  <c r="AE16" i="9"/>
  <c r="AE12" i="9"/>
  <c r="N128" i="19"/>
  <c r="R128" i="19" s="1"/>
  <c r="L128" i="19"/>
  <c r="K128" i="19"/>
  <c r="R48" i="18" l="1"/>
  <c r="S48" i="18" s="1"/>
  <c r="S6" i="18"/>
  <c r="N127" i="19"/>
  <c r="R127" i="19" s="1"/>
  <c r="L127" i="19"/>
  <c r="K127" i="19"/>
  <c r="T6" i="18" l="1"/>
  <c r="T45" i="18"/>
  <c r="T44" i="18"/>
  <c r="T43" i="18"/>
  <c r="T42" i="18"/>
  <c r="T41" i="18"/>
  <c r="T40" i="18"/>
  <c r="T39" i="18"/>
  <c r="T38" i="18"/>
  <c r="T37" i="18"/>
  <c r="T36" i="18"/>
  <c r="T35" i="18"/>
  <c r="T34" i="18"/>
  <c r="T33" i="18"/>
  <c r="T32" i="18"/>
  <c r="T31" i="18"/>
  <c r="T30" i="18"/>
  <c r="T29" i="18"/>
  <c r="T28" i="18"/>
  <c r="T27" i="18"/>
  <c r="T26" i="18"/>
  <c r="T25" i="18"/>
  <c r="T24" i="18"/>
  <c r="T23" i="18"/>
  <c r="T22" i="18"/>
  <c r="T21" i="18"/>
  <c r="T20" i="18"/>
  <c r="T19" i="18"/>
  <c r="T18" i="18"/>
  <c r="T17" i="18"/>
  <c r="T16" i="18"/>
  <c r="T15" i="18"/>
  <c r="T14" i="18"/>
  <c r="T13" i="18"/>
  <c r="T12" i="18"/>
  <c r="T11" i="18"/>
  <c r="T10" i="18"/>
  <c r="T9" i="18"/>
  <c r="T8" i="18"/>
  <c r="T7" i="18"/>
  <c r="N126" i="19"/>
  <c r="R126" i="19" s="1"/>
  <c r="L126" i="19"/>
  <c r="K126" i="19"/>
  <c r="N125" i="19" l="1"/>
  <c r="R125" i="19" s="1"/>
  <c r="L125" i="19"/>
  <c r="K125" i="19"/>
  <c r="N124" i="19" l="1"/>
  <c r="R124" i="19" s="1"/>
  <c r="L124" i="19"/>
  <c r="K124" i="19"/>
  <c r="N123" i="19" l="1"/>
  <c r="R123" i="19" s="1"/>
  <c r="L123" i="19"/>
  <c r="K123" i="19"/>
  <c r="N122" i="19" l="1"/>
  <c r="R122" i="19" s="1"/>
  <c r="L122" i="19"/>
  <c r="K122" i="19"/>
  <c r="N121" i="19" l="1"/>
  <c r="R121" i="19" s="1"/>
  <c r="L121" i="19"/>
  <c r="K121" i="19"/>
  <c r="N120" i="19" l="1"/>
  <c r="R120" i="19" s="1"/>
  <c r="L120" i="19"/>
  <c r="K120" i="19"/>
  <c r="N119" i="19" l="1"/>
  <c r="R119" i="19" s="1"/>
  <c r="L119" i="19"/>
  <c r="K119" i="19"/>
  <c r="N118" i="19" l="1"/>
  <c r="R118" i="19" s="1"/>
  <c r="L118" i="19"/>
  <c r="K118" i="19"/>
  <c r="N117" i="19" l="1"/>
  <c r="R117" i="19" s="1"/>
  <c r="L117" i="19"/>
  <c r="K117" i="19"/>
  <c r="N116" i="19" l="1"/>
  <c r="R116" i="19" s="1"/>
  <c r="L116" i="19"/>
  <c r="K116" i="19"/>
  <c r="N115" i="19" l="1"/>
  <c r="R115" i="19" s="1"/>
  <c r="L115" i="19"/>
  <c r="K115" i="19"/>
  <c r="N114" i="19" l="1"/>
  <c r="R114" i="19" s="1"/>
  <c r="L114" i="19"/>
  <c r="K114" i="19"/>
  <c r="N113" i="19" l="1"/>
  <c r="R113" i="19" s="1"/>
  <c r="L113" i="19"/>
  <c r="K113" i="19"/>
  <c r="N112" i="19" l="1"/>
  <c r="R112" i="19" s="1"/>
  <c r="L112" i="19"/>
  <c r="K112" i="19"/>
  <c r="N111" i="19" l="1"/>
  <c r="R111" i="19" s="1"/>
  <c r="L111" i="19"/>
  <c r="K111" i="19"/>
  <c r="N110" i="19" l="1"/>
  <c r="R110" i="19" s="1"/>
  <c r="L110" i="19"/>
  <c r="K110" i="19"/>
  <c r="N109" i="19" l="1"/>
  <c r="R109" i="19" s="1"/>
  <c r="L109" i="19"/>
  <c r="K109" i="19"/>
  <c r="N108" i="19" l="1"/>
  <c r="R108" i="19" s="1"/>
  <c r="L108" i="19"/>
  <c r="K108" i="19"/>
  <c r="N107" i="19" l="1"/>
  <c r="R107" i="19" s="1"/>
  <c r="L107" i="19"/>
  <c r="K107" i="19"/>
  <c r="N106" i="19" l="1"/>
  <c r="R106" i="19" s="1"/>
  <c r="L106" i="19"/>
  <c r="K106" i="19"/>
  <c r="N105" i="19" l="1"/>
  <c r="R105" i="19" s="1"/>
  <c r="L105" i="19"/>
  <c r="K105" i="19"/>
  <c r="N104" i="19" l="1"/>
  <c r="R104" i="19" s="1"/>
  <c r="L104" i="19"/>
  <c r="K104" i="19"/>
  <c r="N103" i="19" l="1"/>
  <c r="R103" i="19" s="1"/>
  <c r="L103" i="19"/>
  <c r="K103" i="19"/>
  <c r="N102" i="19" l="1"/>
  <c r="R102" i="19" s="1"/>
  <c r="L102" i="19"/>
  <c r="K102" i="19"/>
  <c r="N101" i="19" l="1"/>
  <c r="R101" i="19" s="1"/>
  <c r="L101" i="19"/>
  <c r="K101" i="19"/>
  <c r="N100" i="19" l="1"/>
  <c r="R100" i="19" s="1"/>
  <c r="L100" i="19"/>
  <c r="K100" i="19"/>
  <c r="N99" i="19" l="1"/>
  <c r="R99" i="19" s="1"/>
  <c r="L99" i="19"/>
  <c r="K99" i="19"/>
  <c r="N98" i="19" l="1"/>
  <c r="R98" i="19" s="1"/>
  <c r="L98" i="19"/>
  <c r="K98" i="19"/>
  <c r="N97" i="19" l="1"/>
  <c r="R97" i="19" s="1"/>
  <c r="L97" i="19"/>
  <c r="K97" i="19"/>
  <c r="N96" i="19" l="1"/>
  <c r="R96" i="19" s="1"/>
  <c r="L96" i="19"/>
  <c r="K96" i="19"/>
  <c r="N95" i="19" l="1"/>
  <c r="R95" i="19" s="1"/>
  <c r="L95" i="19"/>
  <c r="K95" i="19"/>
  <c r="N94" i="19" l="1"/>
  <c r="R94" i="19" s="1"/>
  <c r="L94" i="19"/>
  <c r="K94" i="19"/>
  <c r="N93" i="19" l="1"/>
  <c r="R93" i="19" s="1"/>
  <c r="L93" i="19"/>
  <c r="K93" i="19"/>
  <c r="N92" i="19" l="1"/>
  <c r="R92" i="19" s="1"/>
  <c r="L92" i="19"/>
  <c r="K92" i="19"/>
  <c r="N91" i="19" l="1"/>
  <c r="R91" i="19" s="1"/>
  <c r="L91" i="19"/>
  <c r="K91" i="19"/>
  <c r="N90" i="19" l="1"/>
  <c r="R90" i="19" s="1"/>
  <c r="R130" i="19" s="1"/>
  <c r="L90" i="19"/>
  <c r="K90" i="19"/>
  <c r="M72" i="19"/>
  <c r="P69" i="19"/>
  <c r="N69" i="19"/>
  <c r="U69" i="19" l="1"/>
  <c r="P68" i="19"/>
  <c r="N68" i="19"/>
  <c r="U68" i="19" l="1"/>
  <c r="P67" i="19"/>
  <c r="N67" i="19"/>
  <c r="U67" i="19" l="1"/>
  <c r="P66" i="19"/>
  <c r="N66" i="19"/>
  <c r="U66" i="19" l="1"/>
  <c r="Q65" i="19"/>
  <c r="P65" i="19"/>
  <c r="N65" i="19"/>
  <c r="U65" i="19" l="1"/>
  <c r="P64" i="19"/>
  <c r="N64" i="19"/>
  <c r="U64" i="19" l="1"/>
  <c r="P63" i="19"/>
  <c r="N63" i="19"/>
  <c r="U63" i="19" l="1"/>
  <c r="P62" i="19"/>
  <c r="N62" i="19"/>
  <c r="U62" i="19" l="1"/>
  <c r="P61" i="19"/>
  <c r="N61" i="19"/>
  <c r="U61" i="19" l="1"/>
  <c r="P60" i="19"/>
  <c r="N60" i="19"/>
  <c r="U60" i="19" l="1"/>
  <c r="P59" i="19"/>
  <c r="P71" i="19" s="1"/>
  <c r="N59" i="19"/>
  <c r="H57" i="19"/>
  <c r="N54" i="19"/>
  <c r="T69" i="19" l="1"/>
  <c r="T68" i="19"/>
  <c r="T67" i="19"/>
  <c r="T66" i="19"/>
  <c r="T65" i="19"/>
  <c r="T64" i="19"/>
  <c r="T63" i="19"/>
  <c r="T62" i="19"/>
  <c r="T61" i="19"/>
  <c r="T60" i="19"/>
  <c r="L48" i="19"/>
  <c r="U59" i="19"/>
  <c r="U71" i="19" s="1"/>
  <c r="T59" i="19"/>
  <c r="Z45" i="19"/>
  <c r="AC42" i="19" l="1"/>
  <c r="N42" i="19"/>
  <c r="U42" i="19"/>
  <c r="Q42" i="19"/>
  <c r="L42" i="19"/>
  <c r="K42" i="19"/>
  <c r="AC41" i="19" l="1"/>
  <c r="U41" i="19"/>
  <c r="Q41" i="19"/>
  <c r="X41" i="19" s="1"/>
  <c r="N41" i="19"/>
  <c r="L41" i="19"/>
  <c r="K41" i="19"/>
  <c r="C41" i="19"/>
  <c r="AC40" i="19" l="1"/>
  <c r="U40" i="19"/>
  <c r="Q40" i="19"/>
  <c r="N40" i="19"/>
  <c r="L40" i="19"/>
  <c r="K40" i="19"/>
  <c r="AC38" i="19" l="1"/>
  <c r="U38" i="19"/>
  <c r="Q38" i="19"/>
  <c r="N38" i="19"/>
  <c r="L38" i="19"/>
  <c r="K38" i="19"/>
  <c r="AC39" i="19" l="1"/>
  <c r="Q39" i="19"/>
  <c r="N39" i="19"/>
  <c r="U39" i="19"/>
  <c r="L39" i="19"/>
  <c r="K39" i="19"/>
  <c r="AC37" i="19" l="1"/>
  <c r="U37" i="19"/>
  <c r="Q37" i="19"/>
  <c r="N37" i="19"/>
  <c r="L37" i="19"/>
  <c r="K37" i="19"/>
  <c r="AC36" i="19" l="1"/>
  <c r="U36" i="19"/>
  <c r="Q36" i="19"/>
  <c r="X36" i="19" s="1"/>
  <c r="N36" i="19"/>
  <c r="L36" i="19"/>
  <c r="K36" i="19"/>
  <c r="C36" i="19"/>
  <c r="AC30" i="19" l="1"/>
  <c r="U30" i="19"/>
  <c r="Q30" i="19"/>
  <c r="N30" i="19"/>
  <c r="L30" i="19"/>
  <c r="K30" i="19"/>
  <c r="AC34" i="19" l="1"/>
  <c r="U34" i="19"/>
  <c r="Q34" i="19"/>
  <c r="N34" i="19"/>
  <c r="L34" i="19"/>
  <c r="K34" i="19"/>
  <c r="AC32" i="19" l="1"/>
  <c r="U32" i="19"/>
  <c r="Q32" i="19"/>
  <c r="N32" i="19"/>
  <c r="L32" i="19"/>
  <c r="K32" i="19"/>
  <c r="AC35" i="19" l="1"/>
  <c r="U35" i="19"/>
  <c r="Q35" i="19"/>
  <c r="N35" i="19"/>
  <c r="L35" i="19"/>
  <c r="K35" i="19"/>
  <c r="AC31" i="19" l="1"/>
  <c r="Q31" i="19"/>
  <c r="N31" i="19"/>
  <c r="U31" i="19"/>
  <c r="L31" i="19"/>
  <c r="K31" i="19"/>
  <c r="AC29" i="19" l="1"/>
  <c r="U29" i="19"/>
  <c r="Q29" i="19"/>
  <c r="N29" i="19"/>
  <c r="L29" i="19"/>
  <c r="K29" i="19"/>
  <c r="AC26" i="19" l="1"/>
  <c r="U26" i="19"/>
  <c r="Q26" i="19"/>
  <c r="N26" i="19"/>
  <c r="L26" i="19"/>
  <c r="K26" i="19"/>
  <c r="AC33" i="19" l="1"/>
  <c r="U33" i="19"/>
  <c r="Q33" i="19"/>
  <c r="N33" i="19"/>
  <c r="L33" i="19"/>
  <c r="K33" i="19"/>
  <c r="AC28" i="19" l="1"/>
  <c r="U28" i="19"/>
  <c r="Q28" i="19"/>
  <c r="N28" i="19"/>
  <c r="L28" i="19"/>
  <c r="K28" i="19"/>
  <c r="AC24" i="19" l="1"/>
  <c r="U24" i="19"/>
  <c r="Q24" i="19"/>
  <c r="X24" i="19" s="1"/>
  <c r="N24" i="19"/>
  <c r="L24" i="19"/>
  <c r="K24" i="19"/>
  <c r="C24" i="19"/>
  <c r="AC27" i="19" l="1"/>
  <c r="Q27" i="19"/>
  <c r="N27" i="19"/>
  <c r="U27" i="19"/>
  <c r="L27" i="19"/>
  <c r="K27" i="19"/>
  <c r="AC20" i="19" l="1"/>
  <c r="U20" i="19"/>
  <c r="Q20" i="19"/>
  <c r="N20" i="19"/>
  <c r="L20" i="19"/>
  <c r="K20" i="19"/>
  <c r="AC22" i="19" l="1"/>
  <c r="U22" i="19"/>
  <c r="Q22" i="19"/>
  <c r="N22" i="19"/>
  <c r="L22" i="19"/>
  <c r="K22" i="19"/>
  <c r="AC21" i="19" l="1"/>
  <c r="Q21" i="19"/>
  <c r="N21" i="19"/>
  <c r="U21" i="19"/>
  <c r="L21" i="19"/>
  <c r="K21" i="19"/>
  <c r="AC25" i="19" l="1"/>
  <c r="Q25" i="19"/>
  <c r="N25" i="19"/>
  <c r="U25" i="19"/>
  <c r="L25" i="19"/>
  <c r="K25" i="19"/>
  <c r="AC19" i="19" l="1"/>
  <c r="Q19" i="19"/>
  <c r="N19" i="19"/>
  <c r="U19" i="19"/>
  <c r="L19" i="19"/>
  <c r="K19" i="19"/>
  <c r="AC23" i="19" l="1"/>
  <c r="U23" i="19"/>
  <c r="N23" i="19"/>
  <c r="Q23" i="19"/>
  <c r="X23" i="19" s="1"/>
  <c r="L23" i="19"/>
  <c r="K23" i="19"/>
  <c r="C23" i="19"/>
  <c r="AC16" i="19" l="1"/>
  <c r="Q16" i="19"/>
  <c r="N16" i="19"/>
  <c r="U16" i="19"/>
  <c r="L16" i="19"/>
  <c r="K16" i="19"/>
  <c r="AC17" i="19" l="1"/>
  <c r="U17" i="19"/>
  <c r="Q17" i="19"/>
  <c r="N17" i="19"/>
  <c r="L17" i="19"/>
  <c r="K17" i="19"/>
  <c r="AC15" i="19" l="1"/>
  <c r="U15" i="19"/>
  <c r="Q15" i="19"/>
  <c r="N15" i="19"/>
  <c r="L15" i="19"/>
  <c r="K15" i="19"/>
  <c r="Q18" i="19" l="1"/>
  <c r="X18" i="19" s="1"/>
  <c r="N18" i="19"/>
  <c r="AC18" i="19"/>
  <c r="U18" i="19"/>
  <c r="L18" i="19"/>
  <c r="K18" i="19"/>
  <c r="C18" i="19"/>
  <c r="AC11" i="19" l="1"/>
  <c r="U11" i="19"/>
  <c r="Q11" i="19"/>
  <c r="N11" i="19"/>
  <c r="L11" i="19"/>
  <c r="K11" i="19"/>
  <c r="AC10" i="19" l="1"/>
  <c r="U10" i="19"/>
  <c r="N10" i="19"/>
  <c r="Q10" i="19"/>
  <c r="L10" i="19"/>
  <c r="K10" i="19"/>
  <c r="AC14" i="19" l="1"/>
  <c r="U14" i="19"/>
  <c r="Q14" i="19"/>
  <c r="N14" i="19"/>
  <c r="L14" i="19"/>
  <c r="K14" i="19"/>
  <c r="AC12" i="19" l="1"/>
  <c r="N12" i="19"/>
  <c r="U12" i="19"/>
  <c r="Q12" i="19"/>
  <c r="L12" i="19"/>
  <c r="K12" i="19"/>
  <c r="AC13" i="19" l="1"/>
  <c r="N13" i="19"/>
  <c r="U13" i="19"/>
  <c r="Q13" i="19"/>
  <c r="L13" i="19"/>
  <c r="K13" i="19"/>
  <c r="AC9" i="19" l="1"/>
  <c r="U9" i="19"/>
  <c r="Q9" i="19"/>
  <c r="N9" i="19"/>
  <c r="L9" i="19"/>
  <c r="K9" i="19"/>
  <c r="AC8" i="19" l="1"/>
  <c r="Q8" i="19"/>
  <c r="N8" i="19"/>
  <c r="U8" i="19"/>
  <c r="L8" i="19"/>
  <c r="K8" i="19"/>
  <c r="AC7" i="19" l="1"/>
  <c r="Q7" i="19"/>
  <c r="N7" i="19"/>
  <c r="U7" i="19"/>
  <c r="L7" i="19"/>
  <c r="K7" i="19"/>
  <c r="AC6" i="19" l="1"/>
  <c r="U6" i="19"/>
  <c r="Q6" i="19"/>
  <c r="X6" i="19" s="1"/>
  <c r="N6" i="19"/>
  <c r="L6" i="19"/>
  <c r="K6" i="19"/>
  <c r="C6" i="19"/>
  <c r="AC5" i="19" l="1"/>
  <c r="U5" i="19"/>
  <c r="Q5" i="19"/>
  <c r="N5" i="19"/>
  <c r="L5" i="19"/>
  <c r="K5" i="19"/>
  <c r="AC4" i="19" l="1"/>
  <c r="U4" i="19"/>
  <c r="Q4" i="19"/>
  <c r="N4" i="19"/>
  <c r="N45" i="19" s="1"/>
  <c r="L4" i="19"/>
  <c r="L45" i="19" s="1"/>
  <c r="L47" i="19" s="1"/>
  <c r="L49" i="19" s="1"/>
  <c r="K4" i="19"/>
  <c r="E4" i="19"/>
  <c r="C4" i="19" s="1"/>
  <c r="R1" i="19"/>
  <c r="N49" i="19" s="1"/>
  <c r="K8" i="17"/>
  <c r="AI4" i="17"/>
  <c r="I30" i="17"/>
  <c r="J10" i="17"/>
  <c r="K10" i="17"/>
  <c r="K23" i="17"/>
  <c r="B11" i="17"/>
  <c r="AI10" i="17"/>
  <c r="AJ8" i="17"/>
  <c r="AI11" i="17"/>
  <c r="B8" i="17"/>
  <c r="AJ23" i="17"/>
  <c r="B4" i="17"/>
  <c r="J26" i="17"/>
  <c r="AN26" i="17"/>
  <c r="AI14" i="17"/>
  <c r="I11" i="17"/>
  <c r="J11" i="17"/>
  <c r="AN14" i="17"/>
  <c r="AI26" i="17"/>
  <c r="AN23" i="17"/>
  <c r="AJ40" i="17"/>
  <c r="AM11" i="17"/>
  <c r="B24" i="17"/>
  <c r="AN8" i="17"/>
  <c r="K4" i="17"/>
  <c r="J30" i="17"/>
  <c r="B40" i="17"/>
  <c r="AJ4" i="17"/>
  <c r="AJ30" i="17"/>
  <c r="AI40" i="17"/>
  <c r="AN30" i="17"/>
  <c r="AJ11" i="17"/>
  <c r="AJ14" i="17"/>
  <c r="AN4" i="17"/>
  <c r="I10" i="17"/>
  <c r="AM26" i="17"/>
  <c r="I26" i="17"/>
  <c r="AJ10" i="17"/>
  <c r="AJ24" i="17"/>
  <c r="J14" i="17"/>
  <c r="AM30" i="17"/>
  <c r="J40" i="17"/>
  <c r="I8" i="17"/>
  <c r="J4" i="17"/>
  <c r="K24" i="17"/>
  <c r="K26" i="17"/>
  <c r="K14" i="17"/>
  <c r="K40" i="17"/>
  <c r="J23" i="17"/>
  <c r="AI23" i="17"/>
  <c r="B10" i="17"/>
  <c r="AN40" i="17"/>
  <c r="AM10" i="17"/>
  <c r="I40" i="17"/>
  <c r="AI8" i="17"/>
  <c r="I4" i="17"/>
  <c r="I14" i="17"/>
  <c r="B26" i="17"/>
  <c r="J24" i="17"/>
  <c r="K30" i="17"/>
  <c r="AN24" i="17"/>
  <c r="AM23" i="17"/>
  <c r="AI24" i="17"/>
  <c r="I23" i="17"/>
  <c r="AI30" i="17"/>
  <c r="AM4" i="17"/>
  <c r="J8" i="17"/>
  <c r="AN11" i="17"/>
  <c r="AN10" i="17"/>
  <c r="AM8" i="17"/>
  <c r="AM24" i="17"/>
  <c r="I24" i="17"/>
  <c r="B23" i="17"/>
  <c r="AJ26" i="17"/>
  <c r="B30" i="17"/>
  <c r="B14" i="17"/>
  <c r="K11" i="17"/>
  <c r="AM14" i="17"/>
  <c r="AM40" i="17"/>
  <c r="J17" i="17"/>
  <c r="AM17" i="17"/>
  <c r="AN42" i="17"/>
  <c r="K21" i="17"/>
  <c r="AI42" i="17"/>
  <c r="AM33" i="17"/>
  <c r="B21" i="17"/>
  <c r="K28" i="17"/>
  <c r="B33" i="17"/>
  <c r="B12" i="17"/>
  <c r="I42" i="17"/>
  <c r="AM42" i="17"/>
  <c r="J12" i="17"/>
  <c r="AJ12" i="17"/>
  <c r="B28" i="17"/>
  <c r="AN28" i="17"/>
  <c r="AM28" i="17"/>
  <c r="K17" i="17"/>
  <c r="AI33" i="17"/>
  <c r="AN17" i="17"/>
  <c r="AN21" i="17"/>
  <c r="AJ17" i="17"/>
  <c r="I21" i="17"/>
  <c r="AJ28" i="17"/>
  <c r="B17" i="17"/>
  <c r="AJ42" i="17"/>
  <c r="J21" i="17"/>
  <c r="AI28" i="17"/>
  <c r="AM12" i="17"/>
  <c r="AI17" i="17"/>
  <c r="AI12" i="17"/>
  <c r="K33" i="17"/>
  <c r="I17" i="17"/>
  <c r="AM21" i="17"/>
  <c r="B42" i="17"/>
  <c r="K12" i="17"/>
  <c r="AJ33" i="17"/>
  <c r="AJ21" i="17"/>
  <c r="AN33" i="17"/>
  <c r="I28" i="17"/>
  <c r="J28" i="17"/>
  <c r="J33" i="17"/>
  <c r="J42" i="17"/>
  <c r="I12" i="17"/>
  <c r="K42" i="17"/>
  <c r="AN12" i="17"/>
  <c r="AI21" i="17"/>
  <c r="I33" i="17"/>
  <c r="X129" i="17"/>
  <c r="X144" i="17"/>
  <c r="Y131" i="17"/>
  <c r="Y141" i="17"/>
  <c r="X138" i="17"/>
  <c r="Y145" i="17"/>
  <c r="X136" i="17"/>
  <c r="X127" i="17"/>
  <c r="Y135" i="17"/>
  <c r="X141" i="17"/>
  <c r="Y127" i="17"/>
  <c r="Y133" i="17"/>
  <c r="Y136" i="17"/>
  <c r="Y129" i="17"/>
  <c r="X135" i="17"/>
  <c r="X145" i="17"/>
  <c r="X131" i="17"/>
  <c r="Y144" i="17"/>
  <c r="X133" i="17"/>
  <c r="Y138" i="17"/>
  <c r="AN27" i="17"/>
  <c r="I6" i="17"/>
  <c r="AN38" i="17"/>
  <c r="J36" i="17"/>
  <c r="B6" i="17"/>
  <c r="AN5" i="17"/>
  <c r="I36" i="17"/>
  <c r="AM7" i="17"/>
  <c r="B36" i="17"/>
  <c r="AN20" i="17"/>
  <c r="AI38" i="17"/>
  <c r="AJ38" i="17"/>
  <c r="I7" i="17"/>
  <c r="AJ20" i="17"/>
  <c r="K22" i="17"/>
  <c r="K27" i="17"/>
  <c r="AM20" i="17"/>
  <c r="B20" i="17"/>
  <c r="K7" i="17"/>
  <c r="AI36" i="17"/>
  <c r="J7" i="17"/>
  <c r="J6" i="17"/>
  <c r="AN22" i="17"/>
  <c r="B38" i="17"/>
  <c r="B7" i="17"/>
  <c r="K36" i="17"/>
  <c r="AM27" i="17"/>
  <c r="J38" i="17"/>
  <c r="AN36" i="17"/>
  <c r="I38" i="17"/>
  <c r="J20" i="17"/>
  <c r="I22" i="17"/>
  <c r="I16" i="17"/>
  <c r="AM22" i="17"/>
  <c r="AI27" i="17"/>
  <c r="AI7" i="17"/>
  <c r="AM13" i="17"/>
  <c r="AM36" i="17"/>
  <c r="B27" i="17"/>
  <c r="AJ22" i="17"/>
  <c r="AN13" i="17"/>
  <c r="K16" i="17"/>
  <c r="K38" i="17"/>
  <c r="AI13" i="17"/>
  <c r="J13" i="17"/>
  <c r="AJ7" i="17"/>
  <c r="K6" i="17"/>
  <c r="I27" i="17"/>
  <c r="I13" i="17"/>
  <c r="I5" i="17"/>
  <c r="AN6" i="17"/>
  <c r="AJ5" i="17"/>
  <c r="K20" i="17"/>
  <c r="J16" i="17"/>
  <c r="AJ6" i="17"/>
  <c r="AN16" i="17"/>
  <c r="J5" i="17"/>
  <c r="AM16" i="17"/>
  <c r="AI20" i="17"/>
  <c r="AM6" i="17"/>
  <c r="B13" i="17"/>
  <c r="AI5" i="17"/>
  <c r="AJ16" i="17"/>
  <c r="K13" i="17"/>
  <c r="AI16" i="17"/>
  <c r="AM5" i="17"/>
  <c r="AJ27" i="17"/>
  <c r="AI22" i="17"/>
  <c r="K5" i="17"/>
  <c r="B22" i="17"/>
  <c r="AJ13" i="17"/>
  <c r="AM38" i="17"/>
  <c r="AJ36" i="17"/>
  <c r="B16" i="17"/>
  <c r="I20" i="17"/>
  <c r="AN7" i="17"/>
  <c r="J27" i="17"/>
  <c r="J22" i="17"/>
  <c r="B5" i="17"/>
  <c r="AI6" i="17"/>
  <c r="K39" i="17"/>
  <c r="K15" i="17"/>
  <c r="AN18" i="17"/>
  <c r="AI39" i="17"/>
  <c r="AI18" i="17"/>
  <c r="J9" i="17"/>
  <c r="AN35" i="17"/>
  <c r="J31" i="17"/>
  <c r="B9" i="17"/>
  <c r="B15" i="17"/>
  <c r="AJ31" i="17"/>
  <c r="B25" i="17"/>
  <c r="AM19" i="17"/>
  <c r="AM37" i="17"/>
  <c r="AM9" i="17"/>
  <c r="I18" i="17"/>
  <c r="AM25" i="17"/>
  <c r="AM18" i="17"/>
  <c r="AM15" i="17"/>
  <c r="J15" i="17"/>
  <c r="AI29" i="17"/>
  <c r="AM29" i="17"/>
  <c r="J19" i="17"/>
  <c r="AM35" i="17"/>
  <c r="I15" i="17"/>
  <c r="I25" i="17"/>
  <c r="K29" i="17"/>
  <c r="AN37" i="17"/>
  <c r="I31" i="17"/>
  <c r="AM39" i="17"/>
  <c r="AJ35" i="17"/>
  <c r="I9" i="17"/>
  <c r="AJ37" i="17"/>
  <c r="B18" i="17"/>
  <c r="J29" i="17"/>
  <c r="I29" i="17"/>
  <c r="K35" i="17"/>
  <c r="AJ39" i="17"/>
  <c r="AN31" i="17"/>
  <c r="AN9" i="17"/>
  <c r="J37" i="17"/>
  <c r="I39" i="17"/>
  <c r="AJ18" i="17"/>
  <c r="AI35" i="17"/>
  <c r="AN19" i="17"/>
  <c r="AJ19" i="17"/>
  <c r="AN39" i="17"/>
  <c r="B35" i="17"/>
  <c r="AM31" i="17"/>
  <c r="I19" i="17"/>
  <c r="AJ15" i="17"/>
  <c r="K25" i="17"/>
  <c r="I37" i="17"/>
  <c r="AI37" i="17"/>
  <c r="J39" i="17"/>
  <c r="AI25" i="17"/>
  <c r="I35" i="17"/>
  <c r="AI19" i="17"/>
  <c r="AI9" i="17"/>
  <c r="K37" i="17"/>
  <c r="AI15" i="17"/>
  <c r="K18" i="17"/>
  <c r="J25" i="17"/>
  <c r="AJ29" i="17"/>
  <c r="B29" i="17"/>
  <c r="B31" i="17"/>
  <c r="AI31" i="17"/>
  <c r="K9" i="17"/>
  <c r="AN29" i="17"/>
  <c r="K19" i="17"/>
  <c r="AJ25" i="17"/>
  <c r="J35" i="17"/>
  <c r="B39" i="17"/>
  <c r="B19" i="17"/>
  <c r="AJ9" i="17"/>
  <c r="AN15" i="17"/>
  <c r="AN25" i="17"/>
  <c r="K31" i="17"/>
  <c r="J18" i="17"/>
  <c r="B37" i="17"/>
  <c r="X140" i="17"/>
  <c r="Y132" i="17"/>
  <c r="Y137" i="17"/>
  <c r="X130" i="17"/>
  <c r="Y142" i="17"/>
  <c r="Y139" i="17"/>
  <c r="X143" i="17"/>
  <c r="X139" i="17"/>
  <c r="Y140" i="17"/>
  <c r="Y130" i="17"/>
  <c r="X142" i="17"/>
  <c r="X132" i="17"/>
  <c r="Y134" i="17"/>
  <c r="Y143" i="17"/>
  <c r="X134" i="17"/>
  <c r="X128" i="17"/>
  <c r="Y128" i="17"/>
  <c r="X137" i="17"/>
  <c r="I32" i="17"/>
  <c r="I41" i="17"/>
  <c r="J41" i="17"/>
  <c r="K41" i="17"/>
  <c r="J32" i="17"/>
  <c r="B32" i="17"/>
  <c r="K32" i="17"/>
  <c r="B41" i="17"/>
  <c r="I49" i="17"/>
  <c r="AM1" i="17"/>
  <c r="K49" i="17"/>
  <c r="J49" i="17"/>
  <c r="I34" i="17"/>
  <c r="K34" i="17"/>
  <c r="AJ34" i="17"/>
  <c r="AN34" i="17"/>
  <c r="B34" i="17"/>
  <c r="J34" i="17"/>
  <c r="AD4" i="19" l="1"/>
  <c r="AD42" i="19"/>
  <c r="AD41" i="19"/>
  <c r="AD40" i="19"/>
  <c r="AD38" i="19"/>
  <c r="AD39" i="19"/>
  <c r="AD37" i="19"/>
  <c r="AD36" i="19"/>
  <c r="AD30" i="19"/>
  <c r="AD34" i="19"/>
  <c r="AD32" i="19"/>
  <c r="AD35" i="19"/>
  <c r="AD31" i="19"/>
  <c r="AD29" i="19"/>
  <c r="AD26" i="19"/>
  <c r="AD33" i="19"/>
  <c r="AD28" i="19"/>
  <c r="AD24" i="19"/>
  <c r="AD27" i="19"/>
  <c r="AD20" i="19"/>
  <c r="AD22" i="19"/>
  <c r="AD21" i="19"/>
  <c r="AD25" i="19"/>
  <c r="AD19" i="19"/>
  <c r="AD23" i="19"/>
  <c r="AD16" i="19"/>
  <c r="AD17" i="19"/>
  <c r="AD15" i="19"/>
  <c r="AD18" i="19"/>
  <c r="AD11" i="19"/>
  <c r="AD10" i="19"/>
  <c r="AD14" i="19"/>
  <c r="AD12" i="19"/>
  <c r="AD13" i="19"/>
  <c r="AD9" i="19"/>
  <c r="AD8" i="19"/>
  <c r="AD7" i="19"/>
  <c r="AD6" i="19"/>
  <c r="AD5" i="19"/>
  <c r="N52" i="19"/>
  <c r="N48" i="19"/>
  <c r="N50" i="19" s="1"/>
  <c r="N46" i="19"/>
  <c r="E42" i="19"/>
  <c r="E40" i="19"/>
  <c r="E38" i="19"/>
  <c r="E39" i="19"/>
  <c r="E37" i="19"/>
  <c r="E30" i="19"/>
  <c r="E34" i="19"/>
  <c r="E32" i="19"/>
  <c r="E35" i="19"/>
  <c r="E31" i="19"/>
  <c r="E29" i="19"/>
  <c r="E26" i="19"/>
  <c r="E33" i="19"/>
  <c r="E28" i="19"/>
  <c r="E27" i="19"/>
  <c r="E20" i="19"/>
  <c r="E22" i="19"/>
  <c r="E21" i="19"/>
  <c r="E25" i="19"/>
  <c r="E19" i="19"/>
  <c r="E16" i="19"/>
  <c r="E17" i="19"/>
  <c r="E15" i="19"/>
  <c r="E11" i="19"/>
  <c r="E10" i="19"/>
  <c r="E14" i="19"/>
  <c r="E12" i="19"/>
  <c r="E13" i="19"/>
  <c r="E9" i="19"/>
  <c r="E8" i="19"/>
  <c r="E7" i="19"/>
  <c r="E5" i="19"/>
  <c r="X4" i="19"/>
  <c r="O165" i="17"/>
  <c r="M163" i="17"/>
  <c r="F163" i="17"/>
  <c r="G163" i="17" s="1"/>
  <c r="N162" i="17"/>
  <c r="M162" i="17"/>
  <c r="G162" i="17"/>
  <c r="F162" i="17"/>
  <c r="M161" i="17"/>
  <c r="I162" i="17" s="1"/>
  <c r="H162" i="17" s="1"/>
  <c r="I161" i="17"/>
  <c r="H161" i="17" s="1"/>
  <c r="F161" i="17"/>
  <c r="G161" i="17" s="1"/>
  <c r="M159" i="17"/>
  <c r="F159" i="17"/>
  <c r="G159" i="17" s="1"/>
  <c r="N158" i="17"/>
  <c r="O160" i="17" s="1"/>
  <c r="M158" i="17"/>
  <c r="I159" i="17" s="1"/>
  <c r="H159" i="17" s="1"/>
  <c r="I158" i="17"/>
  <c r="H158" i="17" s="1"/>
  <c r="F158" i="17"/>
  <c r="G158" i="17" s="1"/>
  <c r="N157" i="17"/>
  <c r="M157" i="17"/>
  <c r="F157" i="17"/>
  <c r="G157" i="17" s="1"/>
  <c r="N156" i="17"/>
  <c r="M156" i="17"/>
  <c r="I157" i="17" s="1"/>
  <c r="H157" i="17" s="1"/>
  <c r="I156" i="17"/>
  <c r="H156" i="17" s="1"/>
  <c r="F156" i="17"/>
  <c r="G156" i="17" s="1"/>
  <c r="N155" i="17"/>
  <c r="M155" i="17"/>
  <c r="F155" i="17"/>
  <c r="G155" i="17" s="1"/>
  <c r="N154" i="17"/>
  <c r="M154" i="17"/>
  <c r="I155" i="17" s="1"/>
  <c r="H155" i="17" s="1"/>
  <c r="F154" i="17"/>
  <c r="G154" i="17" s="1"/>
  <c r="N153" i="17"/>
  <c r="O155" i="17" s="1"/>
  <c r="M153" i="17"/>
  <c r="I154" i="17" s="1"/>
  <c r="H154" i="17" s="1"/>
  <c r="F153" i="17"/>
  <c r="G153" i="17" s="1"/>
  <c r="N152" i="17"/>
  <c r="M152" i="17"/>
  <c r="I153" i="17" s="1"/>
  <c r="H153" i="17" s="1"/>
  <c r="F152" i="17"/>
  <c r="G152" i="17" s="1"/>
  <c r="M151" i="17"/>
  <c r="I152" i="17" s="1"/>
  <c r="H152" i="17" s="1"/>
  <c r="F151" i="17"/>
  <c r="G151" i="17" s="1"/>
  <c r="N150" i="17"/>
  <c r="M150" i="17"/>
  <c r="I151" i="17" s="1"/>
  <c r="H151" i="17" s="1"/>
  <c r="F150" i="17"/>
  <c r="G150" i="17" s="1"/>
  <c r="N149" i="17"/>
  <c r="M149" i="17"/>
  <c r="I150" i="17" s="1"/>
  <c r="H150" i="17" s="1"/>
  <c r="F149" i="17"/>
  <c r="G149" i="17" s="1"/>
  <c r="N148" i="17"/>
  <c r="O150" i="17" s="1"/>
  <c r="M148" i="17"/>
  <c r="I149" i="17" s="1"/>
  <c r="H149" i="17" s="1"/>
  <c r="F148" i="17"/>
  <c r="G148" i="17" s="1"/>
  <c r="M147" i="17"/>
  <c r="I148" i="17" s="1"/>
  <c r="H148" i="17" s="1"/>
  <c r="F147" i="17"/>
  <c r="G147" i="17" s="1"/>
  <c r="M146" i="17"/>
  <c r="I147" i="17" s="1"/>
  <c r="H147" i="17" s="1"/>
  <c r="F146" i="17"/>
  <c r="G146" i="17" s="1"/>
  <c r="C35" i="19" l="1"/>
  <c r="X35" i="19"/>
  <c r="C7" i="19"/>
  <c r="X7" i="19"/>
  <c r="C22" i="19"/>
  <c r="X22" i="19"/>
  <c r="C38" i="19"/>
  <c r="X38" i="19"/>
  <c r="C32" i="19"/>
  <c r="X32" i="19"/>
  <c r="C30" i="19"/>
  <c r="X30" i="19"/>
  <c r="C14" i="19"/>
  <c r="X14" i="19"/>
  <c r="C19" i="19"/>
  <c r="X19" i="19"/>
  <c r="C8" i="19"/>
  <c r="X8" i="19"/>
  <c r="C37" i="19"/>
  <c r="X37" i="19"/>
  <c r="C12" i="19"/>
  <c r="X12" i="19"/>
  <c r="C42" i="19"/>
  <c r="X42" i="19"/>
  <c r="C25" i="19"/>
  <c r="X25" i="19"/>
  <c r="C39" i="19"/>
  <c r="X39" i="19"/>
  <c r="C34" i="19"/>
  <c r="X34" i="19"/>
  <c r="C9" i="19"/>
  <c r="X9" i="19"/>
  <c r="C20" i="19"/>
  <c r="X20" i="19"/>
  <c r="C28" i="19"/>
  <c r="X28" i="19"/>
  <c r="C10" i="19"/>
  <c r="X10" i="19"/>
  <c r="C16" i="19"/>
  <c r="X16" i="19"/>
  <c r="C5" i="19"/>
  <c r="X5" i="19"/>
  <c r="C21" i="19"/>
  <c r="X21" i="19"/>
  <c r="C13" i="19"/>
  <c r="X13" i="19"/>
  <c r="C27" i="19"/>
  <c r="X27" i="19"/>
  <c r="C40" i="19"/>
  <c r="X40" i="19"/>
  <c r="C33" i="19"/>
  <c r="X33" i="19"/>
  <c r="C11" i="19"/>
  <c r="X11" i="19"/>
  <c r="C26" i="19"/>
  <c r="X26" i="19"/>
  <c r="C15" i="19"/>
  <c r="X15" i="19"/>
  <c r="C29" i="19"/>
  <c r="X29" i="19"/>
  <c r="C17" i="19"/>
  <c r="X17" i="19"/>
  <c r="C31" i="19"/>
  <c r="X31" i="19"/>
  <c r="AC145" i="17"/>
  <c r="AA145" i="17"/>
  <c r="N145" i="17"/>
  <c r="M145" i="17"/>
  <c r="I146" i="17" s="1"/>
  <c r="H146" i="17" s="1"/>
  <c r="F145" i="17"/>
  <c r="G145" i="17" s="1"/>
  <c r="X45" i="19" l="1"/>
  <c r="AC144" i="17"/>
  <c r="AA144" i="17"/>
  <c r="N144" i="17"/>
  <c r="O145" i="17" s="1"/>
  <c r="M144" i="17"/>
  <c r="I145" i="17" s="1"/>
  <c r="H145" i="17" s="1"/>
  <c r="G144" i="17"/>
  <c r="F144" i="17"/>
  <c r="AC143" i="17" l="1"/>
  <c r="AA143" i="17"/>
  <c r="AC142" i="17" l="1"/>
  <c r="AA142" i="17"/>
  <c r="N142" i="17"/>
  <c r="M142" i="17"/>
  <c r="I144" i="17" s="1"/>
  <c r="H144" i="17" s="1"/>
  <c r="F142" i="17"/>
  <c r="G142" i="17" s="1"/>
  <c r="AC141" i="17" l="1"/>
  <c r="AA141" i="17"/>
  <c r="N141" i="17"/>
  <c r="M141" i="17"/>
  <c r="F141" i="17"/>
  <c r="G141" i="17" s="1"/>
  <c r="AC140" i="17" l="1"/>
  <c r="AA140" i="17"/>
  <c r="M140" i="17"/>
  <c r="I141" i="17" s="1"/>
  <c r="H141" i="17" s="1"/>
  <c r="F140" i="17"/>
  <c r="G140" i="17" s="1"/>
  <c r="AC139" i="17" l="1"/>
  <c r="AA139" i="17"/>
  <c r="N139" i="17"/>
  <c r="M139" i="17"/>
  <c r="I140" i="17" s="1"/>
  <c r="H140" i="17" s="1"/>
  <c r="F139" i="17"/>
  <c r="G139" i="17" s="1"/>
  <c r="AC138" i="17" l="1"/>
  <c r="AA138" i="17"/>
  <c r="N138" i="17"/>
  <c r="O140" i="17" s="1"/>
  <c r="M138" i="17"/>
  <c r="I139" i="17" s="1"/>
  <c r="H139" i="17" s="1"/>
  <c r="F138" i="17"/>
  <c r="G138" i="17" s="1"/>
  <c r="AC137" i="17" l="1"/>
  <c r="AA137" i="17"/>
  <c r="M137" i="17"/>
  <c r="I138" i="17" s="1"/>
  <c r="H138" i="17" s="1"/>
  <c r="F137" i="17"/>
  <c r="G137" i="17" s="1"/>
  <c r="AC136" i="17" l="1"/>
  <c r="AA136" i="17"/>
  <c r="N136" i="17"/>
  <c r="M136" i="17"/>
  <c r="I137" i="17" s="1"/>
  <c r="H137" i="17" s="1"/>
  <c r="F136" i="17"/>
  <c r="G136" i="17" s="1"/>
  <c r="AA135" i="17" l="1"/>
  <c r="AC135" i="17"/>
  <c r="N135" i="17"/>
  <c r="M135" i="17"/>
  <c r="I136" i="17" s="1"/>
  <c r="H136" i="17" s="1"/>
  <c r="G135" i="17"/>
  <c r="F135" i="17"/>
  <c r="AA134" i="17" l="1"/>
  <c r="AC134" i="17"/>
  <c r="M134" i="17"/>
  <c r="I135" i="17" s="1"/>
  <c r="H135" i="17" s="1"/>
  <c r="F134" i="17"/>
  <c r="G134" i="17" s="1"/>
  <c r="AC133" i="17" l="1"/>
  <c r="AA133" i="17"/>
  <c r="N133" i="17"/>
  <c r="O135" i="17" s="1"/>
  <c r="M133" i="17"/>
  <c r="I134" i="17" s="1"/>
  <c r="H134" i="17" s="1"/>
  <c r="F133" i="17"/>
  <c r="G133" i="17" s="1"/>
  <c r="AC132" i="17" l="1"/>
  <c r="AA132" i="17"/>
  <c r="M132" i="17"/>
  <c r="I133" i="17" s="1"/>
  <c r="H133" i="17" s="1"/>
  <c r="F132" i="17"/>
  <c r="G132" i="17" s="1"/>
  <c r="AA131" i="17" l="1"/>
  <c r="AC131" i="17"/>
  <c r="M131" i="17"/>
  <c r="I132" i="17" s="1"/>
  <c r="H132" i="17" s="1"/>
  <c r="F131" i="17"/>
  <c r="G131" i="17" s="1"/>
  <c r="AC130" i="17" l="1"/>
  <c r="AA130" i="17"/>
  <c r="M130" i="17"/>
  <c r="I131" i="17" s="1"/>
  <c r="H131" i="17" s="1"/>
  <c r="G130" i="17"/>
  <c r="F130" i="17"/>
  <c r="AC129" i="17" l="1"/>
  <c r="AA129" i="17"/>
  <c r="M129" i="17"/>
  <c r="I130" i="17" s="1"/>
  <c r="H130" i="17" s="1"/>
  <c r="F129" i="17"/>
  <c r="G129" i="17" s="1"/>
  <c r="AA128" i="17" l="1"/>
  <c r="AC128" i="17"/>
  <c r="N128" i="17"/>
  <c r="O130" i="17" s="1"/>
  <c r="M128" i="17"/>
  <c r="I129" i="17" s="1"/>
  <c r="H129" i="17" s="1"/>
  <c r="F128" i="17"/>
  <c r="G128" i="17" s="1"/>
  <c r="AC127" i="17" l="1"/>
  <c r="AA127" i="17"/>
  <c r="N127" i="17"/>
  <c r="M127" i="17"/>
  <c r="I128" i="17" s="1"/>
  <c r="H128" i="17" s="1"/>
  <c r="F127" i="17"/>
  <c r="G127" i="17" s="1"/>
  <c r="N126" i="17"/>
  <c r="O125" i="17" s="1"/>
  <c r="M126" i="17"/>
  <c r="I127" i="17" s="1"/>
  <c r="H127" i="17" s="1"/>
  <c r="I126" i="17"/>
  <c r="H126" i="17" s="1"/>
  <c r="F126" i="17"/>
  <c r="G126" i="17" s="1"/>
  <c r="M125" i="17"/>
  <c r="F125" i="17"/>
  <c r="G125" i="17" s="1"/>
  <c r="M124" i="17"/>
  <c r="I125" i="17" s="1"/>
  <c r="H125" i="17" s="1"/>
  <c r="I124" i="17"/>
  <c r="H124" i="17"/>
  <c r="G124" i="17"/>
  <c r="F124" i="17"/>
  <c r="M123" i="17"/>
  <c r="G123" i="17"/>
  <c r="F123" i="17"/>
  <c r="N122" i="17"/>
  <c r="M122" i="17"/>
  <c r="I123" i="17" s="1"/>
  <c r="H123" i="17" s="1"/>
  <c r="I122" i="17"/>
  <c r="H122" i="17"/>
  <c r="G122" i="17"/>
  <c r="F122" i="17"/>
  <c r="M121" i="17"/>
  <c r="F121" i="17"/>
  <c r="G121" i="17" s="1"/>
  <c r="M120" i="17"/>
  <c r="I121" i="17" s="1"/>
  <c r="H121" i="17" s="1"/>
  <c r="I120" i="17"/>
  <c r="H120" i="17"/>
  <c r="F120" i="17"/>
  <c r="G120" i="17" s="1"/>
  <c r="N119" i="17"/>
  <c r="M119" i="17"/>
  <c r="F119" i="17"/>
  <c r="G119" i="17" s="1"/>
  <c r="N118" i="17"/>
  <c r="O120" i="17" s="1"/>
  <c r="M118" i="17"/>
  <c r="I119" i="17" s="1"/>
  <c r="H119" i="17" s="1"/>
  <c r="F118" i="17"/>
  <c r="G118" i="17" s="1"/>
  <c r="M117" i="17"/>
  <c r="G117" i="17" s="1"/>
  <c r="F117" i="17"/>
  <c r="M116" i="17"/>
  <c r="I117" i="17" s="1"/>
  <c r="H117" i="17" s="1"/>
  <c r="F116" i="17"/>
  <c r="G116" i="17" s="1"/>
  <c r="O115" i="17"/>
  <c r="M115" i="17"/>
  <c r="G115" i="17" s="1"/>
  <c r="I115" i="17"/>
  <c r="H115" i="17" s="1"/>
  <c r="F115" i="17"/>
  <c r="N114" i="17"/>
  <c r="M114" i="17"/>
  <c r="F114" i="17"/>
  <c r="G114" i="17" s="1"/>
  <c r="M113" i="17"/>
  <c r="I114" i="17" s="1"/>
  <c r="H114" i="17" s="1"/>
  <c r="I113" i="17"/>
  <c r="H113" i="17"/>
  <c r="F113" i="17"/>
  <c r="G113" i="17" s="1"/>
  <c r="N112" i="17"/>
  <c r="M112" i="17"/>
  <c r="F112" i="17"/>
  <c r="G112" i="17" s="1"/>
  <c r="N111" i="17"/>
  <c r="O110" i="17" s="1"/>
  <c r="M111" i="17"/>
  <c r="I112" i="17" s="1"/>
  <c r="H112" i="17" s="1"/>
  <c r="I111" i="17"/>
  <c r="H111" i="17"/>
  <c r="F111" i="17"/>
  <c r="G111" i="17" s="1"/>
  <c r="N110" i="17"/>
  <c r="M110" i="17"/>
  <c r="F110" i="17"/>
  <c r="G110" i="17" s="1"/>
  <c r="M109" i="17"/>
  <c r="I110" i="17" s="1"/>
  <c r="H110" i="17" s="1"/>
  <c r="I109" i="17"/>
  <c r="H109" i="17"/>
  <c r="F109" i="17"/>
  <c r="G109" i="17" s="1"/>
  <c r="M108" i="17"/>
  <c r="F108" i="17"/>
  <c r="G108" i="17" s="1"/>
  <c r="N107" i="17"/>
  <c r="M107" i="17"/>
  <c r="I108" i="17" s="1"/>
  <c r="H108" i="17" s="1"/>
  <c r="I107" i="17"/>
  <c r="H107" i="17"/>
  <c r="G107" i="17"/>
  <c r="F107" i="17"/>
  <c r="M106" i="17"/>
  <c r="G106" i="17"/>
  <c r="F106" i="17"/>
  <c r="N105" i="17"/>
  <c r="M105" i="17"/>
  <c r="I106" i="17" s="1"/>
  <c r="H106" i="17" s="1"/>
  <c r="I105" i="17"/>
  <c r="H105" i="17"/>
  <c r="G105" i="17"/>
  <c r="F105" i="17"/>
  <c r="M104" i="17"/>
  <c r="G104" i="17"/>
  <c r="F104" i="17"/>
  <c r="N103" i="17"/>
  <c r="O105" i="17" s="1"/>
  <c r="M103" i="17"/>
  <c r="I104" i="17" s="1"/>
  <c r="H104" i="17" s="1"/>
  <c r="I103" i="17"/>
  <c r="H103" i="17"/>
  <c r="F103" i="17"/>
  <c r="G103" i="17" s="1"/>
  <c r="M101" i="17"/>
  <c r="F101" i="17"/>
  <c r="G101" i="17" s="1"/>
  <c r="M100" i="17"/>
  <c r="I101" i="17" s="1"/>
  <c r="H101" i="17" s="1"/>
  <c r="I100" i="17"/>
  <c r="H100" i="17"/>
  <c r="F100" i="17"/>
  <c r="G100" i="17" s="1"/>
  <c r="N99" i="17"/>
  <c r="O100" i="17" s="1"/>
  <c r="M99" i="17"/>
  <c r="F99" i="17"/>
  <c r="G99" i="17" s="1"/>
  <c r="M98" i="17"/>
  <c r="I99" i="17" s="1"/>
  <c r="H99" i="17" s="1"/>
  <c r="F98" i="17"/>
  <c r="G98" i="17" s="1"/>
  <c r="N97" i="17"/>
  <c r="M97" i="17"/>
  <c r="G97" i="17" s="1"/>
  <c r="F97" i="17"/>
  <c r="M96" i="17"/>
  <c r="I97" i="17" s="1"/>
  <c r="H97" i="17" s="1"/>
  <c r="F96" i="17"/>
  <c r="G96" i="17" s="1"/>
  <c r="N95" i="17"/>
  <c r="M95" i="17"/>
  <c r="G95" i="17" s="1"/>
  <c r="F95" i="17"/>
  <c r="N94" i="17"/>
  <c r="M94" i="17"/>
  <c r="I95" i="17" s="1"/>
  <c r="H95" i="17" s="1"/>
  <c r="F94" i="17"/>
  <c r="G94" i="17" s="1"/>
  <c r="N93" i="17"/>
  <c r="O95" i="17" s="1"/>
  <c r="M93" i="17"/>
  <c r="G93" i="17" s="1"/>
  <c r="F93" i="17"/>
  <c r="M92" i="17"/>
  <c r="I93" i="17" s="1"/>
  <c r="H93" i="17" s="1"/>
  <c r="F92" i="17"/>
  <c r="G92" i="17" s="1"/>
  <c r="N91" i="17"/>
  <c r="M91" i="17"/>
  <c r="G91" i="17" s="1"/>
  <c r="I91" i="17"/>
  <c r="H91" i="17" s="1"/>
  <c r="F91" i="17"/>
  <c r="M90" i="17"/>
  <c r="F90" i="17"/>
  <c r="G90" i="17" s="1"/>
  <c r="N89" i="17"/>
  <c r="O90" i="17" s="1"/>
  <c r="M89" i="17"/>
  <c r="G89" i="17" s="1"/>
  <c r="I89" i="17"/>
  <c r="H89" i="17" s="1"/>
  <c r="F89" i="17"/>
  <c r="M88" i="17"/>
  <c r="F88" i="17"/>
  <c r="G88" i="17" s="1"/>
  <c r="M87" i="17"/>
  <c r="I88" i="17" s="1"/>
  <c r="H88" i="17" s="1"/>
  <c r="I87" i="17"/>
  <c r="H87" i="17"/>
  <c r="G87" i="17"/>
  <c r="F87" i="17"/>
  <c r="N86" i="17"/>
  <c r="M86" i="17"/>
  <c r="F86" i="17"/>
  <c r="G86" i="17" s="1"/>
  <c r="N85" i="17"/>
  <c r="M85" i="17"/>
  <c r="I86" i="17" s="1"/>
  <c r="H86" i="17" s="1"/>
  <c r="I85" i="17"/>
  <c r="H85" i="17"/>
  <c r="G85" i="17"/>
  <c r="F85" i="17"/>
  <c r="M84" i="17"/>
  <c r="G84" i="17"/>
  <c r="F84" i="17"/>
  <c r="M83" i="17"/>
  <c r="I84" i="17" s="1"/>
  <c r="H84" i="17" s="1"/>
  <c r="I83" i="17"/>
  <c r="H83" i="17"/>
  <c r="F83" i="17"/>
  <c r="G83" i="17" s="1"/>
  <c r="N82" i="17"/>
  <c r="M82" i="17"/>
  <c r="F82" i="17"/>
  <c r="G82" i="17" s="1"/>
  <c r="N81" i="17"/>
  <c r="M81" i="17"/>
  <c r="I82" i="17" s="1"/>
  <c r="H82" i="17" s="1"/>
  <c r="F81" i="17"/>
  <c r="G81" i="17" s="1"/>
  <c r="M80" i="17"/>
  <c r="G80" i="17" s="1"/>
  <c r="F80" i="17"/>
  <c r="M79" i="17"/>
  <c r="I80" i="17" s="1"/>
  <c r="H80" i="17" s="1"/>
  <c r="F79" i="17"/>
  <c r="G79" i="17" s="1"/>
  <c r="N78" i="17"/>
  <c r="M78" i="17"/>
  <c r="I79" i="17" s="1"/>
  <c r="H79" i="17" s="1"/>
  <c r="I78" i="17"/>
  <c r="H78" i="17" s="1"/>
  <c r="F78" i="17"/>
  <c r="G78" i="17" s="1"/>
  <c r="M77" i="17"/>
  <c r="F77" i="17"/>
  <c r="G77" i="17" s="1"/>
  <c r="N76" i="17"/>
  <c r="M76" i="17"/>
  <c r="I77" i="17" s="1"/>
  <c r="H77" i="17" s="1"/>
  <c r="I76" i="17"/>
  <c r="H76" i="17"/>
  <c r="F76" i="17"/>
  <c r="G76" i="17" s="1"/>
  <c r="M75" i="17"/>
  <c r="F75" i="17"/>
  <c r="M74" i="17"/>
  <c r="I75" i="17" s="1"/>
  <c r="H75" i="17" s="1"/>
  <c r="F74" i="17"/>
  <c r="G74" i="17" s="1"/>
  <c r="M72" i="17"/>
  <c r="H72" i="17" s="1"/>
  <c r="I72" i="17"/>
  <c r="F72" i="17"/>
  <c r="I71" i="17"/>
  <c r="H71" i="17" s="1"/>
  <c r="F71" i="17"/>
  <c r="G71" i="17" s="1"/>
  <c r="N70" i="17"/>
  <c r="I70" i="17"/>
  <c r="H70" i="17"/>
  <c r="G70" i="17"/>
  <c r="F70" i="17"/>
  <c r="N69" i="17"/>
  <c r="M69" i="17"/>
  <c r="F69" i="17"/>
  <c r="G69" i="17" s="1"/>
  <c r="A69" i="17"/>
  <c r="M68" i="17"/>
  <c r="I69" i="17" s="1"/>
  <c r="H69" i="17" s="1"/>
  <c r="I68" i="17"/>
  <c r="H68" i="17"/>
  <c r="G68" i="17"/>
  <c r="F68" i="17"/>
  <c r="N67" i="17"/>
  <c r="G67" i="17"/>
  <c r="F67" i="17"/>
  <c r="N66" i="17"/>
  <c r="M66" i="17"/>
  <c r="I67" i="17" s="1"/>
  <c r="H67" i="17" s="1"/>
  <c r="N65" i="17"/>
  <c r="M65" i="17"/>
  <c r="I66" i="17" s="1"/>
  <c r="H66" i="17" s="1"/>
  <c r="M64" i="17"/>
  <c r="I65" i="17" s="1"/>
  <c r="H65" i="17" s="1"/>
  <c r="N63" i="17"/>
  <c r="M63" i="17"/>
  <c r="I64" i="17" s="1"/>
  <c r="H64" i="17" s="1"/>
  <c r="N62" i="17"/>
  <c r="M62" i="17"/>
  <c r="I63" i="17" s="1"/>
  <c r="H63" i="17" s="1"/>
  <c r="I62" i="17"/>
  <c r="H62" i="17" s="1"/>
  <c r="N61" i="17"/>
  <c r="M60" i="17"/>
  <c r="I61" i="17" s="1"/>
  <c r="H61" i="17" s="1"/>
  <c r="M59" i="17"/>
  <c r="I60" i="17" s="1"/>
  <c r="H60" i="17" s="1"/>
  <c r="I59" i="17"/>
  <c r="H59" i="17"/>
  <c r="N58" i="17"/>
  <c r="I58" i="17" s="1"/>
  <c r="H58" i="17" s="1"/>
  <c r="I57" i="17"/>
  <c r="H57" i="17" s="1"/>
  <c r="E57" i="17"/>
  <c r="E58" i="17" s="1"/>
  <c r="D57" i="17"/>
  <c r="D58" i="17" s="1"/>
  <c r="B57" i="17"/>
  <c r="B58" i="17" s="1"/>
  <c r="A57" i="17"/>
  <c r="A58" i="17" s="1"/>
  <c r="E56" i="17"/>
  <c r="B50" i="17"/>
  <c r="D56" i="17" s="1"/>
  <c r="M49" i="17" l="1"/>
  <c r="I74" i="17"/>
  <c r="H74" i="17" s="1"/>
  <c r="I81" i="17"/>
  <c r="H81" i="17" s="1"/>
  <c r="I118" i="17"/>
  <c r="H118" i="17" s="1"/>
  <c r="I94" i="17"/>
  <c r="H94" i="17" s="1"/>
  <c r="I98" i="17"/>
  <c r="H98" i="17" s="1"/>
  <c r="I90" i="17"/>
  <c r="H90" i="17" s="1"/>
  <c r="I92" i="17"/>
  <c r="H92" i="17" s="1"/>
  <c r="I96" i="17"/>
  <c r="H96" i="17" s="1"/>
  <c r="I116" i="17"/>
  <c r="H116" i="17" s="1"/>
  <c r="A56" i="17"/>
  <c r="G72" i="17"/>
  <c r="B56" i="17"/>
  <c r="C56" i="17"/>
  <c r="O48" i="17"/>
  <c r="AG42" i="17"/>
  <c r="Y42" i="17"/>
  <c r="AO42" i="17" l="1"/>
  <c r="AK42" i="17"/>
  <c r="T42" i="17"/>
  <c r="O42" i="17"/>
  <c r="AE42" i="17"/>
  <c r="M42" i="17"/>
  <c r="Y41" i="17" l="1"/>
  <c r="T41" i="17" l="1"/>
  <c r="O41" i="17"/>
  <c r="M41" i="17"/>
  <c r="AG40" i="17"/>
  <c r="Y40" i="17"/>
  <c r="AO40" i="17" l="1"/>
  <c r="AK40" i="17"/>
  <c r="AE40" i="17"/>
  <c r="O40" i="17"/>
  <c r="T40" i="17"/>
  <c r="M40" i="17"/>
  <c r="AG38" i="17"/>
  <c r="Y38" i="17"/>
  <c r="AO38" i="17" l="1"/>
  <c r="AK38" i="17"/>
  <c r="AE38" i="17"/>
  <c r="T38" i="17"/>
  <c r="O38" i="17"/>
  <c r="M38" i="17"/>
  <c r="AG39" i="17"/>
  <c r="Y39" i="17"/>
  <c r="AO39" i="17" l="1"/>
  <c r="AK39" i="17"/>
  <c r="AE39" i="17"/>
  <c r="T39" i="17"/>
  <c r="O39" i="17"/>
  <c r="M39" i="17"/>
  <c r="AG37" i="17"/>
  <c r="Y37" i="17"/>
  <c r="AO37" i="17" l="1"/>
  <c r="AK37" i="17"/>
  <c r="AE37" i="17"/>
  <c r="T37" i="17"/>
  <c r="O37" i="17"/>
  <c r="M37" i="17"/>
  <c r="AG36" i="17"/>
  <c r="Y36" i="17"/>
  <c r="AO36" i="17" l="1"/>
  <c r="AK36" i="17"/>
  <c r="AE36" i="17"/>
  <c r="T36" i="17"/>
  <c r="O36" i="17"/>
  <c r="M36" i="17"/>
  <c r="AG35" i="17"/>
  <c r="Y35" i="17"/>
  <c r="AO35" i="17" l="1"/>
  <c r="AK35" i="17"/>
  <c r="AE35" i="17"/>
  <c r="O35" i="17"/>
  <c r="T35" i="17"/>
  <c r="M35" i="17"/>
  <c r="AG34" i="17"/>
  <c r="Y34" i="17"/>
  <c r="AO34" i="17" l="1"/>
  <c r="AK34" i="17"/>
  <c r="AE34" i="17"/>
  <c r="T34" i="17"/>
  <c r="O34" i="17"/>
  <c r="M34" i="17"/>
  <c r="AG33" i="17"/>
  <c r="Y33" i="17"/>
  <c r="AO33" i="17" l="1"/>
  <c r="AK33" i="17"/>
  <c r="AE33" i="17"/>
  <c r="T33" i="17"/>
  <c r="O33" i="17"/>
  <c r="M33" i="17"/>
  <c r="AG26" i="17"/>
  <c r="Y26" i="17"/>
  <c r="AO26" i="17" l="1"/>
  <c r="AK26" i="17"/>
  <c r="AE26" i="17"/>
  <c r="O26" i="17"/>
  <c r="T26" i="17"/>
  <c r="M26" i="17"/>
  <c r="Y32" i="17" l="1"/>
  <c r="T32" i="17" l="1"/>
  <c r="O32" i="17"/>
  <c r="M32" i="17"/>
  <c r="AG28" i="17"/>
  <c r="Y28" i="17"/>
  <c r="AO28" i="17" l="1"/>
  <c r="AK28" i="17"/>
  <c r="AE28" i="17"/>
  <c r="O28" i="17"/>
  <c r="T28" i="17"/>
  <c r="M28" i="17"/>
  <c r="AG30" i="17"/>
  <c r="Y30" i="17"/>
  <c r="AO30" i="17" l="1"/>
  <c r="AK30" i="17"/>
  <c r="T30" i="17"/>
  <c r="O30" i="17"/>
  <c r="AE30" i="17"/>
  <c r="M30" i="17"/>
  <c r="AG31" i="17"/>
  <c r="Y31" i="17"/>
  <c r="AO31" i="17" l="1"/>
  <c r="AK31" i="17"/>
  <c r="AE31" i="17"/>
  <c r="O31" i="17"/>
  <c r="T31" i="17"/>
  <c r="M31" i="17"/>
  <c r="AG29" i="17"/>
  <c r="Y29" i="17"/>
  <c r="AO29" i="17" l="1"/>
  <c r="AK29" i="17"/>
  <c r="AE29" i="17"/>
  <c r="O29" i="17"/>
  <c r="T29" i="17"/>
  <c r="M29" i="17"/>
  <c r="AG27" i="17"/>
  <c r="Y27" i="17"/>
  <c r="AO27" i="17" l="1"/>
  <c r="AK27" i="17"/>
  <c r="AE27" i="17"/>
  <c r="O27" i="17"/>
  <c r="T27" i="17"/>
  <c r="M27" i="17"/>
  <c r="AG25" i="17"/>
  <c r="Y25" i="17"/>
  <c r="AO25" i="17" l="1"/>
  <c r="AK25" i="17"/>
  <c r="AE25" i="17"/>
  <c r="T25" i="17"/>
  <c r="O25" i="17"/>
  <c r="M25" i="17"/>
  <c r="AG24" i="17"/>
  <c r="Y24" i="17"/>
  <c r="AO24" i="17" l="1"/>
  <c r="AK24" i="17"/>
  <c r="AE24" i="17"/>
  <c r="O24" i="17"/>
  <c r="T24" i="17"/>
  <c r="M24" i="17"/>
  <c r="AG21" i="17"/>
  <c r="Y21" i="17"/>
  <c r="AO21" i="17" l="1"/>
  <c r="AK21" i="17"/>
  <c r="AE21" i="17"/>
  <c r="T21" i="17"/>
  <c r="O21" i="17"/>
  <c r="M21" i="17"/>
  <c r="AG18" i="17"/>
  <c r="Y18" i="17"/>
  <c r="AO18" i="17" l="1"/>
  <c r="AK18" i="17"/>
  <c r="AE18" i="17"/>
  <c r="T18" i="17"/>
  <c r="O18" i="17"/>
  <c r="M18" i="17"/>
  <c r="AG22" i="17"/>
  <c r="Y22" i="17"/>
  <c r="AO22" i="17" l="1"/>
  <c r="AK22" i="17"/>
  <c r="AE22" i="17"/>
  <c r="T22" i="17"/>
  <c r="O22" i="17"/>
  <c r="M22" i="17"/>
  <c r="AG20" i="17"/>
  <c r="Y20" i="17"/>
  <c r="AO20" i="17" l="1"/>
  <c r="AK20" i="17"/>
  <c r="AE20" i="17"/>
  <c r="T20" i="17"/>
  <c r="O20" i="17"/>
  <c r="M20" i="17"/>
  <c r="AG19" i="17"/>
  <c r="Y19" i="17"/>
  <c r="AO19" i="17" l="1"/>
  <c r="AK19" i="17"/>
  <c r="AE19" i="17"/>
  <c r="T19" i="17"/>
  <c r="O19" i="17"/>
  <c r="M19" i="17"/>
  <c r="AG23" i="17"/>
  <c r="Y23" i="17"/>
  <c r="AO23" i="17" l="1"/>
  <c r="AK23" i="17"/>
  <c r="AE23" i="17"/>
  <c r="O23" i="17"/>
  <c r="T23" i="17"/>
  <c r="M23" i="17"/>
  <c r="AG17" i="17"/>
  <c r="Y17" i="17"/>
  <c r="AO17" i="17" l="1"/>
  <c r="AK17" i="17"/>
  <c r="AE17" i="17"/>
  <c r="T17" i="17"/>
  <c r="O17" i="17"/>
  <c r="M17" i="17"/>
  <c r="AG16" i="17"/>
  <c r="Y16" i="17"/>
  <c r="AO16" i="17" l="1"/>
  <c r="AK16" i="17"/>
  <c r="T16" i="17"/>
  <c r="O16" i="17"/>
  <c r="AE16" i="17"/>
  <c r="M16" i="17"/>
  <c r="AG14" i="17"/>
  <c r="Y14" i="17"/>
  <c r="AO14" i="17" l="1"/>
  <c r="AK14" i="17"/>
  <c r="T14" i="17"/>
  <c r="AE14" i="17"/>
  <c r="O14" i="17"/>
  <c r="M14" i="17"/>
  <c r="AG15" i="17"/>
  <c r="Y15" i="17"/>
  <c r="AO15" i="17" l="1"/>
  <c r="AK15" i="17"/>
  <c r="T15" i="17"/>
  <c r="AE15" i="17"/>
  <c r="O15" i="17"/>
  <c r="M15" i="17"/>
  <c r="AG13" i="17"/>
  <c r="Y13" i="17"/>
  <c r="AO13" i="17" l="1"/>
  <c r="AK13" i="17"/>
  <c r="T13" i="17"/>
  <c r="O13" i="17"/>
  <c r="AE13" i="17"/>
  <c r="M13" i="17"/>
  <c r="AG12" i="17"/>
  <c r="Y12" i="17"/>
  <c r="AO12" i="17" l="1"/>
  <c r="AK12" i="17"/>
  <c r="AE12" i="17"/>
  <c r="O12" i="17"/>
  <c r="T12" i="17"/>
  <c r="M12" i="17"/>
  <c r="AG10" i="17"/>
  <c r="Y10" i="17"/>
  <c r="AO10" i="17" l="1"/>
  <c r="AK10" i="17"/>
  <c r="AE10" i="17"/>
  <c r="T10" i="17"/>
  <c r="O10" i="17"/>
  <c r="M10" i="17"/>
  <c r="AG9" i="17"/>
  <c r="Y9" i="17"/>
  <c r="AO9" i="17" l="1"/>
  <c r="AK9" i="17"/>
  <c r="AE9" i="17"/>
  <c r="T9" i="17"/>
  <c r="O9" i="17"/>
  <c r="M9" i="17"/>
  <c r="AG11" i="17"/>
  <c r="Y11" i="17"/>
  <c r="AO11" i="17" l="1"/>
  <c r="AK11" i="17"/>
  <c r="AE11" i="17"/>
  <c r="T11" i="17"/>
  <c r="O11" i="17"/>
  <c r="M11" i="17"/>
  <c r="AG8" i="17"/>
  <c r="Y8" i="17"/>
  <c r="AO8" i="17" l="1"/>
  <c r="AK8" i="17"/>
  <c r="AE8" i="17"/>
  <c r="O8" i="17"/>
  <c r="T8" i="17"/>
  <c r="M8" i="17"/>
  <c r="AG6" i="17"/>
  <c r="Y6" i="17"/>
  <c r="AO6" i="17" l="1"/>
  <c r="AK6" i="17"/>
  <c r="AE6" i="17"/>
  <c r="O6" i="17"/>
  <c r="T6" i="17"/>
  <c r="M6" i="17"/>
  <c r="AG7" i="17"/>
  <c r="Y7" i="17"/>
  <c r="AO7" i="17" l="1"/>
  <c r="AK7" i="17"/>
  <c r="O7" i="17"/>
  <c r="AE7" i="17"/>
  <c r="T7" i="17"/>
  <c r="M7" i="17"/>
  <c r="AG5" i="17"/>
  <c r="Y5" i="17"/>
  <c r="AO5" i="17" l="1"/>
  <c r="AK5" i="17"/>
  <c r="AE5" i="17"/>
  <c r="T5" i="17"/>
  <c r="O5" i="17"/>
  <c r="M5" i="17"/>
  <c r="AG4" i="17"/>
  <c r="Y4" i="17"/>
  <c r="Z4" i="17" s="1"/>
  <c r="AO4" i="17" l="1"/>
  <c r="AK4" i="17"/>
  <c r="AE4" i="17"/>
  <c r="T4" i="17"/>
  <c r="O4" i="17"/>
  <c r="M4" i="17"/>
  <c r="M46" i="17" s="1"/>
  <c r="Z42" i="17"/>
  <c r="Z41" i="17"/>
  <c r="Z40" i="17"/>
  <c r="Z38" i="17"/>
  <c r="Z39" i="17"/>
  <c r="Z37" i="17"/>
  <c r="Z36" i="17"/>
  <c r="Z35" i="17"/>
  <c r="Z34" i="17"/>
  <c r="Z33" i="17"/>
  <c r="Z26" i="17"/>
  <c r="Z32" i="17"/>
  <c r="Z28" i="17"/>
  <c r="Z30" i="17"/>
  <c r="Z31" i="17"/>
  <c r="Z29" i="17"/>
  <c r="Z27" i="17"/>
  <c r="Z25" i="17"/>
  <c r="Z24" i="17"/>
  <c r="Z21" i="17"/>
  <c r="Z18" i="17"/>
  <c r="Z22" i="17"/>
  <c r="Z20" i="17"/>
  <c r="Z19" i="17"/>
  <c r="Z23" i="17"/>
  <c r="Z17" i="17"/>
  <c r="Z16" i="17"/>
  <c r="Z14" i="17"/>
  <c r="Z15" i="17"/>
  <c r="Z13" i="17"/>
  <c r="Z12" i="17"/>
  <c r="Z10" i="17"/>
  <c r="Z9" i="17"/>
  <c r="Z11" i="17"/>
  <c r="Z8" i="17"/>
  <c r="Z6" i="17"/>
  <c r="Z7" i="17"/>
  <c r="Z5" i="17"/>
  <c r="U4" i="17" l="1"/>
  <c r="U42" i="17"/>
  <c r="U41" i="17"/>
  <c r="U40" i="17"/>
  <c r="U38" i="17"/>
  <c r="U39" i="17"/>
  <c r="U37" i="17"/>
  <c r="U36" i="17"/>
  <c r="U35" i="17"/>
  <c r="U34" i="17"/>
  <c r="U33" i="17"/>
  <c r="U26" i="17"/>
  <c r="U32" i="17"/>
  <c r="U28" i="17"/>
  <c r="U30" i="17"/>
  <c r="U31" i="17"/>
  <c r="U29" i="17"/>
  <c r="U27" i="17"/>
  <c r="U25" i="17"/>
  <c r="U24" i="17"/>
  <c r="U21" i="17"/>
  <c r="U18" i="17"/>
  <c r="U22" i="17"/>
  <c r="U20" i="17"/>
  <c r="U19" i="17"/>
  <c r="U23" i="17"/>
  <c r="U17" i="17"/>
  <c r="U16" i="17"/>
  <c r="U14" i="17"/>
  <c r="U15" i="17"/>
  <c r="U13" i="17"/>
  <c r="U12" i="17"/>
  <c r="U10" i="17"/>
  <c r="U9" i="17"/>
  <c r="U11" i="17"/>
  <c r="U8" i="17"/>
  <c r="U6" i="17"/>
  <c r="U7" i="17"/>
  <c r="U5" i="17"/>
  <c r="O46" i="17"/>
  <c r="F4" i="17" s="1"/>
  <c r="G3" i="17"/>
  <c r="D4" i="17" l="1"/>
  <c r="A4" i="17"/>
  <c r="R54" i="17"/>
  <c r="O49" i="17"/>
  <c r="Q52" i="17"/>
  <c r="P42" i="17"/>
  <c r="Q42" i="17" s="1"/>
  <c r="F42" i="17"/>
  <c r="P41" i="17"/>
  <c r="Q41" i="17" s="1"/>
  <c r="F41" i="17"/>
  <c r="P40" i="17"/>
  <c r="Q40" i="17" s="1"/>
  <c r="F40" i="17"/>
  <c r="P38" i="17"/>
  <c r="Q38" i="17" s="1"/>
  <c r="F38" i="17"/>
  <c r="P39" i="17"/>
  <c r="Q39" i="17" s="1"/>
  <c r="F39" i="17"/>
  <c r="P37" i="17"/>
  <c r="Q37" i="17" s="1"/>
  <c r="F37" i="17"/>
  <c r="P36" i="17"/>
  <c r="Q36" i="17" s="1"/>
  <c r="F36" i="17"/>
  <c r="P35" i="17"/>
  <c r="Q35" i="17" s="1"/>
  <c r="F35" i="17"/>
  <c r="P34" i="17"/>
  <c r="Q34" i="17" s="1"/>
  <c r="F34" i="17"/>
  <c r="P33" i="17"/>
  <c r="Q33" i="17" s="1"/>
  <c r="F33" i="17"/>
  <c r="P26" i="17"/>
  <c r="Q26" i="17" s="1"/>
  <c r="F26" i="17"/>
  <c r="P32" i="17"/>
  <c r="Q32" i="17" s="1"/>
  <c r="F32" i="17"/>
  <c r="P28" i="17"/>
  <c r="Q28" i="17" s="1"/>
  <c r="F28" i="17"/>
  <c r="P30" i="17"/>
  <c r="Q30" i="17" s="1"/>
  <c r="F30" i="17"/>
  <c r="P31" i="17"/>
  <c r="Q31" i="17" s="1"/>
  <c r="F31" i="17"/>
  <c r="P29" i="17"/>
  <c r="Q29" i="17" s="1"/>
  <c r="F29" i="17"/>
  <c r="P27" i="17"/>
  <c r="Q27" i="17" s="1"/>
  <c r="F27" i="17"/>
  <c r="P25" i="17"/>
  <c r="Q25" i="17" s="1"/>
  <c r="F25" i="17"/>
  <c r="P24" i="17"/>
  <c r="Q24" i="17" s="1"/>
  <c r="F24" i="17"/>
  <c r="P21" i="17"/>
  <c r="Q21" i="17" s="1"/>
  <c r="F21" i="17"/>
  <c r="P18" i="17"/>
  <c r="Q18" i="17" s="1"/>
  <c r="F18" i="17"/>
  <c r="P22" i="17"/>
  <c r="Q22" i="17" s="1"/>
  <c r="F22" i="17"/>
  <c r="P20" i="17"/>
  <c r="Q20" i="17" s="1"/>
  <c r="F20" i="17"/>
  <c r="P19" i="17"/>
  <c r="Q19" i="17" s="1"/>
  <c r="F19" i="17"/>
  <c r="P23" i="17"/>
  <c r="Q23" i="17" s="1"/>
  <c r="F23" i="17"/>
  <c r="P17" i="17"/>
  <c r="Q17" i="17" s="1"/>
  <c r="F17" i="17"/>
  <c r="P16" i="17"/>
  <c r="Q16" i="17" s="1"/>
  <c r="F16" i="17"/>
  <c r="P14" i="17"/>
  <c r="Q14" i="17" s="1"/>
  <c r="F14" i="17"/>
  <c r="P15" i="17"/>
  <c r="Q15" i="17" s="1"/>
  <c r="F15" i="17"/>
  <c r="P13" i="17"/>
  <c r="Q13" i="17" s="1"/>
  <c r="F13" i="17"/>
  <c r="P12" i="17"/>
  <c r="Q12" i="17" s="1"/>
  <c r="F12" i="17"/>
  <c r="P10" i="17"/>
  <c r="Q10" i="17" s="1"/>
  <c r="F10" i="17"/>
  <c r="P9" i="17"/>
  <c r="Q9" i="17" s="1"/>
  <c r="F9" i="17"/>
  <c r="P11" i="17"/>
  <c r="Q11" i="17" s="1"/>
  <c r="F11" i="17"/>
  <c r="P8" i="17"/>
  <c r="Q8" i="17" s="1"/>
  <c r="F8" i="17"/>
  <c r="P6" i="17"/>
  <c r="Q6" i="17" s="1"/>
  <c r="F6" i="17"/>
  <c r="P7" i="17"/>
  <c r="Q7" i="17" s="1"/>
  <c r="F7" i="17"/>
  <c r="P5" i="17"/>
  <c r="Q5" i="17" s="1"/>
  <c r="F5" i="17"/>
  <c r="P4" i="17"/>
  <c r="Q4" i="17" s="1"/>
  <c r="M48" i="17"/>
  <c r="M50" i="17" s="1"/>
  <c r="S1" i="17"/>
  <c r="O50" i="17" s="1"/>
  <c r="F44" i="17" l="1"/>
  <c r="D17" i="17"/>
  <c r="A17" i="17"/>
  <c r="D41" i="17"/>
  <c r="A41" i="17"/>
  <c r="D24" i="17"/>
  <c r="A24" i="17"/>
  <c r="D42" i="17"/>
  <c r="A42" i="17"/>
  <c r="D9" i="17"/>
  <c r="A9" i="17"/>
  <c r="D21" i="17"/>
  <c r="A21" i="17"/>
  <c r="D12" i="17"/>
  <c r="A12" i="17"/>
  <c r="D6" i="17"/>
  <c r="A6" i="17"/>
  <c r="D13" i="17"/>
  <c r="A13" i="17"/>
  <c r="D19" i="17"/>
  <c r="A19" i="17"/>
  <c r="D25" i="17"/>
  <c r="A25" i="17"/>
  <c r="D32" i="17"/>
  <c r="A32" i="17"/>
  <c r="D37" i="17"/>
  <c r="A37" i="17"/>
  <c r="D40" i="17"/>
  <c r="A40" i="17"/>
  <c r="D31" i="17"/>
  <c r="A31" i="17"/>
  <c r="D10" i="17"/>
  <c r="A10" i="17"/>
  <c r="D7" i="17"/>
  <c r="A7" i="17"/>
  <c r="D36" i="17"/>
  <c r="A36" i="17"/>
  <c r="D15" i="17"/>
  <c r="A15" i="17"/>
  <c r="D18" i="17"/>
  <c r="A18" i="17"/>
  <c r="D30" i="17"/>
  <c r="A30" i="17"/>
  <c r="D16" i="17"/>
  <c r="A16" i="17"/>
  <c r="D5" i="17"/>
  <c r="A5" i="17"/>
  <c r="A44" i="17" s="1"/>
  <c r="D35" i="17"/>
  <c r="A35" i="17"/>
  <c r="D23" i="17"/>
  <c r="A23" i="17"/>
  <c r="O51" i="17"/>
  <c r="D8" i="17"/>
  <c r="A8" i="17"/>
  <c r="D20" i="17"/>
  <c r="A20" i="17"/>
  <c r="D27" i="17"/>
  <c r="A27" i="17"/>
  <c r="D26" i="17"/>
  <c r="A26" i="17"/>
  <c r="D39" i="17"/>
  <c r="A39" i="17"/>
  <c r="D11" i="17"/>
  <c r="A11" i="17"/>
  <c r="D14" i="17"/>
  <c r="A14" i="17"/>
  <c r="D22" i="17"/>
  <c r="A22" i="17"/>
  <c r="D29" i="17"/>
  <c r="A29" i="17"/>
  <c r="D33" i="17"/>
  <c r="A33" i="17"/>
  <c r="D38" i="17"/>
  <c r="A38" i="17"/>
  <c r="D34" i="17"/>
  <c r="A34" i="17"/>
  <c r="D28" i="17"/>
  <c r="A28" i="17"/>
  <c r="G65" i="23" l="1"/>
  <c r="G222" i="23"/>
  <c r="G63" i="23"/>
  <c r="G215" i="23"/>
  <c r="G26" i="23"/>
  <c r="G174" i="23"/>
  <c r="P9" i="23"/>
  <c r="P154" i="23"/>
  <c r="P49" i="23"/>
  <c r="P200" i="23"/>
  <c r="G61" i="23"/>
  <c r="G213" i="23"/>
  <c r="P212" i="23"/>
  <c r="P130" i="23"/>
  <c r="P195" i="23"/>
  <c r="P110" i="23"/>
  <c r="G38" i="23"/>
  <c r="G186" i="23"/>
  <c r="P155" i="23"/>
  <c r="P10" i="23"/>
  <c r="G159" i="23"/>
  <c r="G11" i="23"/>
  <c r="G218" i="23"/>
  <c r="G136" i="23"/>
  <c r="P158" i="23"/>
  <c r="P12" i="23"/>
  <c r="G39" i="23"/>
  <c r="G189" i="23"/>
  <c r="G23" i="23"/>
  <c r="G171" i="23"/>
  <c r="G50" i="23"/>
  <c r="G204" i="23"/>
  <c r="G83" i="23"/>
  <c r="G158" i="23"/>
  <c r="G37" i="23"/>
  <c r="G185" i="23"/>
  <c r="P95" i="23"/>
  <c r="P172" i="23"/>
  <c r="G82" i="23"/>
  <c r="G157" i="23"/>
  <c r="P48" i="23"/>
  <c r="P199" i="23"/>
  <c r="P37" i="23"/>
  <c r="P185" i="23"/>
  <c r="P159" i="23"/>
  <c r="P13" i="23"/>
  <c r="P43" i="23"/>
  <c r="P191" i="23"/>
  <c r="P213" i="23"/>
  <c r="P131" i="23"/>
  <c r="P82" i="23"/>
  <c r="P162" i="23"/>
  <c r="G9" i="23"/>
  <c r="G154" i="23"/>
  <c r="P7" i="23"/>
  <c r="P152" i="23"/>
  <c r="G187" i="23"/>
  <c r="G110" i="23"/>
  <c r="P45" i="23"/>
  <c r="P193" i="23"/>
  <c r="G223" i="23"/>
  <c r="G139" i="23"/>
  <c r="G22" i="23"/>
  <c r="G170" i="23"/>
  <c r="P38" i="23"/>
  <c r="P186" i="23"/>
  <c r="P22" i="23"/>
  <c r="P170" i="23"/>
  <c r="G64" i="23"/>
  <c r="G219" i="23"/>
  <c r="P24" i="23"/>
  <c r="P173" i="23"/>
  <c r="G49" i="23"/>
  <c r="G200" i="23"/>
  <c r="P216" i="23"/>
  <c r="P134" i="23"/>
  <c r="P224" i="23"/>
  <c r="P140" i="23"/>
  <c r="P161" i="23"/>
  <c r="P14" i="23"/>
  <c r="P194" i="23"/>
  <c r="P109" i="23"/>
  <c r="G220" i="23"/>
  <c r="G137" i="23"/>
  <c r="P94" i="23"/>
  <c r="P169" i="23"/>
  <c r="P42" i="23"/>
  <c r="P190" i="23"/>
  <c r="P196" i="23"/>
  <c r="P111" i="23"/>
  <c r="P80" i="23"/>
  <c r="P156" i="23"/>
  <c r="P44" i="23"/>
  <c r="P192" i="23"/>
  <c r="P222" i="23"/>
  <c r="P138" i="23"/>
  <c r="P157" i="23"/>
  <c r="P11" i="23"/>
  <c r="P39" i="23"/>
  <c r="P187" i="23"/>
  <c r="G95" i="23"/>
  <c r="G169" i="23"/>
  <c r="G66" i="23"/>
  <c r="G225" i="23"/>
  <c r="P23" i="23"/>
  <c r="P171" i="23"/>
  <c r="P81" i="23"/>
  <c r="P160" i="23"/>
  <c r="P25" i="23"/>
  <c r="P174" i="23"/>
  <c r="P46" i="23"/>
  <c r="P197" i="23"/>
  <c r="P36" i="23"/>
  <c r="P184" i="23"/>
  <c r="P215" i="23"/>
  <c r="P133" i="23"/>
  <c r="G224" i="23"/>
  <c r="G140" i="23"/>
  <c r="G211" i="23"/>
  <c r="G133" i="23"/>
  <c r="G203" i="23"/>
  <c r="G123" i="23"/>
  <c r="P26" i="23"/>
  <c r="P176" i="23"/>
  <c r="G221" i="23"/>
  <c r="G138" i="23"/>
  <c r="P214" i="23"/>
  <c r="P132" i="23"/>
  <c r="P47" i="23"/>
  <c r="P198" i="23"/>
  <c r="P223" i="23"/>
  <c r="P139" i="23"/>
  <c r="G81" i="23"/>
  <c r="G155" i="23"/>
  <c r="P96" i="23"/>
  <c r="P175" i="23"/>
  <c r="P41" i="23"/>
  <c r="P189" i="23"/>
  <c r="P40" i="23"/>
  <c r="P188" i="23"/>
  <c r="G96" i="23"/>
  <c r="G175" i="23"/>
  <c r="P97" i="23"/>
  <c r="P177" i="23"/>
  <c r="P204" i="23"/>
  <c r="P122" i="23"/>
  <c r="G60" i="23"/>
  <c r="G212" i="23"/>
  <c r="G8" i="23"/>
  <c r="G153" i="23"/>
  <c r="P8" i="23"/>
  <c r="P153" i="23"/>
  <c r="P50" i="23"/>
  <c r="P201" i="23"/>
  <c r="G62" i="23"/>
  <c r="G214" i="23"/>
  <c r="P21" i="23"/>
  <c r="P168" i="23"/>
  <c r="G217" i="23"/>
  <c r="G135" i="23"/>
  <c r="G216" i="23"/>
  <c r="G134" i="23"/>
  <c r="G21" i="23"/>
  <c r="G168" i="23"/>
  <c r="G24" i="23"/>
  <c r="G172" i="23"/>
  <c r="P225" i="23"/>
  <c r="P141" i="23"/>
  <c r="G156" i="23"/>
  <c r="G10" i="23"/>
  <c r="G25" i="23"/>
  <c r="G173" i="23"/>
  <c r="P83" i="23"/>
  <c r="P163" i="23"/>
  <c r="P164" i="23"/>
  <c r="P15" i="23"/>
  <c r="G202" i="23"/>
  <c r="G124" i="23"/>
  <c r="G188" i="23"/>
  <c r="G111" i="23"/>
  <c r="G201" i="23"/>
  <c r="G122" i="23"/>
  <c r="B272" i="23" l="1"/>
  <c r="B271" i="23"/>
  <c r="B270" i="23"/>
  <c r="B269" i="23"/>
  <c r="B268" i="23"/>
  <c r="B267" i="23"/>
  <c r="B266" i="23"/>
  <c r="B265" i="23"/>
  <c r="B264" i="23"/>
  <c r="B263" i="23"/>
  <c r="B262" i="23"/>
  <c r="C259" i="23"/>
  <c r="B259" i="23"/>
  <c r="B258" i="23"/>
  <c r="B257" i="23"/>
  <c r="B256" i="23"/>
  <c r="B255" i="23"/>
  <c r="B254" i="23"/>
  <c r="B253" i="23"/>
  <c r="B252" i="23"/>
  <c r="B251" i="23"/>
  <c r="B250" i="23"/>
  <c r="B249" i="23"/>
  <c r="D259" i="23" l="1"/>
  <c r="B274" i="23"/>
  <c r="Q225" i="23"/>
  <c r="H225" i="23" l="1"/>
  <c r="Q224" i="23" l="1"/>
  <c r="H224" i="23" l="1"/>
  <c r="Q223" i="23" l="1"/>
  <c r="H223" i="23" l="1"/>
  <c r="Q222" i="23" l="1"/>
  <c r="H222" i="23" l="1"/>
  <c r="H221" i="23" l="1"/>
  <c r="J220" i="23"/>
  <c r="H220" i="23" l="1"/>
  <c r="H219" i="23" l="1"/>
  <c r="H218" i="23" l="1"/>
  <c r="B218" i="23"/>
  <c r="H217" i="23" l="1"/>
  <c r="Q216" i="23" l="1"/>
  <c r="H216" i="23" l="1"/>
  <c r="Q215" i="23" l="1"/>
  <c r="H215" i="23" l="1"/>
  <c r="Q214" i="23" l="1"/>
  <c r="K214" i="23"/>
  <c r="H214" i="23" l="1"/>
  <c r="Q213" i="23" l="1"/>
  <c r="H213" i="23" l="1"/>
  <c r="Q212" i="23" l="1"/>
  <c r="H212" i="23" l="1"/>
  <c r="H211" i="23" l="1"/>
  <c r="J210" i="23"/>
  <c r="A209" i="23"/>
  <c r="K208" i="23"/>
  <c r="B207" i="23"/>
  <c r="Q204" i="23" l="1"/>
  <c r="H204" i="23" l="1"/>
  <c r="H203" i="23" l="1"/>
  <c r="H202" i="23" l="1"/>
  <c r="Q201" i="23" l="1"/>
  <c r="J201" i="23"/>
  <c r="H201" i="23" l="1"/>
  <c r="Q200" i="23" l="1"/>
  <c r="H200" i="23" l="1"/>
  <c r="Q199" i="23" l="1"/>
  <c r="Q198" i="23" l="1"/>
  <c r="A198" i="23"/>
  <c r="Q197" i="23" l="1"/>
  <c r="Q196" i="23" l="1"/>
  <c r="Q195" i="23" l="1"/>
  <c r="Q194" i="23" l="1"/>
  <c r="Q193" i="23" l="1"/>
  <c r="B193" i="23"/>
  <c r="Q192" i="23" l="1"/>
  <c r="K192" i="23"/>
  <c r="Q191" i="23" l="1"/>
  <c r="Q190" i="23" l="1"/>
  <c r="Q189" i="23" l="1"/>
  <c r="H189" i="23" l="1"/>
  <c r="Q188" i="23" l="1"/>
  <c r="H188" i="23" l="1"/>
  <c r="Q187" i="23" l="1"/>
  <c r="H187" i="23" l="1"/>
  <c r="Q186" i="23" l="1"/>
  <c r="H186" i="23" l="1"/>
  <c r="Q185" i="23" l="1"/>
  <c r="H185" i="23" l="1"/>
  <c r="Q184" i="23" l="1"/>
  <c r="J183" i="23"/>
  <c r="A183" i="23"/>
  <c r="B180" i="23"/>
  <c r="K179" i="23"/>
  <c r="Q177" i="23" l="1"/>
  <c r="Q176" i="23" l="1"/>
  <c r="Q175" i="23" l="1"/>
  <c r="H175" i="23" l="1"/>
  <c r="Q174" i="23" l="1"/>
  <c r="H174" i="23" l="1"/>
  <c r="Q173" i="23" l="1"/>
  <c r="H173" i="23" l="1"/>
  <c r="Q172" i="23" l="1"/>
  <c r="H172" i="23" l="1"/>
  <c r="Q171" i="23" l="1"/>
  <c r="H171" i="23" l="1"/>
  <c r="Q170" i="23" l="1"/>
  <c r="H170" i="23" l="1"/>
  <c r="Q169" i="23" l="1"/>
  <c r="H169" i="23" l="1"/>
  <c r="Q168" i="23" l="1"/>
  <c r="H168" i="23" l="1"/>
  <c r="J166" i="23"/>
  <c r="A166" i="23"/>
  <c r="Q164" i="23" l="1"/>
  <c r="Q163" i="23" l="1"/>
  <c r="Q162" i="23" l="1"/>
  <c r="B162" i="23"/>
  <c r="Q161" i="23" l="1"/>
  <c r="K161" i="23"/>
  <c r="K228" i="23" s="1"/>
  <c r="Q160" i="23" l="1"/>
  <c r="Q159" i="23" l="1"/>
  <c r="H159" i="23" l="1"/>
  <c r="Q158" i="23" l="1"/>
  <c r="H158" i="23" l="1"/>
  <c r="Q157" i="23" l="1"/>
  <c r="H157" i="23" l="1"/>
  <c r="Q156" i="23" l="1"/>
  <c r="H156" i="23" l="1"/>
  <c r="Q155" i="23" l="1"/>
  <c r="H155" i="23" l="1"/>
  <c r="Q154" i="23" l="1"/>
  <c r="H154" i="23" l="1"/>
  <c r="Q153" i="23" l="1"/>
  <c r="H153" i="23" l="1"/>
  <c r="H229" i="23" s="1"/>
  <c r="Q152" i="23" l="1"/>
  <c r="Q228" i="23" s="1"/>
  <c r="Q231" i="23" s="1"/>
  <c r="J151" i="23"/>
  <c r="A151" i="23"/>
  <c r="Q141" i="23" l="1"/>
  <c r="Q140" i="23" l="1"/>
  <c r="H140" i="23" l="1"/>
  <c r="B140" i="23"/>
  <c r="Q139" i="23" l="1"/>
  <c r="H139" i="23" l="1"/>
  <c r="Q138" i="23" l="1"/>
  <c r="H138" i="23" l="1"/>
  <c r="H137" i="23" l="1"/>
  <c r="H136" i="23" l="1"/>
  <c r="J135" i="23"/>
  <c r="J219" i="23" s="1"/>
  <c r="H135" i="23" l="1"/>
  <c r="Q134" i="23" l="1"/>
  <c r="H134" i="23" l="1"/>
  <c r="Q133" i="23" l="1"/>
  <c r="H133" i="23" l="1"/>
  <c r="Q132" i="23" l="1"/>
  <c r="K132" i="23"/>
  <c r="Q131" i="23" l="1"/>
  <c r="A131" i="23"/>
  <c r="Q130" i="23" l="1"/>
  <c r="B129" i="23"/>
  <c r="J128" i="23"/>
  <c r="K126" i="23"/>
  <c r="H124" i="23" l="1"/>
  <c r="H123" i="23" l="1"/>
  <c r="Q122" i="23" l="1"/>
  <c r="H122" i="23" l="1"/>
  <c r="A120" i="23" s="1"/>
  <c r="J119" i="23"/>
  <c r="B118" i="23"/>
  <c r="K117" i="23"/>
  <c r="Q111" i="23" l="1"/>
  <c r="H111" i="23" l="1"/>
  <c r="Q110" i="23" l="1"/>
  <c r="H110" i="23" l="1"/>
  <c r="Q109" i="23" l="1"/>
  <c r="J108" i="23"/>
  <c r="A108" i="23"/>
  <c r="B106" i="23"/>
  <c r="K105" i="23"/>
  <c r="Q97" i="23" l="1"/>
  <c r="Q96" i="23" l="1"/>
  <c r="H96" i="23" l="1"/>
  <c r="Q95" i="23" l="1"/>
  <c r="H95" i="23" l="1"/>
  <c r="Q94" i="23" l="1"/>
  <c r="J92" i="23"/>
  <c r="A92" i="23"/>
  <c r="B90" i="23"/>
  <c r="K89" i="23"/>
  <c r="K144" i="23" s="1"/>
  <c r="Q83" i="23" l="1"/>
  <c r="H83" i="23" l="1"/>
  <c r="Q82" i="23" l="1"/>
  <c r="H82" i="23" l="1"/>
  <c r="Q81" i="23" l="1"/>
  <c r="H81" i="23" l="1"/>
  <c r="H144" i="23" s="1"/>
  <c r="Q80" i="23" l="1"/>
  <c r="Q144" i="23" s="1"/>
  <c r="A79" i="23"/>
  <c r="C68" i="23"/>
  <c r="B68" i="23"/>
  <c r="H66" i="23" l="1"/>
  <c r="J79" i="23"/>
  <c r="L65" i="23"/>
  <c r="K65" i="23"/>
  <c r="H65" i="23" l="1"/>
  <c r="A76" i="23"/>
  <c r="H64" i="23" l="1"/>
  <c r="K135" i="23"/>
  <c r="B131" i="23"/>
  <c r="K128" i="23"/>
  <c r="K119" i="23"/>
  <c r="B120" i="23"/>
  <c r="B108" i="23"/>
  <c r="K108" i="23"/>
  <c r="B92" i="23"/>
  <c r="K92" i="23"/>
  <c r="A75" i="23"/>
  <c r="B79" i="23"/>
  <c r="K79" i="23"/>
  <c r="H63" i="23" l="1"/>
  <c r="C267" i="23"/>
  <c r="D267" i="23" s="1"/>
  <c r="L105" i="23"/>
  <c r="C264" i="23"/>
  <c r="D264" i="23" s="1"/>
  <c r="C140" i="23"/>
  <c r="C268" i="23"/>
  <c r="D268" i="23" s="1"/>
  <c r="C118" i="23"/>
  <c r="C270" i="23"/>
  <c r="D270" i="23" s="1"/>
  <c r="L126" i="23"/>
  <c r="C272" i="23"/>
  <c r="D272" i="23" s="1"/>
  <c r="L144" i="23"/>
  <c r="C265" i="23"/>
  <c r="D265" i="23" s="1"/>
  <c r="C106" i="23"/>
  <c r="C269" i="23"/>
  <c r="D269" i="23" s="1"/>
  <c r="C129" i="23"/>
  <c r="C271" i="23"/>
  <c r="D271" i="23" s="1"/>
  <c r="L132" i="23"/>
  <c r="C263" i="23"/>
  <c r="D263" i="23" s="1"/>
  <c r="L89" i="23"/>
  <c r="C262" i="23"/>
  <c r="D262" i="23" s="1"/>
  <c r="L117" i="23"/>
  <c r="C266" i="23"/>
  <c r="D266" i="23" s="1"/>
  <c r="C90" i="23"/>
  <c r="H62" i="23" l="1"/>
  <c r="J61" i="23"/>
  <c r="J209" i="23" s="1"/>
  <c r="H61" i="23" l="1"/>
  <c r="H60" i="23" l="1"/>
  <c r="L59" i="23"/>
  <c r="K59" i="23"/>
  <c r="A58" i="23"/>
  <c r="A208" i="23" s="1"/>
  <c r="C56" i="23" l="1"/>
  <c r="B56" i="23"/>
  <c r="J52" i="23" l="1"/>
  <c r="J200" i="23" s="1"/>
  <c r="Q50" i="23" l="1"/>
  <c r="H50" i="23" l="1"/>
  <c r="Q49" i="23" l="1"/>
  <c r="H49" i="23" l="1"/>
  <c r="Q48" i="23" l="1"/>
  <c r="Q47" i="23" l="1"/>
  <c r="A47" i="23"/>
  <c r="A197" i="23" s="1"/>
  <c r="Q46" i="23" l="1"/>
  <c r="Q45" i="23" l="1"/>
  <c r="C45" i="23"/>
  <c r="B45" i="23"/>
  <c r="Q44" i="23" l="1"/>
  <c r="L44" i="23"/>
  <c r="K44" i="23"/>
  <c r="L46" i="23" l="1"/>
  <c r="Q43" i="23" l="1"/>
  <c r="Q42" i="23" l="1"/>
  <c r="Q41" i="23" l="1"/>
  <c r="Q40" i="23" l="1"/>
  <c r="Q39" i="23" l="1"/>
  <c r="H39" i="23" l="1"/>
  <c r="Q38" i="23" l="1"/>
  <c r="H38" i="23" l="1"/>
  <c r="Q37" i="23" l="1"/>
  <c r="H37" i="23" l="1"/>
  <c r="Q36" i="23" l="1"/>
  <c r="J35" i="23"/>
  <c r="J181" i="23" s="1"/>
  <c r="A35" i="23"/>
  <c r="A182" i="23" s="1"/>
  <c r="C33" i="23"/>
  <c r="B33" i="23"/>
  <c r="L32" i="23"/>
  <c r="K32" i="23"/>
  <c r="Q26" i="23" l="1"/>
  <c r="H26" i="23" l="1"/>
  <c r="Q25" i="23" l="1"/>
  <c r="H25" i="23" l="1"/>
  <c r="Q24" i="23" l="1"/>
  <c r="H24" i="23" l="1"/>
  <c r="Q23" i="23" l="1"/>
  <c r="H23" i="23" l="1"/>
  <c r="Q22" i="23" l="1"/>
  <c r="H22" i="23" l="1"/>
  <c r="Q21" i="23" l="1"/>
  <c r="H21" i="23" l="1"/>
  <c r="A19" i="23" s="1"/>
  <c r="J19" i="23"/>
  <c r="J165" i="23" s="1"/>
  <c r="C17" i="23"/>
  <c r="B17" i="23"/>
  <c r="L16" i="23"/>
  <c r="K16" i="23"/>
  <c r="K71" i="23" s="1"/>
  <c r="Q15" i="23" l="1"/>
  <c r="A165" i="23"/>
  <c r="Q14" i="23" l="1"/>
  <c r="Q13" i="23" l="1"/>
  <c r="Q12" i="23" l="1"/>
  <c r="Q11" i="23" l="1"/>
  <c r="H11" i="23" l="1"/>
  <c r="Q10" i="23" l="1"/>
  <c r="H10" i="23" l="1"/>
  <c r="Q9" i="23" l="1"/>
  <c r="H9" i="23" l="1"/>
  <c r="Q8" i="23" l="1"/>
  <c r="H8" i="23" l="1"/>
  <c r="H72" i="23" s="1"/>
  <c r="Q7" i="23" l="1"/>
  <c r="Q71" i="23" s="1"/>
  <c r="J6" i="23"/>
  <c r="J150" i="23" s="1"/>
  <c r="A6" i="23"/>
  <c r="A150" i="23" s="1"/>
  <c r="A3" i="23" l="1"/>
  <c r="A148" i="23" l="1"/>
  <c r="K61" i="23"/>
  <c r="C258" i="23" s="1"/>
  <c r="D258" i="23" s="1"/>
  <c r="B58" i="23"/>
  <c r="C251" i="23" s="1"/>
  <c r="D251" i="23" s="1"/>
  <c r="K52" i="23"/>
  <c r="B47" i="23"/>
  <c r="C256" i="23" s="1"/>
  <c r="D256" i="23" s="1"/>
  <c r="K35" i="23"/>
  <c r="C249" i="23" s="1"/>
  <c r="D249" i="23" s="1"/>
  <c r="B35" i="23"/>
  <c r="C255" i="23" s="1"/>
  <c r="D255" i="23" s="1"/>
  <c r="K19" i="23"/>
  <c r="C254" i="23" s="1"/>
  <c r="D254" i="23" s="1"/>
  <c r="B19" i="23"/>
  <c r="C252" i="23" s="1"/>
  <c r="D252" i="23" s="1"/>
  <c r="K6" i="23"/>
  <c r="C250" i="23" s="1"/>
  <c r="D250" i="23" s="1"/>
  <c r="B6" i="23"/>
  <c r="C253" i="23" s="1"/>
  <c r="D253" i="23" s="1"/>
  <c r="C257" i="23" l="1"/>
  <c r="D257" i="23" s="1"/>
  <c r="L71" i="23"/>
  <c r="Q232" i="23"/>
  <c r="K220" i="23"/>
  <c r="K210" i="23"/>
  <c r="B209" i="23"/>
  <c r="K201" i="23"/>
  <c r="B198" i="23"/>
  <c r="B183" i="23"/>
  <c r="K183" i="23"/>
  <c r="B166" i="23"/>
  <c r="K166" i="23"/>
  <c r="B151" i="23"/>
  <c r="K151" i="23"/>
  <c r="C239" i="23" l="1"/>
  <c r="D239" i="23" s="1"/>
  <c r="C180" i="23"/>
  <c r="C181" i="23" s="1"/>
  <c r="C236" i="23"/>
  <c r="D236" i="23" s="1"/>
  <c r="L192" i="23"/>
  <c r="L193" i="23" s="1"/>
  <c r="C244" i="23"/>
  <c r="D244" i="23" s="1"/>
  <c r="L208" i="23"/>
  <c r="L209" i="23" s="1"/>
  <c r="C241" i="23"/>
  <c r="D241" i="23" s="1"/>
  <c r="L179" i="23"/>
  <c r="L180" i="23" s="1"/>
  <c r="C243" i="23"/>
  <c r="D243" i="23" s="1"/>
  <c r="C207" i="23"/>
  <c r="C208" i="23" s="1"/>
  <c r="C238" i="23"/>
  <c r="D238" i="23" s="1"/>
  <c r="C218" i="23"/>
  <c r="C219" i="23" s="1"/>
  <c r="C245" i="23"/>
  <c r="D245" i="23" s="1"/>
  <c r="L214" i="23"/>
  <c r="L215" i="23" s="1"/>
  <c r="C246" i="23"/>
  <c r="D246" i="23" s="1"/>
  <c r="L222" i="23"/>
  <c r="C237" i="23"/>
  <c r="D237" i="23" s="1"/>
  <c r="L161" i="23"/>
  <c r="L162" i="23" s="1"/>
  <c r="C240" i="23"/>
  <c r="D240" i="23" s="1"/>
  <c r="C162" i="23"/>
  <c r="C163" i="23" s="1"/>
  <c r="C242" i="23"/>
  <c r="D242" i="23" s="1"/>
  <c r="C193" i="23"/>
  <c r="C194" i="23" s="1"/>
  <c r="L228" i="23" l="1"/>
  <c r="L223" i="23"/>
  <c r="Y6" i="9"/>
  <c r="Y27" i="9"/>
  <c r="H27" i="9"/>
  <c r="G27" i="9"/>
  <c r="G55" i="9"/>
  <c r="G32" i="9"/>
  <c r="Z16" i="9"/>
  <c r="H6" i="9"/>
  <c r="H55" i="9"/>
  <c r="Z54" i="9"/>
  <c r="H40" i="9"/>
  <c r="G16" i="9"/>
  <c r="H37" i="9"/>
  <c r="H16" i="9"/>
  <c r="Y32" i="9"/>
  <c r="G6" i="9"/>
  <c r="AD55" i="9"/>
  <c r="G5" i="9"/>
  <c r="Z6" i="9"/>
  <c r="Z27" i="9"/>
  <c r="AD5" i="9"/>
  <c r="Y5" i="9"/>
  <c r="AC54" i="9"/>
  <c r="I32" i="9"/>
  <c r="Y40" i="9"/>
  <c r="AC6" i="9"/>
  <c r="I55" i="9"/>
  <c r="Y37" i="9"/>
  <c r="Z5" i="9"/>
  <c r="H5" i="9"/>
  <c r="Y16" i="9"/>
  <c r="AD6" i="9"/>
  <c r="I24" i="9"/>
  <c r="Z24" i="9"/>
  <c r="AD54" i="9"/>
  <c r="I16" i="9"/>
  <c r="G24" i="9"/>
  <c r="AC55" i="9"/>
  <c r="Z37" i="9"/>
  <c r="Y55" i="9"/>
  <c r="I5" i="9"/>
  <c r="G40" i="9"/>
  <c r="I54" i="9"/>
  <c r="I37" i="9"/>
  <c r="H54" i="9"/>
  <c r="G54" i="9"/>
  <c r="H32" i="9"/>
  <c r="AC5" i="9"/>
  <c r="Z40" i="9"/>
  <c r="Z32" i="9"/>
  <c r="Z55" i="9"/>
  <c r="I40" i="9"/>
  <c r="I27" i="9"/>
  <c r="I6" i="9"/>
  <c r="Y54" i="9"/>
  <c r="H24" i="9"/>
  <c r="Y24" i="9"/>
  <c r="G37" i="9"/>
  <c r="H31" i="9"/>
  <c r="G20" i="9"/>
  <c r="I31" i="9"/>
  <c r="Y26" i="9"/>
  <c r="AD57" i="9"/>
  <c r="H57" i="9"/>
  <c r="H28" i="9"/>
  <c r="Z34" i="9"/>
  <c r="U83" i="9"/>
  <c r="G61" i="9"/>
  <c r="Y20" i="9"/>
  <c r="I34" i="9"/>
  <c r="Z57" i="9"/>
  <c r="G11" i="9"/>
  <c r="Y57" i="9"/>
  <c r="Z26" i="9"/>
  <c r="AC57" i="9"/>
  <c r="H20" i="9"/>
  <c r="AC61" i="9"/>
  <c r="AD61" i="9"/>
  <c r="H61" i="9"/>
  <c r="G57" i="9"/>
  <c r="I11" i="9"/>
  <c r="I35" i="9"/>
  <c r="G31" i="9"/>
  <c r="Y61" i="9"/>
  <c r="Y31" i="9"/>
  <c r="Y34" i="9"/>
  <c r="G35" i="9"/>
  <c r="I20" i="9"/>
  <c r="I36" i="9"/>
  <c r="H34" i="9"/>
  <c r="Z28" i="9"/>
  <c r="Y36" i="9"/>
  <c r="Z11" i="9"/>
  <c r="H35" i="9"/>
  <c r="Z36" i="9"/>
  <c r="Y11" i="9"/>
  <c r="Z61" i="9"/>
  <c r="G26" i="9"/>
  <c r="Z35" i="9"/>
  <c r="AC11" i="9"/>
  <c r="I28" i="9"/>
  <c r="AD11" i="9"/>
  <c r="H26" i="9"/>
  <c r="Y35" i="9"/>
  <c r="I26" i="9"/>
  <c r="I61" i="9"/>
  <c r="H36" i="9"/>
  <c r="G28" i="9"/>
  <c r="Z20" i="9"/>
  <c r="Y28" i="9"/>
  <c r="G34" i="9"/>
  <c r="G36" i="9"/>
  <c r="I57" i="9"/>
  <c r="H11" i="9"/>
  <c r="Z31" i="9"/>
  <c r="G4" i="9"/>
  <c r="H23" i="9"/>
  <c r="H62" i="9"/>
  <c r="I58" i="9"/>
  <c r="I56" i="9"/>
  <c r="I62" i="9"/>
  <c r="H59" i="9"/>
  <c r="G59" i="9"/>
  <c r="AD62" i="9"/>
  <c r="G23" i="9"/>
  <c r="G62" i="9"/>
  <c r="U88" i="9"/>
  <c r="G56" i="9"/>
  <c r="Z29" i="9"/>
  <c r="AD7" i="9"/>
  <c r="Z13" i="9"/>
  <c r="AD58" i="9"/>
  <c r="AC62" i="9"/>
  <c r="I4" i="9"/>
  <c r="I7" i="9"/>
  <c r="G29" i="9"/>
  <c r="Y62" i="9"/>
  <c r="I19" i="9"/>
  <c r="Z19" i="9"/>
  <c r="AD59" i="9"/>
  <c r="G19" i="9"/>
  <c r="H56" i="9"/>
  <c r="I29" i="9"/>
  <c r="Y56" i="9"/>
  <c r="Y23" i="9"/>
  <c r="H7" i="9"/>
  <c r="I59" i="9"/>
  <c r="G7" i="9"/>
  <c r="Z23" i="9"/>
  <c r="H4" i="9"/>
  <c r="Y7" i="9"/>
  <c r="AC4" i="9"/>
  <c r="H29" i="9"/>
  <c r="Z4" i="9"/>
  <c r="AC7" i="9"/>
  <c r="Y59" i="9"/>
  <c r="AD56" i="9"/>
  <c r="Y29" i="9"/>
  <c r="Y13" i="9"/>
  <c r="G13" i="9"/>
  <c r="AC58" i="9"/>
  <c r="Z58" i="9"/>
  <c r="AC59" i="9"/>
  <c r="AC56" i="9"/>
  <c r="H19" i="9"/>
  <c r="Y58" i="9"/>
  <c r="U87" i="9"/>
  <c r="G58" i="9"/>
  <c r="AD4" i="9"/>
  <c r="Z62" i="9"/>
  <c r="Z56" i="9"/>
  <c r="H13" i="9"/>
  <c r="I13" i="9"/>
  <c r="Z7" i="9"/>
  <c r="I23" i="9"/>
  <c r="H58" i="9"/>
  <c r="Y4" i="9"/>
  <c r="Y19" i="9"/>
  <c r="Z59" i="9"/>
  <c r="Z8" i="9"/>
  <c r="G60" i="9"/>
  <c r="H8" i="9"/>
  <c r="H30" i="9"/>
  <c r="G30" i="9"/>
  <c r="H14" i="9"/>
  <c r="H12" i="9"/>
  <c r="Z22" i="9"/>
  <c r="H15" i="9"/>
  <c r="Z9" i="9"/>
  <c r="Y22" i="9"/>
  <c r="I25" i="9"/>
  <c r="AD8" i="9"/>
  <c r="G12" i="9"/>
  <c r="H60" i="9"/>
  <c r="Y12" i="9"/>
  <c r="Z30" i="9"/>
  <c r="G9" i="9"/>
  <c r="G15" i="9"/>
  <c r="G25" i="9"/>
  <c r="I12" i="9"/>
  <c r="Y60" i="9"/>
  <c r="Y15" i="9"/>
  <c r="Y8" i="9"/>
  <c r="I22" i="9"/>
  <c r="H9" i="9"/>
  <c r="Z42" i="9"/>
  <c r="I60" i="9"/>
  <c r="Z60" i="9"/>
  <c r="I30" i="9"/>
  <c r="Z12" i="9"/>
  <c r="G14" i="9"/>
  <c r="G8" i="9"/>
  <c r="H22" i="9"/>
  <c r="AC8" i="9"/>
  <c r="AC60" i="9"/>
  <c r="Z15" i="9"/>
  <c r="I15" i="9"/>
  <c r="G42" i="9"/>
  <c r="Z25" i="9"/>
  <c r="Y14" i="9"/>
  <c r="I42" i="9"/>
  <c r="AC9" i="9"/>
  <c r="H25" i="9"/>
  <c r="AD9" i="9"/>
  <c r="I14" i="9"/>
  <c r="I9" i="9"/>
  <c r="Y42" i="9"/>
  <c r="I8" i="9"/>
  <c r="H42" i="9"/>
  <c r="G22" i="9"/>
  <c r="Y30" i="9"/>
  <c r="Y9" i="9"/>
  <c r="Z14" i="9"/>
  <c r="Y25" i="9"/>
  <c r="AD60" i="9"/>
  <c r="G45" i="9"/>
  <c r="G70" i="9"/>
  <c r="AJ1" i="9"/>
  <c r="I44" i="9"/>
  <c r="H45" i="9"/>
  <c r="G44" i="9"/>
  <c r="H44" i="9"/>
  <c r="G17" i="9"/>
  <c r="H17" i="9"/>
  <c r="H70" i="9"/>
  <c r="I17" i="9"/>
  <c r="I70" i="9"/>
  <c r="I45" i="9"/>
  <c r="P89" i="9"/>
  <c r="U90" i="9"/>
  <c r="U85" i="9"/>
  <c r="P91" i="9"/>
  <c r="U86" i="9"/>
  <c r="U82" i="9"/>
  <c r="U91" i="9"/>
  <c r="U84" i="9"/>
  <c r="U89" i="9"/>
  <c r="P84" i="9"/>
  <c r="G43" i="9"/>
  <c r="Y18" i="9"/>
  <c r="Z41" i="9"/>
  <c r="G39" i="9"/>
  <c r="Z39" i="9"/>
  <c r="I43" i="9"/>
  <c r="I18" i="9"/>
  <c r="H39" i="9"/>
  <c r="H38" i="9"/>
  <c r="G41" i="9"/>
  <c r="H46" i="9"/>
  <c r="H43" i="9"/>
  <c r="Z46" i="9"/>
  <c r="Y38" i="9"/>
  <c r="G18" i="9"/>
  <c r="Y46" i="9"/>
  <c r="Z18" i="9"/>
  <c r="Y39" i="9"/>
  <c r="Y43" i="9"/>
  <c r="Y41" i="9"/>
  <c r="G46" i="9"/>
  <c r="I38" i="9"/>
  <c r="I46" i="9"/>
  <c r="I39" i="9"/>
  <c r="G38" i="9"/>
  <c r="Z43" i="9"/>
  <c r="Z38" i="9"/>
  <c r="H18" i="9"/>
  <c r="I41" i="9"/>
  <c r="H41" i="9"/>
  <c r="P86" i="9"/>
  <c r="P85" i="9"/>
  <c r="P87" i="9"/>
  <c r="P81" i="9"/>
  <c r="P90" i="9"/>
  <c r="P88" i="9"/>
  <c r="P82" i="9"/>
  <c r="U81" i="9"/>
  <c r="P83" i="9"/>
  <c r="H33" i="9"/>
  <c r="Y21" i="9"/>
  <c r="Z33" i="9"/>
  <c r="G10" i="9"/>
  <c r="AC10" i="9"/>
  <c r="H21" i="9"/>
  <c r="I10" i="9"/>
  <c r="H10" i="9"/>
  <c r="G21" i="9"/>
  <c r="Y10" i="9"/>
  <c r="I33" i="9"/>
  <c r="Y33" i="9"/>
  <c r="AD10" i="9"/>
  <c r="Z10" i="9"/>
  <c r="I21" i="9"/>
  <c r="Z21" i="9"/>
  <c r="G33" i="9"/>
  <c r="AA44" i="9" l="1"/>
  <c r="AA45" i="9"/>
  <c r="C152" i="9"/>
  <c r="B152" i="9" s="1"/>
  <c r="C151" i="9"/>
  <c r="B151" i="9" s="1"/>
  <c r="C150" i="9"/>
  <c r="B150" i="9" s="1"/>
  <c r="C149" i="9"/>
  <c r="B149" i="9" s="1"/>
  <c r="C148" i="9"/>
  <c r="B148" i="9" s="1"/>
  <c r="C147" i="9"/>
  <c r="B147" i="9"/>
  <c r="C146" i="9"/>
  <c r="B146" i="9" s="1"/>
  <c r="C145" i="9"/>
  <c r="B145" i="9" s="1"/>
  <c r="C144" i="9"/>
  <c r="B144" i="9" s="1"/>
  <c r="C143" i="9"/>
  <c r="B143" i="9" s="1"/>
  <c r="C142" i="9"/>
  <c r="B142" i="9" s="1"/>
  <c r="C141" i="9"/>
  <c r="B141" i="9"/>
  <c r="C139" i="9"/>
  <c r="B139" i="9" s="1"/>
  <c r="C138" i="9"/>
  <c r="B138" i="9"/>
  <c r="C137" i="9"/>
  <c r="B137" i="9" s="1"/>
  <c r="C136" i="9"/>
  <c r="B136" i="9" s="1"/>
  <c r="C135" i="9"/>
  <c r="B135" i="9" s="1"/>
  <c r="C134" i="9"/>
  <c r="B134" i="9" s="1"/>
  <c r="C133" i="9"/>
  <c r="B133" i="9" s="1"/>
  <c r="C132" i="9"/>
  <c r="B132" i="9"/>
  <c r="C131" i="9"/>
  <c r="B131" i="9" s="1"/>
  <c r="C130" i="9"/>
  <c r="B130" i="9" s="1"/>
  <c r="C129" i="9"/>
  <c r="B129" i="9" s="1"/>
  <c r="C128" i="9"/>
  <c r="B128" i="9" s="1"/>
  <c r="C127" i="9"/>
  <c r="B127" i="9"/>
  <c r="C126" i="9"/>
  <c r="B126" i="9"/>
  <c r="C125" i="9"/>
  <c r="B125" i="9" s="1"/>
  <c r="C124" i="9"/>
  <c r="B124" i="9" s="1"/>
  <c r="C123" i="9"/>
  <c r="B123" i="9" s="1"/>
  <c r="C122" i="9"/>
  <c r="B122" i="9" s="1"/>
  <c r="C121" i="9"/>
  <c r="B121" i="9" s="1"/>
  <c r="C120" i="9"/>
  <c r="B120" i="9"/>
  <c r="C119" i="9"/>
  <c r="B119" i="9" s="1"/>
  <c r="C118" i="9"/>
  <c r="B118" i="9"/>
  <c r="C117" i="9"/>
  <c r="B117" i="9" s="1"/>
  <c r="C116" i="9"/>
  <c r="B116" i="9" s="1"/>
  <c r="C115" i="9"/>
  <c r="B115" i="9"/>
  <c r="C114" i="9"/>
  <c r="B114" i="9" s="1"/>
  <c r="I113" i="9"/>
  <c r="C113" i="9"/>
  <c r="B113" i="9" s="1"/>
  <c r="C112" i="9"/>
  <c r="B112" i="9"/>
  <c r="H111" i="9"/>
  <c r="C111" i="9"/>
  <c r="B111" i="9" s="1"/>
  <c r="C110" i="9"/>
  <c r="B110" i="9" s="1"/>
  <c r="C109" i="9"/>
  <c r="B109" i="9" s="1"/>
  <c r="C108" i="9"/>
  <c r="B108" i="9" s="1"/>
  <c r="C106" i="9"/>
  <c r="B106" i="9" s="1"/>
  <c r="C105" i="9"/>
  <c r="B105" i="9" s="1"/>
  <c r="C104" i="9"/>
  <c r="B104" i="9" s="1"/>
  <c r="C103" i="9"/>
  <c r="B103" i="9"/>
  <c r="C102" i="9"/>
  <c r="B102" i="9" s="1"/>
  <c r="C101" i="9"/>
  <c r="B101" i="9" s="1"/>
  <c r="C100" i="9"/>
  <c r="B100" i="9" s="1"/>
  <c r="C99" i="9"/>
  <c r="B99" i="9" s="1"/>
  <c r="C98" i="9"/>
  <c r="B98" i="9" s="1"/>
  <c r="C97" i="9"/>
  <c r="B97" i="9" s="1"/>
  <c r="C96" i="9"/>
  <c r="B96" i="9" s="1"/>
  <c r="C95" i="9"/>
  <c r="B95" i="9" s="1"/>
  <c r="X94" i="9"/>
  <c r="L94" i="9"/>
  <c r="C94" i="9"/>
  <c r="B94" i="9" s="1"/>
  <c r="C93" i="9"/>
  <c r="B93" i="9" s="1"/>
  <c r="C92" i="9"/>
  <c r="B92" i="9" s="1"/>
  <c r="Y91" i="9"/>
  <c r="O91" i="9"/>
  <c r="M91" i="9"/>
  <c r="C91" i="9"/>
  <c r="B91" i="9" s="1"/>
  <c r="Y90" i="9"/>
  <c r="AA91" i="9" l="1"/>
  <c r="T91" i="9"/>
  <c r="O90" i="9"/>
  <c r="M90" i="9"/>
  <c r="C90" i="9"/>
  <c r="B90" i="9" s="1"/>
  <c r="Y89" i="9"/>
  <c r="AA90" i="9" l="1"/>
  <c r="T90" i="9"/>
  <c r="O89" i="9"/>
  <c r="M89" i="9"/>
  <c r="C89" i="9"/>
  <c r="B89" i="9"/>
  <c r="Y88" i="9"/>
  <c r="AA89" i="9" l="1"/>
  <c r="T89" i="9"/>
  <c r="O88" i="9"/>
  <c r="M88" i="9"/>
  <c r="C88" i="9"/>
  <c r="B88" i="9"/>
  <c r="Y87" i="9"/>
  <c r="AA88" i="9" l="1"/>
  <c r="T88" i="9"/>
  <c r="O87" i="9"/>
  <c r="M87" i="9"/>
  <c r="C87" i="9"/>
  <c r="B87" i="9" s="1"/>
  <c r="Y86" i="9"/>
  <c r="AA87" i="9" l="1"/>
  <c r="T87" i="9"/>
  <c r="O86" i="9"/>
  <c r="M86" i="9"/>
  <c r="C86" i="9"/>
  <c r="B86" i="9" s="1"/>
  <c r="Y85" i="9"/>
  <c r="AA86" i="9" l="1"/>
  <c r="T86" i="9"/>
  <c r="O85" i="9"/>
  <c r="M85" i="9"/>
  <c r="C85" i="9"/>
  <c r="B85" i="9" s="1"/>
  <c r="Y84" i="9"/>
  <c r="AA85" i="9" l="1"/>
  <c r="T85" i="9"/>
  <c r="O84" i="9"/>
  <c r="M84" i="9"/>
  <c r="C84" i="9"/>
  <c r="B84" i="9" s="1"/>
  <c r="Y83" i="9"/>
  <c r="AA84" i="9" l="1"/>
  <c r="T84" i="9"/>
  <c r="O83" i="9"/>
  <c r="M83" i="9"/>
  <c r="C83" i="9"/>
  <c r="B83" i="9"/>
  <c r="Y82" i="9"/>
  <c r="AA83" i="9" l="1"/>
  <c r="T83" i="9"/>
  <c r="O82" i="9"/>
  <c r="M82" i="9"/>
  <c r="Y81" i="9"/>
  <c r="AA82" i="9" l="1"/>
  <c r="T82" i="9"/>
  <c r="Z91" i="9"/>
  <c r="Z90" i="9"/>
  <c r="Z89" i="9"/>
  <c r="Z88" i="9"/>
  <c r="Z87" i="9"/>
  <c r="Z86" i="9"/>
  <c r="Z85" i="9"/>
  <c r="Z84" i="9"/>
  <c r="Z83" i="9"/>
  <c r="Z82" i="9"/>
  <c r="Z81" i="9"/>
  <c r="O81" i="9"/>
  <c r="O93" i="9" s="1"/>
  <c r="M81" i="9"/>
  <c r="N82" i="9" s="1"/>
  <c r="C81" i="9"/>
  <c r="B81" i="9" s="1"/>
  <c r="C80" i="9"/>
  <c r="B80" i="9" s="1"/>
  <c r="C79" i="9"/>
  <c r="B79" i="9" s="1"/>
  <c r="C78" i="9"/>
  <c r="B78" i="9" s="1"/>
  <c r="C77" i="9"/>
  <c r="B77" i="9" s="1"/>
  <c r="C76" i="9"/>
  <c r="B76" i="9" s="1"/>
  <c r="C75" i="9"/>
  <c r="B75" i="9" s="1"/>
  <c r="N81" i="9" l="1"/>
  <c r="N91" i="9"/>
  <c r="N90" i="9"/>
  <c r="N89" i="9"/>
  <c r="N88" i="9"/>
  <c r="N87" i="9"/>
  <c r="N86" i="9"/>
  <c r="N85" i="9"/>
  <c r="N84" i="9"/>
  <c r="N83" i="9"/>
  <c r="K70" i="9"/>
  <c r="AA81" i="9"/>
  <c r="T81" i="9"/>
  <c r="T93" i="9" s="1"/>
  <c r="M69" i="9"/>
  <c r="M76" i="9" s="1"/>
  <c r="AA93" i="9" l="1"/>
  <c r="AA94" i="9" s="1"/>
  <c r="AE62" i="9" l="1"/>
  <c r="AA62" i="9"/>
  <c r="U62" i="9"/>
  <c r="P62" i="9"/>
  <c r="M62" i="9"/>
  <c r="K62" i="9"/>
  <c r="J62" i="9"/>
  <c r="AE61" i="9" l="1"/>
  <c r="AA61" i="9"/>
  <c r="U61" i="9"/>
  <c r="P61" i="9"/>
  <c r="M61" i="9"/>
  <c r="K61" i="9"/>
  <c r="J61" i="9"/>
  <c r="AE60" i="9" l="1"/>
  <c r="AA60" i="9"/>
  <c r="U60" i="9"/>
  <c r="P60" i="9"/>
  <c r="M60" i="9"/>
  <c r="K60" i="9"/>
  <c r="J60" i="9"/>
  <c r="AE59" i="9" l="1"/>
  <c r="AA59" i="9"/>
  <c r="U59" i="9"/>
  <c r="M59" i="9"/>
  <c r="P59" i="9"/>
  <c r="K59" i="9"/>
  <c r="J59" i="9"/>
  <c r="AE58" i="9" l="1"/>
  <c r="AA58" i="9"/>
  <c r="P58" i="9"/>
  <c r="M58" i="9"/>
  <c r="U58" i="9"/>
  <c r="K58" i="9"/>
  <c r="J58" i="9"/>
  <c r="AE57" i="9" l="1"/>
  <c r="AA57" i="9"/>
  <c r="U57" i="9"/>
  <c r="P57" i="9"/>
  <c r="M57" i="9"/>
  <c r="K57" i="9"/>
  <c r="J57" i="9"/>
  <c r="AE56" i="9" l="1"/>
  <c r="AA56" i="9"/>
  <c r="U56" i="9"/>
  <c r="P56" i="9"/>
  <c r="J56" i="9"/>
  <c r="F56" i="9"/>
  <c r="M56" i="9" s="1"/>
  <c r="K56" i="9" l="1"/>
  <c r="AE55" i="9" l="1"/>
  <c r="AA55" i="9"/>
  <c r="U55" i="9"/>
  <c r="P55" i="9"/>
  <c r="M55" i="9"/>
  <c r="K55" i="9"/>
  <c r="J55" i="9"/>
  <c r="O54" i="9"/>
  <c r="AE54" i="9" l="1"/>
  <c r="AA54" i="9"/>
  <c r="U54" i="9"/>
  <c r="P54" i="9"/>
  <c r="M54" i="9"/>
  <c r="M64" i="9" s="1"/>
  <c r="K54" i="9"/>
  <c r="J54" i="9"/>
  <c r="AA46" i="9" l="1"/>
  <c r="U46" i="9"/>
  <c r="P46" i="9"/>
  <c r="M46" i="9"/>
  <c r="K46" i="9"/>
  <c r="J46" i="9"/>
  <c r="M45" i="9" l="1"/>
  <c r="P45" i="9"/>
  <c r="U45" i="9"/>
  <c r="K45" i="9"/>
  <c r="J45" i="9"/>
  <c r="M44" i="9" l="1"/>
  <c r="U44" i="9"/>
  <c r="P44" i="9"/>
  <c r="K44" i="9"/>
  <c r="J44" i="9"/>
  <c r="AA43" i="9" l="1"/>
  <c r="U43" i="9"/>
  <c r="P43" i="9"/>
  <c r="M43" i="9"/>
  <c r="K43" i="9"/>
  <c r="J43" i="9"/>
  <c r="AA42" i="9" l="1"/>
  <c r="M42" i="9"/>
  <c r="U42" i="9"/>
  <c r="P42" i="9"/>
  <c r="K42" i="9"/>
  <c r="J42" i="9"/>
  <c r="AA41" i="9" l="1"/>
  <c r="U41" i="9"/>
  <c r="P41" i="9"/>
  <c r="M41" i="9"/>
  <c r="K41" i="9"/>
  <c r="J41" i="9"/>
  <c r="AA40" i="9" l="1"/>
  <c r="P40" i="9"/>
  <c r="M40" i="9"/>
  <c r="U40" i="9"/>
  <c r="K40" i="9"/>
  <c r="J40" i="9"/>
  <c r="AA39" i="9" l="1"/>
  <c r="U39" i="9"/>
  <c r="P39" i="9"/>
  <c r="M39" i="9"/>
  <c r="K39" i="9"/>
  <c r="J39" i="9"/>
  <c r="AA38" i="9" l="1"/>
  <c r="U38" i="9"/>
  <c r="P38" i="9"/>
  <c r="M38" i="9"/>
  <c r="K38" i="9"/>
  <c r="J38" i="9"/>
  <c r="T37" i="9"/>
  <c r="AA37" i="9" l="1"/>
  <c r="U37" i="9"/>
  <c r="P37" i="9"/>
  <c r="M37" i="9"/>
  <c r="K37" i="9"/>
  <c r="J37" i="9"/>
  <c r="AA36" i="9" l="1"/>
  <c r="U36" i="9"/>
  <c r="P36" i="9"/>
  <c r="M36" i="9"/>
  <c r="K36" i="9"/>
  <c r="J36" i="9"/>
  <c r="AA35" i="9" l="1"/>
  <c r="U35" i="9"/>
  <c r="P35" i="9"/>
  <c r="M35" i="9"/>
  <c r="K35" i="9"/>
  <c r="J35" i="9"/>
  <c r="AA34" i="9" l="1"/>
  <c r="U34" i="9"/>
  <c r="P34" i="9"/>
  <c r="M34" i="9"/>
  <c r="K34" i="9"/>
  <c r="J34" i="9"/>
  <c r="AA33" i="9" l="1"/>
  <c r="M33" i="9"/>
  <c r="U33" i="9"/>
  <c r="P33" i="9"/>
  <c r="K33" i="9"/>
  <c r="J33" i="9"/>
  <c r="B33" i="9"/>
  <c r="AA32" i="9" l="1"/>
  <c r="U32" i="9"/>
  <c r="M32" i="9"/>
  <c r="P32" i="9"/>
  <c r="K32" i="9"/>
  <c r="J32" i="9"/>
  <c r="AA31" i="9" l="1"/>
  <c r="P31" i="9"/>
  <c r="U31" i="9"/>
  <c r="M31" i="9"/>
  <c r="K31" i="9"/>
  <c r="J31" i="9"/>
  <c r="AA30" i="9" l="1"/>
  <c r="U30" i="9"/>
  <c r="M30" i="9"/>
  <c r="P30" i="9"/>
  <c r="K30" i="9"/>
  <c r="J30" i="9"/>
  <c r="AA29" i="9" l="1"/>
  <c r="U29" i="9"/>
  <c r="P29" i="9"/>
  <c r="M29" i="9"/>
  <c r="K29" i="9"/>
  <c r="J29" i="9"/>
  <c r="AA28" i="9" l="1"/>
  <c r="P28" i="9"/>
  <c r="M28" i="9"/>
  <c r="U28" i="9"/>
  <c r="K28" i="9"/>
  <c r="J28" i="9"/>
  <c r="AA27" i="9" l="1"/>
  <c r="U27" i="9"/>
  <c r="P27" i="9"/>
  <c r="M27" i="9"/>
  <c r="K27" i="9"/>
  <c r="J27" i="9"/>
  <c r="AA26" i="9" l="1"/>
  <c r="M26" i="9"/>
  <c r="U26" i="9"/>
  <c r="P26" i="9"/>
  <c r="K26" i="9"/>
  <c r="J26" i="9"/>
  <c r="AA25" i="9" l="1"/>
  <c r="U25" i="9"/>
  <c r="M25" i="9"/>
  <c r="P25" i="9"/>
  <c r="K25" i="9"/>
  <c r="J25" i="9"/>
  <c r="AA24" i="9" l="1"/>
  <c r="U24" i="9"/>
  <c r="P24" i="9"/>
  <c r="M24" i="9"/>
  <c r="K24" i="9"/>
  <c r="J24" i="9"/>
  <c r="B24" i="9"/>
  <c r="AA23" i="9" l="1"/>
  <c r="U23" i="9"/>
  <c r="P23" i="9"/>
  <c r="M23" i="9"/>
  <c r="K23" i="9"/>
  <c r="J23" i="9"/>
  <c r="AA22" i="9" l="1"/>
  <c r="P22" i="9"/>
  <c r="U22" i="9"/>
  <c r="M22" i="9"/>
  <c r="K22" i="9"/>
  <c r="J22" i="9"/>
  <c r="AA21" i="9" l="1"/>
  <c r="U21" i="9"/>
  <c r="P21" i="9"/>
  <c r="M21" i="9"/>
  <c r="K21" i="9"/>
  <c r="J21" i="9"/>
  <c r="AA20" i="9" l="1"/>
  <c r="P20" i="9"/>
  <c r="U20" i="9"/>
  <c r="M20" i="9"/>
  <c r="K20" i="9"/>
  <c r="J20" i="9"/>
  <c r="AA19" i="9" l="1"/>
  <c r="U19" i="9"/>
  <c r="P19" i="9"/>
  <c r="M19" i="9"/>
  <c r="K19" i="9"/>
  <c r="J19" i="9"/>
  <c r="O18" i="9" l="1"/>
  <c r="AA18" i="9" l="1"/>
  <c r="M18" i="9"/>
  <c r="U18" i="9"/>
  <c r="P18" i="9"/>
  <c r="K18" i="9"/>
  <c r="J18" i="9"/>
  <c r="P17" i="9" l="1"/>
  <c r="M17" i="9"/>
  <c r="AA17" i="9"/>
  <c r="U17" i="9"/>
  <c r="K17" i="9"/>
  <c r="J17" i="9"/>
  <c r="AA16" i="9" l="1"/>
  <c r="P16" i="9"/>
  <c r="M16" i="9"/>
  <c r="U16" i="9"/>
  <c r="K16" i="9"/>
  <c r="J16" i="9"/>
  <c r="AA15" i="9" l="1"/>
  <c r="U15" i="9"/>
  <c r="P15" i="9"/>
  <c r="M15" i="9"/>
  <c r="K15" i="9"/>
  <c r="J15" i="9"/>
  <c r="AA14" i="9" l="1"/>
  <c r="U14" i="9"/>
  <c r="P14" i="9"/>
  <c r="M14" i="9"/>
  <c r="K14" i="9"/>
  <c r="J14" i="9"/>
  <c r="AA13" i="9" l="1"/>
  <c r="P13" i="9"/>
  <c r="U13" i="9"/>
  <c r="M13" i="9"/>
  <c r="K13" i="9"/>
  <c r="J13" i="9"/>
  <c r="AA12" i="9" l="1"/>
  <c r="U12" i="9"/>
  <c r="P12" i="9"/>
  <c r="M12" i="9"/>
  <c r="K12" i="9"/>
  <c r="J12" i="9"/>
  <c r="AE11" i="9" l="1"/>
  <c r="AA11" i="9"/>
  <c r="P11" i="9"/>
  <c r="M11" i="9"/>
  <c r="U11" i="9"/>
  <c r="K11" i="9"/>
  <c r="J11" i="9"/>
  <c r="AE10" i="9" l="1"/>
  <c r="AA10" i="9"/>
  <c r="P10" i="9"/>
  <c r="M10" i="9"/>
  <c r="U10" i="9"/>
  <c r="K10" i="9"/>
  <c r="J10" i="9"/>
  <c r="AE9" i="9" l="1"/>
  <c r="AA9" i="9"/>
  <c r="U9" i="9"/>
  <c r="M9" i="9"/>
  <c r="P9" i="9"/>
  <c r="K9" i="9"/>
  <c r="J9" i="9"/>
  <c r="AE8" i="9" l="1"/>
  <c r="AA8" i="9"/>
  <c r="U8" i="9"/>
  <c r="P8" i="9"/>
  <c r="M8" i="9"/>
  <c r="K8" i="9"/>
  <c r="J8" i="9"/>
  <c r="AE7" i="9" l="1"/>
  <c r="AA7" i="9"/>
  <c r="P7" i="9"/>
  <c r="M7" i="9"/>
  <c r="U7" i="9"/>
  <c r="K7" i="9"/>
  <c r="J7" i="9"/>
  <c r="AE6" i="9" l="1"/>
  <c r="AA6" i="9"/>
  <c r="U6" i="9"/>
  <c r="P6" i="9"/>
  <c r="M6" i="9"/>
  <c r="K6" i="9"/>
  <c r="J6" i="9"/>
  <c r="AE5" i="9" l="1"/>
  <c r="AA5" i="9"/>
  <c r="U5" i="9"/>
  <c r="P5" i="9"/>
  <c r="M5" i="9"/>
  <c r="K5" i="9"/>
  <c r="J5" i="9"/>
  <c r="AE4" i="9" l="1"/>
  <c r="AA4" i="9"/>
  <c r="U4" i="9"/>
  <c r="M4" i="9"/>
  <c r="M50" i="9" s="1"/>
  <c r="M67" i="9" s="1"/>
  <c r="A2" i="23" s="1"/>
  <c r="P4" i="9"/>
  <c r="K4" i="9"/>
  <c r="K67" i="9" s="1"/>
  <c r="K69" i="9" s="1"/>
  <c r="K71" i="9" s="1"/>
  <c r="J4" i="9"/>
  <c r="V4" i="9" l="1"/>
  <c r="V62" i="9"/>
  <c r="V61" i="9"/>
  <c r="V60" i="9"/>
  <c r="V59" i="9"/>
  <c r="V58" i="9"/>
  <c r="V57" i="9"/>
  <c r="V56" i="9"/>
  <c r="V55" i="9"/>
  <c r="V54" i="9"/>
  <c r="V46" i="9"/>
  <c r="V45" i="9"/>
  <c r="V44" i="9"/>
  <c r="V43" i="9"/>
  <c r="V42" i="9"/>
  <c r="V41" i="9"/>
  <c r="V40" i="9"/>
  <c r="V39" i="9"/>
  <c r="V38" i="9"/>
  <c r="V37" i="9"/>
  <c r="V36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V10" i="9"/>
  <c r="V9" i="9"/>
  <c r="V8" i="9"/>
  <c r="V7" i="9"/>
  <c r="V6" i="9"/>
  <c r="V5" i="9"/>
  <c r="Q4" i="9"/>
  <c r="Q62" i="9"/>
  <c r="Q61" i="9"/>
  <c r="Q60" i="9"/>
  <c r="Q59" i="9"/>
  <c r="Q58" i="9"/>
  <c r="Q57" i="9"/>
  <c r="Q56" i="9"/>
  <c r="Q55" i="9"/>
  <c r="Q54" i="9"/>
  <c r="Q46" i="9"/>
  <c r="Q45" i="9"/>
  <c r="Q44" i="9"/>
  <c r="Q43" i="9"/>
  <c r="Q42" i="9"/>
  <c r="Q41" i="9"/>
  <c r="Q40" i="9"/>
  <c r="Q39" i="9"/>
  <c r="Q38" i="9"/>
  <c r="Q37" i="9"/>
  <c r="Q36" i="9"/>
  <c r="Q35" i="9"/>
  <c r="Q34" i="9"/>
  <c r="Q33" i="9"/>
  <c r="Q32" i="9"/>
  <c r="Q31" i="9"/>
  <c r="Q30" i="9"/>
  <c r="Q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12" i="9"/>
  <c r="Q11" i="9"/>
  <c r="Q10" i="9"/>
  <c r="Q9" i="9"/>
  <c r="Q8" i="9"/>
  <c r="Q7" i="9"/>
  <c r="Q6" i="9"/>
  <c r="Q5" i="9"/>
  <c r="D4" i="9"/>
  <c r="B4" i="9" s="1"/>
  <c r="M70" i="9"/>
  <c r="D62" i="9"/>
  <c r="D61" i="9"/>
  <c r="D60" i="9"/>
  <c r="D59" i="9"/>
  <c r="D58" i="9"/>
  <c r="D57" i="9"/>
  <c r="D56" i="9"/>
  <c r="D55" i="9"/>
  <c r="D54" i="9"/>
  <c r="L64" i="9"/>
  <c r="D45" i="9"/>
  <c r="B45" i="9" s="1"/>
  <c r="D46" i="9"/>
  <c r="B46" i="9" s="1"/>
  <c r="D44" i="9"/>
  <c r="B44" i="9" s="1"/>
  <c r="D43" i="9"/>
  <c r="B43" i="9" s="1"/>
  <c r="D42" i="9"/>
  <c r="B42" i="9" s="1"/>
  <c r="D41" i="9"/>
  <c r="B41" i="9" s="1"/>
  <c r="D40" i="9"/>
  <c r="B40" i="9" s="1"/>
  <c r="D39" i="9"/>
  <c r="B39" i="9" s="1"/>
  <c r="D38" i="9"/>
  <c r="B38" i="9" s="1"/>
  <c r="D37" i="9"/>
  <c r="B37" i="9" s="1"/>
  <c r="D36" i="9"/>
  <c r="B36" i="9" s="1"/>
  <c r="D35" i="9"/>
  <c r="B35" i="9" s="1"/>
  <c r="D34" i="9"/>
  <c r="B34" i="9" s="1"/>
  <c r="D32" i="9"/>
  <c r="B32" i="9" s="1"/>
  <c r="D31" i="9"/>
  <c r="B31" i="9" s="1"/>
  <c r="D30" i="9"/>
  <c r="B30" i="9" s="1"/>
  <c r="D29" i="9"/>
  <c r="B29" i="9" s="1"/>
  <c r="D28" i="9"/>
  <c r="B28" i="9" s="1"/>
  <c r="D27" i="9"/>
  <c r="B27" i="9" s="1"/>
  <c r="D26" i="9"/>
  <c r="B26" i="9" s="1"/>
  <c r="D25" i="9"/>
  <c r="B25" i="9" s="1"/>
  <c r="D23" i="9"/>
  <c r="B23" i="9" s="1"/>
  <c r="D22" i="9"/>
  <c r="B22" i="9" s="1"/>
  <c r="D21" i="9"/>
  <c r="B21" i="9" s="1"/>
  <c r="D20" i="9"/>
  <c r="B20" i="9" s="1"/>
  <c r="D19" i="9"/>
  <c r="B19" i="9" s="1"/>
  <c r="D18" i="9"/>
  <c r="B18" i="9" s="1"/>
  <c r="D17" i="9"/>
  <c r="B17" i="9" s="1"/>
  <c r="D16" i="9"/>
  <c r="B16" i="9" s="1"/>
  <c r="D15" i="9"/>
  <c r="B15" i="9" s="1"/>
  <c r="D14" i="9"/>
  <c r="B14" i="9" s="1"/>
  <c r="D13" i="9"/>
  <c r="B13" i="9" s="1"/>
  <c r="D12" i="9"/>
  <c r="B12" i="9" s="1"/>
  <c r="D11" i="9"/>
  <c r="B11" i="9" s="1"/>
  <c r="D10" i="9"/>
  <c r="B10" i="9" s="1"/>
  <c r="D9" i="9"/>
  <c r="B9" i="9" s="1"/>
  <c r="D8" i="9"/>
  <c r="B8" i="9" s="1"/>
  <c r="D7" i="9"/>
  <c r="B7" i="9" s="1"/>
  <c r="D6" i="9"/>
  <c r="B6" i="9" s="1"/>
  <c r="D5" i="9"/>
  <c r="B5" i="9" s="1"/>
  <c r="V1" i="9"/>
  <c r="M71" i="9" s="1"/>
  <c r="Q1" i="9"/>
  <c r="X8" i="22"/>
  <c r="U28" i="15"/>
  <c r="R15" i="13"/>
  <c r="R32" i="14"/>
  <c r="V28" i="15"/>
  <c r="S15" i="13"/>
  <c r="S32" i="14"/>
  <c r="AA25" i="15"/>
  <c r="X36" i="13"/>
  <c r="X30" i="14"/>
  <c r="O29" i="22"/>
  <c r="V11" i="15"/>
  <c r="S42" i="13"/>
  <c r="S41" i="14"/>
  <c r="X42" i="22"/>
  <c r="Z14" i="15"/>
  <c r="W40" i="13"/>
  <c r="W34" i="14"/>
  <c r="U33" i="15"/>
  <c r="R26" i="13"/>
  <c r="R4" i="14"/>
  <c r="AA33" i="15"/>
  <c r="X26" i="13"/>
  <c r="X4" i="14"/>
  <c r="Z25" i="15"/>
  <c r="W36" i="13"/>
  <c r="W30" i="14"/>
  <c r="X6" i="22"/>
  <c r="V18" i="15"/>
  <c r="S8" i="13"/>
  <c r="S17" i="14"/>
  <c r="W49" i="13"/>
  <c r="W31" i="14"/>
  <c r="V33" i="15"/>
  <c r="S26" i="13"/>
  <c r="S4" i="14"/>
  <c r="V25" i="15"/>
  <c r="S36" i="13"/>
  <c r="S30" i="14"/>
  <c r="S49" i="13"/>
  <c r="S31" i="14"/>
  <c r="U14" i="15"/>
  <c r="R40" i="13"/>
  <c r="R34" i="14"/>
  <c r="V14" i="15"/>
  <c r="S40" i="13"/>
  <c r="S34" i="14"/>
  <c r="R49" i="13"/>
  <c r="R31" i="14"/>
  <c r="O6" i="22"/>
  <c r="X29" i="22"/>
  <c r="Z28" i="15"/>
  <c r="W15" i="13"/>
  <c r="W32" i="14"/>
  <c r="AA27" i="15"/>
  <c r="X14" i="13"/>
  <c r="X33" i="14"/>
  <c r="Z27" i="15"/>
  <c r="W14" i="13"/>
  <c r="W33" i="14"/>
  <c r="V27" i="15"/>
  <c r="S14" i="13"/>
  <c r="S33" i="14"/>
  <c r="I55" i="12"/>
  <c r="U27" i="15"/>
  <c r="R14" i="13"/>
  <c r="R33" i="14"/>
  <c r="AA28" i="15"/>
  <c r="X15" i="13"/>
  <c r="X32" i="14"/>
  <c r="X55" i="12"/>
  <c r="O40" i="22"/>
  <c r="Z9" i="15"/>
  <c r="W28" i="13"/>
  <c r="W5" i="14"/>
  <c r="AA14" i="15"/>
  <c r="X40" i="13"/>
  <c r="X34" i="14"/>
  <c r="O31" i="22"/>
  <c r="V9" i="15"/>
  <c r="S28" i="13"/>
  <c r="S5" i="14"/>
  <c r="O20" i="22"/>
  <c r="U11" i="15"/>
  <c r="R42" i="13"/>
  <c r="R41" i="14"/>
  <c r="Z33" i="15"/>
  <c r="W26" i="13"/>
  <c r="W4" i="14"/>
  <c r="U18" i="15"/>
  <c r="R8" i="13"/>
  <c r="R17" i="14"/>
  <c r="Z18" i="15"/>
  <c r="W8" i="13"/>
  <c r="W17" i="14"/>
  <c r="O37" i="22"/>
  <c r="X20" i="22"/>
  <c r="X31" i="22"/>
  <c r="O8" i="22"/>
  <c r="AA18" i="15"/>
  <c r="X8" i="13"/>
  <c r="X17" i="14"/>
  <c r="AA11" i="15"/>
  <c r="X42" i="13"/>
  <c r="X41" i="14"/>
  <c r="X37" i="22"/>
  <c r="AA9" i="15"/>
  <c r="X28" i="13"/>
  <c r="X5" i="14"/>
  <c r="Z11" i="15"/>
  <c r="W42" i="13"/>
  <c r="W41" i="14"/>
  <c r="X40" i="22"/>
  <c r="U25" i="15"/>
  <c r="R36" i="13"/>
  <c r="R30" i="14"/>
  <c r="U9" i="15"/>
  <c r="R28" i="13"/>
  <c r="R5" i="14"/>
  <c r="X49" i="13"/>
  <c r="X31" i="14"/>
  <c r="X28" i="22"/>
  <c r="O18" i="22"/>
  <c r="V37" i="15"/>
  <c r="S43" i="13"/>
  <c r="S35" i="14"/>
  <c r="O28" i="22"/>
  <c r="Z23" i="15"/>
  <c r="W29" i="13"/>
  <c r="W54" i="14"/>
  <c r="V10" i="15"/>
  <c r="S12" i="13"/>
  <c r="S12" i="14"/>
  <c r="U37" i="15"/>
  <c r="R43" i="13"/>
  <c r="R35" i="14"/>
  <c r="X19" i="22"/>
  <c r="AA34" i="15"/>
  <c r="X41" i="13"/>
  <c r="X23" i="14"/>
  <c r="O19" i="22"/>
  <c r="U20" i="15"/>
  <c r="R19" i="13"/>
  <c r="R8" i="14"/>
  <c r="Z12" i="15"/>
  <c r="W11" i="13"/>
  <c r="W47" i="14"/>
  <c r="U34" i="15"/>
  <c r="R41" i="13"/>
  <c r="R23" i="14"/>
  <c r="AA23" i="15"/>
  <c r="X29" i="13"/>
  <c r="X54" i="14"/>
  <c r="U12" i="15"/>
  <c r="R11" i="13"/>
  <c r="R47" i="14"/>
  <c r="O48" i="22"/>
  <c r="V23" i="15"/>
  <c r="S29" i="13"/>
  <c r="S54" i="14"/>
  <c r="V16" i="15"/>
  <c r="S13" i="13"/>
  <c r="S11" i="14"/>
  <c r="O32" i="22"/>
  <c r="X48" i="22"/>
  <c r="U16" i="15"/>
  <c r="R13" i="13"/>
  <c r="R11" i="14"/>
  <c r="O51" i="22"/>
  <c r="V20" i="15"/>
  <c r="S19" i="13"/>
  <c r="S8" i="14"/>
  <c r="Z37" i="15"/>
  <c r="W43" i="13"/>
  <c r="W35" i="14"/>
  <c r="X51" i="22"/>
  <c r="Z16" i="15"/>
  <c r="W13" i="13"/>
  <c r="W11" i="14"/>
  <c r="V34" i="15"/>
  <c r="S41" i="13"/>
  <c r="S23" i="14"/>
  <c r="AA16" i="15"/>
  <c r="X13" i="13"/>
  <c r="X11" i="14"/>
  <c r="V12" i="15"/>
  <c r="S11" i="13"/>
  <c r="S47" i="14"/>
  <c r="AA37" i="15"/>
  <c r="X43" i="13"/>
  <c r="X35" i="14"/>
  <c r="X17" i="22"/>
  <c r="Z10" i="15"/>
  <c r="W12" i="13"/>
  <c r="W12" i="14"/>
  <c r="AA12" i="15"/>
  <c r="X11" i="13"/>
  <c r="X47" i="14"/>
  <c r="AA10" i="15"/>
  <c r="X12" i="13"/>
  <c r="X12" i="14"/>
  <c r="X32" i="22"/>
  <c r="U23" i="15"/>
  <c r="R29" i="13"/>
  <c r="R54" i="14"/>
  <c r="AA20" i="15"/>
  <c r="X19" i="13"/>
  <c r="X8" i="14"/>
  <c r="Z34" i="15"/>
  <c r="W41" i="13"/>
  <c r="W23" i="14"/>
  <c r="U10" i="15"/>
  <c r="R12" i="13"/>
  <c r="R12" i="14"/>
  <c r="O17" i="22"/>
  <c r="X18" i="22"/>
  <c r="Z20" i="15"/>
  <c r="W19" i="13"/>
  <c r="W8" i="14"/>
  <c r="Z19" i="15"/>
  <c r="W51" i="13"/>
  <c r="W52" i="14"/>
  <c r="V36" i="15"/>
  <c r="S16" i="13"/>
  <c r="S27" i="14"/>
  <c r="V19" i="15"/>
  <c r="S51" i="13"/>
  <c r="S52" i="14"/>
  <c r="Z36" i="15"/>
  <c r="W16" i="13"/>
  <c r="W27" i="14"/>
  <c r="AA29" i="15"/>
  <c r="X50" i="13"/>
  <c r="X44" i="14"/>
  <c r="Z29" i="15"/>
  <c r="W50" i="13"/>
  <c r="W44" i="14"/>
  <c r="X44" i="22"/>
  <c r="U19" i="15"/>
  <c r="R51" i="13"/>
  <c r="R52" i="14"/>
  <c r="U29" i="15"/>
  <c r="R50" i="13"/>
  <c r="R44" i="14"/>
  <c r="AA36" i="15"/>
  <c r="X16" i="13"/>
  <c r="X27" i="14"/>
  <c r="X49" i="22"/>
  <c r="AA19" i="15"/>
  <c r="X51" i="13"/>
  <c r="X52" i="14"/>
  <c r="X50" i="22"/>
  <c r="U36" i="15"/>
  <c r="R16" i="13"/>
  <c r="R27" i="14"/>
  <c r="V8" i="15"/>
  <c r="S39" i="13"/>
  <c r="S49" i="14"/>
  <c r="Z8" i="15"/>
  <c r="W39" i="13"/>
  <c r="W49" i="14"/>
  <c r="AA8" i="15"/>
  <c r="X39" i="13"/>
  <c r="X49" i="14"/>
  <c r="X43" i="22"/>
  <c r="U8" i="15"/>
  <c r="R39" i="13"/>
  <c r="R49" i="14"/>
  <c r="V29" i="15"/>
  <c r="S50" i="13"/>
  <c r="S44" i="14"/>
  <c r="V7" i="15"/>
  <c r="S38" i="13"/>
  <c r="S15" i="14"/>
  <c r="AA35" i="15"/>
  <c r="X34" i="13"/>
  <c r="X16" i="14"/>
  <c r="U31" i="15"/>
  <c r="R47" i="13"/>
  <c r="R42" i="14"/>
  <c r="Z31" i="15"/>
  <c r="W47" i="13"/>
  <c r="W42" i="14"/>
  <c r="Z24" i="15"/>
  <c r="W37" i="13"/>
  <c r="W37" i="14"/>
  <c r="I57" i="12"/>
  <c r="V39" i="15"/>
  <c r="Z22" i="15"/>
  <c r="W7" i="13"/>
  <c r="W19" i="14"/>
  <c r="AA7" i="15"/>
  <c r="X38" i="13"/>
  <c r="X15" i="14"/>
  <c r="V24" i="15"/>
  <c r="S37" i="13"/>
  <c r="S37" i="14"/>
  <c r="V31" i="15"/>
  <c r="S47" i="13"/>
  <c r="S42" i="14"/>
  <c r="AA6" i="15"/>
  <c r="X46" i="13"/>
  <c r="X13" i="14"/>
  <c r="X35" i="22"/>
  <c r="AA5" i="15"/>
  <c r="X24" i="13"/>
  <c r="X18" i="14"/>
  <c r="U7" i="15"/>
  <c r="R38" i="13"/>
  <c r="R15" i="14"/>
  <c r="AA31" i="15"/>
  <c r="X47" i="13"/>
  <c r="X42" i="14"/>
  <c r="AA24" i="15"/>
  <c r="X37" i="13"/>
  <c r="X37" i="14"/>
  <c r="X33" i="22"/>
  <c r="V22" i="15"/>
  <c r="S7" i="13"/>
  <c r="S19" i="14"/>
  <c r="Z35" i="15"/>
  <c r="W34" i="13"/>
  <c r="W16" i="14"/>
  <c r="X25" i="22"/>
  <c r="X34" i="22"/>
  <c r="Z7" i="15"/>
  <c r="W38" i="13"/>
  <c r="W15" i="14"/>
  <c r="X39" i="22"/>
  <c r="U39" i="15"/>
  <c r="U6" i="15"/>
  <c r="R46" i="13"/>
  <c r="R13" i="14"/>
  <c r="V5" i="15"/>
  <c r="S24" i="13"/>
  <c r="S18" i="14"/>
  <c r="AA22" i="15"/>
  <c r="X7" i="13"/>
  <c r="X19" i="14"/>
  <c r="U35" i="15"/>
  <c r="R34" i="13"/>
  <c r="R16" i="14"/>
  <c r="Z5" i="15"/>
  <c r="W24" i="13"/>
  <c r="W18" i="14"/>
  <c r="Z6" i="15"/>
  <c r="W46" i="13"/>
  <c r="W13" i="14"/>
  <c r="I51" i="12"/>
  <c r="U22" i="15"/>
  <c r="R7" i="13"/>
  <c r="R19" i="14"/>
  <c r="U24" i="15"/>
  <c r="R37" i="13"/>
  <c r="R37" i="14"/>
  <c r="X10" i="22"/>
  <c r="V6" i="15"/>
  <c r="S46" i="13"/>
  <c r="S13" i="14"/>
  <c r="V35" i="15"/>
  <c r="S34" i="13"/>
  <c r="S16" i="14"/>
  <c r="U5" i="15"/>
  <c r="R24" i="13"/>
  <c r="R18" i="14"/>
  <c r="X14" i="22"/>
  <c r="U26" i="15"/>
  <c r="R35" i="13"/>
  <c r="R6" i="14"/>
  <c r="X46" i="22"/>
  <c r="O11" i="22"/>
  <c r="U21" i="15"/>
  <c r="R10" i="13"/>
  <c r="R29" i="14"/>
  <c r="AA30" i="15"/>
  <c r="V13" i="15"/>
  <c r="S21" i="13"/>
  <c r="S26" i="14"/>
  <c r="U15" i="15"/>
  <c r="R20" i="13"/>
  <c r="R14" i="14"/>
  <c r="Z32" i="15"/>
  <c r="W9" i="13"/>
  <c r="W7" i="14"/>
  <c r="X23" i="22"/>
  <c r="Z21" i="15"/>
  <c r="W10" i="13"/>
  <c r="W29" i="14"/>
  <c r="U38" i="15"/>
  <c r="R46" i="14"/>
  <c r="X47" i="22"/>
  <c r="AA21" i="15"/>
  <c r="X10" i="13"/>
  <c r="X29" i="14"/>
  <c r="O26" i="22"/>
  <c r="X9" i="22"/>
  <c r="O23" i="22"/>
  <c r="V26" i="15"/>
  <c r="S35" i="13"/>
  <c r="S6" i="14"/>
  <c r="Z13" i="15"/>
  <c r="W21" i="13"/>
  <c r="W26" i="14"/>
  <c r="U32" i="15"/>
  <c r="R9" i="13"/>
  <c r="R7" i="14"/>
  <c r="X45" i="22"/>
  <c r="U4" i="15"/>
  <c r="Z26" i="15"/>
  <c r="W35" i="13"/>
  <c r="W6" i="14"/>
  <c r="O30" i="22"/>
  <c r="X30" i="22"/>
  <c r="Z38" i="15"/>
  <c r="W46" i="14"/>
  <c r="U13" i="15"/>
  <c r="R21" i="13"/>
  <c r="R26" i="14"/>
  <c r="AA32" i="15"/>
  <c r="X9" i="13"/>
  <c r="X7" i="14"/>
  <c r="AA26" i="15"/>
  <c r="X35" i="13"/>
  <c r="X6" i="14"/>
  <c r="V32" i="15"/>
  <c r="S9" i="13"/>
  <c r="S7" i="14"/>
  <c r="AA4" i="15"/>
  <c r="X26" i="22"/>
  <c r="Z30" i="15"/>
  <c r="Z15" i="15"/>
  <c r="W20" i="13"/>
  <c r="W14" i="14"/>
  <c r="V30" i="15"/>
  <c r="O46" i="22"/>
  <c r="Z4" i="15"/>
  <c r="X11" i="22"/>
  <c r="V21" i="15"/>
  <c r="S10" i="13"/>
  <c r="S29" i="14"/>
  <c r="U30" i="15"/>
  <c r="V15" i="15"/>
  <c r="S20" i="13"/>
  <c r="S14" i="14"/>
  <c r="O45" i="22"/>
  <c r="AA15" i="15"/>
  <c r="X20" i="13"/>
  <c r="X14" i="14"/>
  <c r="AA13" i="15"/>
  <c r="X21" i="13"/>
  <c r="X26" i="14"/>
  <c r="V4" i="15"/>
  <c r="O47" i="22"/>
  <c r="AA38" i="15"/>
  <c r="X46" i="14"/>
  <c r="V38" i="15"/>
  <c r="S46" i="14"/>
  <c r="O41" i="22"/>
  <c r="V50" i="15"/>
  <c r="S69" i="13"/>
  <c r="S62" i="14"/>
  <c r="O16" i="22"/>
  <c r="AA52" i="15"/>
  <c r="X64" i="13"/>
  <c r="X68" i="14"/>
  <c r="Z49" i="15"/>
  <c r="W62" i="13"/>
  <c r="W65" i="14"/>
  <c r="AA49" i="15"/>
  <c r="X62" i="13"/>
  <c r="X65" i="14"/>
  <c r="AA48" i="15"/>
  <c r="X60" i="13"/>
  <c r="X63" i="14"/>
  <c r="O12" i="22"/>
  <c r="U49" i="15"/>
  <c r="R62" i="13"/>
  <c r="R65" i="14"/>
  <c r="U47" i="15"/>
  <c r="R67" i="13"/>
  <c r="R70" i="14"/>
  <c r="Z50" i="15"/>
  <c r="W69" i="13"/>
  <c r="W62" i="14"/>
  <c r="O13" i="22"/>
  <c r="AA51" i="15"/>
  <c r="X61" i="13"/>
  <c r="X64" i="14"/>
  <c r="Z52" i="15"/>
  <c r="W64" i="13"/>
  <c r="W68" i="14"/>
  <c r="U52" i="15"/>
  <c r="R64" i="13"/>
  <c r="R68" i="14"/>
  <c r="AA55" i="15"/>
  <c r="X68" i="13"/>
  <c r="X69" i="14"/>
  <c r="V47" i="15"/>
  <c r="S67" i="13"/>
  <c r="S70" i="14"/>
  <c r="U53" i="15"/>
  <c r="R59" i="13"/>
  <c r="R67" i="14"/>
  <c r="O38" i="22"/>
  <c r="V49" i="15"/>
  <c r="S62" i="13"/>
  <c r="S65" i="14"/>
  <c r="Z51" i="15"/>
  <c r="W61" i="13"/>
  <c r="W64" i="14"/>
  <c r="AA50" i="15"/>
  <c r="X69" i="13"/>
  <c r="X62" i="14"/>
  <c r="Z48" i="15"/>
  <c r="W60" i="13"/>
  <c r="W63" i="14"/>
  <c r="U48" i="15"/>
  <c r="R60" i="13"/>
  <c r="R63" i="14"/>
  <c r="Z47" i="15"/>
  <c r="W67" i="13"/>
  <c r="W70" i="14"/>
  <c r="U55" i="15"/>
  <c r="R68" i="13"/>
  <c r="R69" i="14"/>
  <c r="AA53" i="15"/>
  <c r="X59" i="13"/>
  <c r="X67" i="14"/>
  <c r="V48" i="15"/>
  <c r="S60" i="13"/>
  <c r="S63" i="14"/>
  <c r="O21" i="22"/>
  <c r="U50" i="15"/>
  <c r="R69" i="13"/>
  <c r="R62" i="14"/>
  <c r="V51" i="15"/>
  <c r="S61" i="13"/>
  <c r="S64" i="14"/>
  <c r="Z55" i="15"/>
  <c r="W68" i="13"/>
  <c r="W69" i="14"/>
  <c r="Z53" i="15"/>
  <c r="W59" i="13"/>
  <c r="W67" i="14"/>
  <c r="AA47" i="15"/>
  <c r="X67" i="13"/>
  <c r="X70" i="14"/>
  <c r="U51" i="15"/>
  <c r="R61" i="13"/>
  <c r="R64" i="14"/>
  <c r="V52" i="15"/>
  <c r="S64" i="13"/>
  <c r="S68" i="14"/>
  <c r="V53" i="15"/>
  <c r="S59" i="13"/>
  <c r="S67" i="14"/>
  <c r="V55" i="15"/>
  <c r="S68" i="13"/>
  <c r="S69" i="14"/>
  <c r="I56" i="12"/>
  <c r="I52" i="12"/>
  <c r="AA54" i="15"/>
  <c r="X66" i="13"/>
  <c r="X66" i="14"/>
  <c r="V54" i="15"/>
  <c r="S66" i="13"/>
  <c r="S66" i="14"/>
  <c r="Z54" i="15"/>
  <c r="W66" i="13"/>
  <c r="W66" i="14"/>
  <c r="U54" i="15"/>
  <c r="R66" i="13"/>
  <c r="R66" i="14"/>
  <c r="M72" i="9" l="1"/>
  <c r="C42" i="22"/>
  <c r="C18" i="22"/>
  <c r="C10" i="22"/>
  <c r="X22" i="13"/>
  <c r="X9" i="14"/>
  <c r="W27" i="13"/>
  <c r="W25" i="14"/>
  <c r="X30" i="13"/>
  <c r="X39" i="14"/>
  <c r="W30" i="13"/>
  <c r="W39" i="14"/>
  <c r="X20" i="30"/>
  <c r="R27" i="13"/>
  <c r="R25" i="14"/>
  <c r="W4" i="13"/>
  <c r="W28" i="14"/>
  <c r="Y10" i="30"/>
  <c r="S30" i="13"/>
  <c r="S39" i="14"/>
  <c r="X4" i="13"/>
  <c r="X28" i="14"/>
  <c r="X35" i="30"/>
  <c r="R4" i="13"/>
  <c r="R28" i="14"/>
  <c r="Y20" i="30"/>
  <c r="S27" i="13"/>
  <c r="S25" i="14"/>
  <c r="X5" i="13"/>
  <c r="X24" i="14"/>
  <c r="Y16" i="30"/>
  <c r="S22" i="13"/>
  <c r="S9" i="14"/>
  <c r="Y40" i="30"/>
  <c r="S5" i="13"/>
  <c r="S24" i="14"/>
  <c r="W5" i="13"/>
  <c r="W24" i="14"/>
  <c r="X16" i="30"/>
  <c r="R22" i="13"/>
  <c r="R9" i="14"/>
  <c r="W22" i="13"/>
  <c r="W9" i="14"/>
  <c r="X10" i="30"/>
  <c r="R30" i="13"/>
  <c r="R39" i="14"/>
  <c r="Y35" i="30"/>
  <c r="S4" i="13"/>
  <c r="S28" i="14"/>
  <c r="X27" i="13"/>
  <c r="X25" i="14"/>
  <c r="X40" i="30"/>
  <c r="R5" i="13"/>
  <c r="R24" i="14"/>
  <c r="X9" i="30"/>
  <c r="R17" i="13"/>
  <c r="R10" i="14"/>
  <c r="X32" i="30"/>
  <c r="R6" i="13"/>
  <c r="R36" i="14"/>
  <c r="X4" i="12"/>
  <c r="C6" i="22"/>
  <c r="X23" i="12"/>
  <c r="C28" i="22"/>
  <c r="Y9" i="30"/>
  <c r="S17" i="13"/>
  <c r="S10" i="14"/>
  <c r="X17" i="13"/>
  <c r="X10" i="14"/>
  <c r="Y32" i="30"/>
  <c r="S6" i="13"/>
  <c r="S36" i="14"/>
  <c r="Y22" i="30"/>
  <c r="S45" i="14"/>
  <c r="W6" i="13"/>
  <c r="W36" i="14"/>
  <c r="C16" i="22"/>
  <c r="X45" i="14"/>
  <c r="X22" i="30"/>
  <c r="R45" i="14"/>
  <c r="W17" i="13"/>
  <c r="W10" i="14"/>
  <c r="X6" i="13"/>
  <c r="X36" i="14"/>
  <c r="W45" i="14"/>
  <c r="X16" i="12"/>
  <c r="C21" i="22"/>
  <c r="X21" i="12"/>
  <c r="C22" i="22"/>
  <c r="H9" i="27"/>
  <c r="I47" i="30"/>
  <c r="I23" i="27"/>
  <c r="F9" i="15" l="1"/>
  <c r="E7" i="10"/>
  <c r="T6" i="22"/>
  <c r="F49" i="15"/>
  <c r="E57" i="10"/>
  <c r="T38" i="22"/>
  <c r="G36" i="15"/>
  <c r="F26" i="10"/>
  <c r="G34" i="15"/>
  <c r="F21" i="10"/>
  <c r="F13" i="15"/>
  <c r="E24" i="10"/>
  <c r="T23" i="22"/>
  <c r="G55" i="15"/>
  <c r="F61" i="10"/>
  <c r="G13" i="15"/>
  <c r="F24" i="10"/>
  <c r="G49" i="15"/>
  <c r="F57" i="10"/>
  <c r="F34" i="15"/>
  <c r="E21" i="10"/>
  <c r="T28" i="22"/>
  <c r="F55" i="15"/>
  <c r="E61" i="10"/>
  <c r="T21" i="22"/>
  <c r="F33" i="15"/>
  <c r="E6" i="10"/>
  <c r="T8" i="22"/>
  <c r="H36" i="15"/>
  <c r="G26" i="10"/>
  <c r="H9" i="15"/>
  <c r="G7" i="10"/>
  <c r="H6" i="15"/>
  <c r="G12" i="10"/>
  <c r="F17" i="15"/>
  <c r="T22" i="22"/>
  <c r="G33" i="15"/>
  <c r="F6" i="10"/>
  <c r="G17" i="15"/>
  <c r="H17" i="15"/>
  <c r="G6" i="15"/>
  <c r="F12" i="10"/>
  <c r="H55" i="15"/>
  <c r="G61" i="10"/>
  <c r="F28" i="15"/>
  <c r="E31" i="10"/>
  <c r="T31" i="22"/>
  <c r="F6" i="15"/>
  <c r="E12" i="10"/>
  <c r="T10" i="22"/>
  <c r="H13" i="15"/>
  <c r="G24" i="10"/>
  <c r="H33" i="15"/>
  <c r="G6" i="10"/>
  <c r="E57" i="28"/>
  <c r="E50" i="28"/>
  <c r="E66" i="26"/>
  <c r="E12" i="26"/>
  <c r="F36" i="15"/>
  <c r="E26" i="10"/>
  <c r="T44" i="22"/>
  <c r="G28" i="15"/>
  <c r="F31" i="10"/>
  <c r="H34" i="15"/>
  <c r="G21" i="10"/>
  <c r="G9" i="15"/>
  <c r="F7" i="10"/>
  <c r="H28" i="15"/>
  <c r="G31" i="10"/>
  <c r="H49" i="15"/>
  <c r="G57" i="10"/>
  <c r="H19" i="15"/>
  <c r="G44" i="10"/>
  <c r="F16" i="15"/>
  <c r="E11" i="10"/>
  <c r="T18" i="22"/>
  <c r="G54" i="15"/>
  <c r="F58" i="10"/>
  <c r="H38" i="15"/>
  <c r="G42" i="10"/>
  <c r="E41" i="26"/>
  <c r="F54" i="15"/>
  <c r="E58" i="10"/>
  <c r="T15" i="22"/>
  <c r="F5" i="15"/>
  <c r="E20" i="10"/>
  <c r="T39" i="22"/>
  <c r="H5" i="15"/>
  <c r="G20" i="10"/>
  <c r="G35" i="15"/>
  <c r="F17" i="10"/>
  <c r="F38" i="15"/>
  <c r="E42" i="10"/>
  <c r="T47" i="22"/>
  <c r="H14" i="15"/>
  <c r="G28" i="10"/>
  <c r="G19" i="15"/>
  <c r="F44" i="10"/>
  <c r="H11" i="15"/>
  <c r="G37" i="10"/>
  <c r="E39" i="28"/>
  <c r="F35" i="15"/>
  <c r="E17" i="10"/>
  <c r="T25" i="22"/>
  <c r="F11" i="15"/>
  <c r="E37" i="10"/>
  <c r="T42" i="22"/>
  <c r="H50" i="15"/>
  <c r="G54" i="10"/>
  <c r="G14" i="15"/>
  <c r="F28" i="10"/>
  <c r="G50" i="15"/>
  <c r="F54" i="10"/>
  <c r="F19" i="15"/>
  <c r="E44" i="10"/>
  <c r="T49" i="22"/>
  <c r="F14" i="15"/>
  <c r="E28" i="10"/>
  <c r="T40" i="22"/>
  <c r="H54" i="15"/>
  <c r="G58" i="10"/>
  <c r="E57" i="26"/>
  <c r="F50" i="15"/>
  <c r="E54" i="10"/>
  <c r="T7" i="22"/>
  <c r="G5" i="15"/>
  <c r="F20" i="10"/>
  <c r="G38" i="15"/>
  <c r="F42" i="10"/>
  <c r="G16" i="15"/>
  <c r="F11" i="10"/>
  <c r="G11" i="15"/>
  <c r="F37" i="10"/>
  <c r="H35" i="15"/>
  <c r="G17" i="10"/>
  <c r="G27" i="15"/>
  <c r="F30" i="10"/>
  <c r="H51" i="15"/>
  <c r="G56" i="10"/>
  <c r="E56" i="12"/>
  <c r="E51" i="12"/>
  <c r="F27" i="15"/>
  <c r="E30" i="10"/>
  <c r="T37" i="22"/>
  <c r="H37" i="15"/>
  <c r="G29" i="10"/>
  <c r="E38" i="28"/>
  <c r="E37" i="28"/>
  <c r="F25" i="15"/>
  <c r="E27" i="10"/>
  <c r="T29" i="22"/>
  <c r="H25" i="15"/>
  <c r="G27" i="10"/>
  <c r="G37" i="15"/>
  <c r="F29" i="10"/>
  <c r="F23" i="15"/>
  <c r="E46" i="10"/>
  <c r="T51" i="22"/>
  <c r="H23" i="15"/>
  <c r="G46" i="10"/>
  <c r="G23" i="15"/>
  <c r="F46" i="10"/>
  <c r="E60" i="26"/>
  <c r="E54" i="26"/>
  <c r="F18" i="15"/>
  <c r="E18" i="10"/>
  <c r="T20" i="22"/>
  <c r="G25" i="15"/>
  <c r="F27" i="10"/>
  <c r="E36" i="28"/>
  <c r="E35" i="28"/>
  <c r="F37" i="15"/>
  <c r="E29" i="10"/>
  <c r="T32" i="22"/>
  <c r="F51" i="15"/>
  <c r="E56" i="10"/>
  <c r="T16" i="22"/>
  <c r="G51" i="15"/>
  <c r="F56" i="10"/>
  <c r="H18" i="15"/>
  <c r="G18" i="10"/>
  <c r="H27" i="15"/>
  <c r="G30" i="10"/>
  <c r="G18" i="15"/>
  <c r="F18" i="10"/>
  <c r="G31" i="15"/>
  <c r="F38" i="10"/>
  <c r="G7" i="15"/>
  <c r="F16" i="10"/>
  <c r="E57" i="12"/>
  <c r="F39" i="15"/>
  <c r="F31" i="15"/>
  <c r="E38" i="10"/>
  <c r="T34" i="22"/>
  <c r="G26" i="15"/>
  <c r="F8" i="10"/>
  <c r="G12" i="15"/>
  <c r="F41" i="10"/>
  <c r="G29" i="15"/>
  <c r="F40" i="10"/>
  <c r="G39" i="15"/>
  <c r="F10" i="15"/>
  <c r="E14" i="10"/>
  <c r="T19" i="22"/>
  <c r="F26" i="15"/>
  <c r="E8" i="10"/>
  <c r="T9" i="22"/>
  <c r="G10" i="15"/>
  <c r="F14" i="10"/>
  <c r="F7" i="15"/>
  <c r="E16" i="10"/>
  <c r="T14" i="22"/>
  <c r="H22" i="15"/>
  <c r="G19" i="10"/>
  <c r="E52" i="28"/>
  <c r="E10" i="28"/>
  <c r="E40" i="26"/>
  <c r="E13" i="26"/>
  <c r="F22" i="15"/>
  <c r="E19" i="10"/>
  <c r="T33" i="22"/>
  <c r="E58" i="28"/>
  <c r="E56" i="26"/>
  <c r="F29" i="15"/>
  <c r="E40" i="10"/>
  <c r="T50" i="22"/>
  <c r="H12" i="15"/>
  <c r="G41" i="10"/>
  <c r="H29" i="15"/>
  <c r="G40" i="10"/>
  <c r="H10" i="15"/>
  <c r="G14" i="10"/>
  <c r="H31" i="15"/>
  <c r="G38" i="10"/>
  <c r="H26" i="15"/>
  <c r="G8" i="10"/>
  <c r="H39" i="15"/>
  <c r="G22" i="15"/>
  <c r="F19" i="10"/>
  <c r="F12" i="15"/>
  <c r="E41" i="10"/>
  <c r="T48" i="22"/>
  <c r="H130" i="22"/>
  <c r="H7" i="15"/>
  <c r="G16" i="10"/>
  <c r="F40" i="15"/>
  <c r="F15" i="15"/>
  <c r="E15" i="10"/>
  <c r="T26" i="22"/>
  <c r="F47" i="15"/>
  <c r="E62" i="10"/>
  <c r="T27" i="22"/>
  <c r="G24" i="15"/>
  <c r="F33" i="10"/>
  <c r="F48" i="15"/>
  <c r="E55" i="10"/>
  <c r="T13" i="22"/>
  <c r="G20" i="15"/>
  <c r="F10" i="10"/>
  <c r="F24" i="15"/>
  <c r="E33" i="10"/>
  <c r="T35" i="22"/>
  <c r="G48" i="15"/>
  <c r="F55" i="10"/>
  <c r="H53" i="15"/>
  <c r="G60" i="10"/>
  <c r="F20" i="15"/>
  <c r="E10" i="10"/>
  <c r="T17" i="22"/>
  <c r="G47" i="15"/>
  <c r="F62" i="10"/>
  <c r="H40" i="15"/>
  <c r="G21" i="15"/>
  <c r="F23" i="10"/>
  <c r="F21" i="15"/>
  <c r="E23" i="10"/>
  <c r="T30" i="22"/>
  <c r="G15" i="15"/>
  <c r="F15" i="10"/>
  <c r="E52" i="12"/>
  <c r="H30" i="15"/>
  <c r="G45" i="10"/>
  <c r="E9" i="28"/>
  <c r="E53" i="28"/>
  <c r="E67" i="26"/>
  <c r="E53" i="26"/>
  <c r="E36" i="26"/>
  <c r="E35" i="26"/>
  <c r="E14" i="26"/>
  <c r="F53" i="15"/>
  <c r="E60" i="10"/>
  <c r="T12" i="22"/>
  <c r="H20" i="15"/>
  <c r="G10" i="10"/>
  <c r="F30" i="15"/>
  <c r="E45" i="10"/>
  <c r="T45" i="22"/>
  <c r="H15" i="15"/>
  <c r="G15" i="10"/>
  <c r="G40" i="15"/>
  <c r="H48" i="15"/>
  <c r="G55" i="10"/>
  <c r="H47" i="15"/>
  <c r="G62" i="10"/>
  <c r="G30" i="15"/>
  <c r="F45" i="10"/>
  <c r="H24" i="15"/>
  <c r="G33" i="10"/>
  <c r="G53" i="15"/>
  <c r="F60" i="10"/>
  <c r="H21" i="15"/>
  <c r="G23" i="10"/>
  <c r="E205" i="10"/>
  <c r="G4" i="15"/>
  <c r="H4" i="15"/>
  <c r="G52" i="15"/>
  <c r="F59" i="10"/>
  <c r="F32" i="15"/>
  <c r="E9" i="10"/>
  <c r="T11" i="22"/>
  <c r="H32" i="15"/>
  <c r="G9" i="10"/>
  <c r="H52" i="15"/>
  <c r="G59" i="10"/>
  <c r="F52" i="15"/>
  <c r="E59" i="10"/>
  <c r="T41" i="22"/>
  <c r="G32" i="15"/>
  <c r="F9" i="10"/>
  <c r="F4" i="15"/>
  <c r="T46" i="22"/>
  <c r="E34" i="28" l="1"/>
  <c r="E33" i="28"/>
  <c r="E7" i="12"/>
  <c r="E25" i="10"/>
  <c r="H86" i="22"/>
  <c r="H127" i="22"/>
  <c r="H10" i="22"/>
  <c r="G94" i="22"/>
  <c r="G93" i="22"/>
  <c r="I40" i="30"/>
  <c r="F25" i="10"/>
  <c r="E42" i="12"/>
  <c r="H41" i="22"/>
  <c r="J40" i="30"/>
  <c r="G25" i="10"/>
  <c r="J18" i="30"/>
  <c r="I24" i="30"/>
  <c r="J9" i="30"/>
  <c r="G13" i="10"/>
  <c r="I18" i="30"/>
  <c r="E17" i="12"/>
  <c r="H18" i="22"/>
  <c r="H137" i="22"/>
  <c r="I9" i="30"/>
  <c r="F13" i="10"/>
  <c r="E40" i="12"/>
  <c r="H36" i="22"/>
  <c r="E4" i="12"/>
  <c r="E13" i="10"/>
  <c r="H83" i="22"/>
  <c r="H6" i="22"/>
  <c r="G115" i="22"/>
  <c r="E16" i="12"/>
  <c r="H21" i="22"/>
  <c r="J24" i="30"/>
  <c r="J7" i="30"/>
  <c r="I30" i="30"/>
  <c r="E77" i="28"/>
  <c r="E6" i="12"/>
  <c r="H87" i="22"/>
  <c r="H126" i="22"/>
  <c r="H11" i="22"/>
  <c r="E51" i="28"/>
  <c r="E5" i="28"/>
  <c r="E68" i="26"/>
  <c r="E63" i="26"/>
  <c r="E6" i="26"/>
  <c r="E52" i="26"/>
  <c r="E48" i="26"/>
  <c r="E34" i="26"/>
  <c r="E33" i="26"/>
  <c r="E20" i="12"/>
  <c r="E35" i="10"/>
  <c r="H84" i="22"/>
  <c r="H20" i="22"/>
  <c r="H128" i="22"/>
  <c r="E11" i="12"/>
  <c r="H80" i="22"/>
  <c r="H19" i="22"/>
  <c r="J22" i="30"/>
  <c r="E5" i="12"/>
  <c r="H81" i="22"/>
  <c r="H7" i="22"/>
  <c r="I7" i="30"/>
  <c r="J30" i="30"/>
  <c r="I22" i="30"/>
  <c r="I21" i="30"/>
  <c r="E30" i="12"/>
  <c r="H27" i="22"/>
  <c r="E23" i="12"/>
  <c r="H88" i="22"/>
  <c r="H28" i="22"/>
  <c r="H131" i="22"/>
  <c r="E22" i="12"/>
  <c r="H8" i="22"/>
  <c r="H142" i="22"/>
  <c r="J21" i="30"/>
  <c r="I32" i="30"/>
  <c r="F34" i="10"/>
  <c r="E35" i="12"/>
  <c r="H35" i="22"/>
  <c r="J32" i="30"/>
  <c r="G34" i="10"/>
  <c r="E49" i="28"/>
  <c r="E58" i="26"/>
  <c r="E11" i="26"/>
  <c r="E8" i="12"/>
  <c r="H9" i="22"/>
  <c r="H82" i="22"/>
  <c r="H145" i="22"/>
  <c r="G108" i="22"/>
  <c r="G107" i="22"/>
  <c r="I4" i="30"/>
  <c r="J20" i="30"/>
  <c r="I20" i="30"/>
  <c r="E39" i="12"/>
  <c r="H40" i="22"/>
  <c r="E21" i="12"/>
  <c r="H22" i="22"/>
  <c r="E12" i="12"/>
  <c r="E34" i="10"/>
  <c r="H85" i="22"/>
  <c r="H15" i="22"/>
  <c r="H129" i="22"/>
  <c r="G101" i="22"/>
  <c r="G100" i="22"/>
  <c r="E73" i="28"/>
  <c r="E5" i="26"/>
  <c r="E32" i="12"/>
  <c r="H16" i="22"/>
  <c r="J4" i="30"/>
  <c r="P10" i="28" l="1"/>
  <c r="M10" i="28"/>
  <c r="B10" i="28"/>
  <c r="G8" i="15"/>
  <c r="F43" i="10"/>
  <c r="J15" i="30"/>
  <c r="I15" i="30"/>
  <c r="E27" i="12"/>
  <c r="H33" i="22"/>
  <c r="H140" i="22"/>
  <c r="H8" i="15"/>
  <c r="G43" i="10"/>
  <c r="F8" i="15"/>
  <c r="E43" i="10"/>
  <c r="E204" i="10"/>
  <c r="T43" i="22"/>
  <c r="H47" i="30"/>
  <c r="H23" i="27"/>
  <c r="AO1" i="15"/>
  <c r="AI1" i="13"/>
  <c r="J47" i="30"/>
  <c r="J23" i="27"/>
  <c r="E53" i="12"/>
  <c r="E24" i="12"/>
  <c r="H42" i="22"/>
  <c r="E55" i="12"/>
  <c r="J8" i="30"/>
  <c r="I8" i="30"/>
  <c r="H16" i="15"/>
  <c r="G11" i="10"/>
  <c r="I10" i="28" l="1"/>
  <c r="F10" i="28"/>
  <c r="P61" i="28" l="1"/>
  <c r="M61" i="28"/>
  <c r="B61" i="28"/>
  <c r="P9" i="28"/>
  <c r="M9" i="28"/>
  <c r="B9" i="28"/>
  <c r="P60" i="28"/>
  <c r="M60" i="28"/>
  <c r="B60" i="28"/>
  <c r="P59" i="28"/>
  <c r="M59" i="28"/>
  <c r="B59" i="28"/>
  <c r="E61" i="28"/>
  <c r="E60" i="28"/>
  <c r="E59" i="28"/>
  <c r="K21" i="29"/>
  <c r="J56" i="29"/>
  <c r="Q77" i="29"/>
  <c r="Q31" i="29"/>
  <c r="J77" i="29"/>
  <c r="C73" i="29"/>
  <c r="K62" i="29"/>
  <c r="J73" i="29"/>
  <c r="C89" i="29"/>
  <c r="L21" i="29"/>
  <c r="K31" i="29"/>
  <c r="K89" i="29"/>
  <c r="Q62" i="29"/>
  <c r="C71" i="29"/>
  <c r="K77" i="29"/>
  <c r="J71" i="29"/>
  <c r="C61" i="29"/>
  <c r="K61" i="29"/>
  <c r="Q61" i="29"/>
  <c r="J30" i="29"/>
  <c r="K56" i="29"/>
  <c r="Q89" i="29"/>
  <c r="L62" i="29"/>
  <c r="L61" i="29"/>
  <c r="L77" i="29"/>
  <c r="K73" i="29"/>
  <c r="J21" i="29"/>
  <c r="Q73" i="29"/>
  <c r="C30" i="29"/>
  <c r="K30" i="29"/>
  <c r="Q71" i="29"/>
  <c r="L56" i="29"/>
  <c r="J62" i="29"/>
  <c r="J31" i="29"/>
  <c r="L71" i="29"/>
  <c r="Q30" i="29"/>
  <c r="L31" i="29"/>
  <c r="C56" i="29"/>
  <c r="J89" i="29"/>
  <c r="C21" i="29"/>
  <c r="Q21" i="29"/>
  <c r="C77" i="29"/>
  <c r="L89" i="29"/>
  <c r="L30" i="29"/>
  <c r="J61" i="29"/>
  <c r="C31" i="29"/>
  <c r="Q56" i="29"/>
  <c r="K71" i="29"/>
  <c r="C62" i="29"/>
  <c r="L73" i="29"/>
  <c r="B10" i="12"/>
  <c r="AA10" i="12"/>
  <c r="J11" i="30"/>
  <c r="AE36" i="12"/>
  <c r="AD36" i="12"/>
  <c r="AE10" i="12"/>
  <c r="X11" i="30"/>
  <c r="AG37" i="12"/>
  <c r="B38" i="12"/>
  <c r="B36" i="12"/>
  <c r="AI33" i="12"/>
  <c r="E26" i="12"/>
  <c r="H23" i="22"/>
  <c r="T26" i="12"/>
  <c r="I36" i="12"/>
  <c r="L37" i="22"/>
  <c r="C43" i="22"/>
  <c r="AE26" i="12"/>
  <c r="AH37" i="12"/>
  <c r="T36" i="12"/>
  <c r="AI38" i="12"/>
  <c r="B33" i="12"/>
  <c r="I31" i="12"/>
  <c r="L43" i="22"/>
  <c r="C14" i="22"/>
  <c r="AE31" i="12"/>
  <c r="T33" i="12"/>
  <c r="X17" i="30"/>
  <c r="I10" i="12"/>
  <c r="L14" i="22"/>
  <c r="C32" i="22"/>
  <c r="AE33" i="12"/>
  <c r="T31" i="12"/>
  <c r="AG33" i="12"/>
  <c r="AA36" i="12"/>
  <c r="J33" i="12"/>
  <c r="E10" i="12"/>
  <c r="H14" i="22"/>
  <c r="AG26" i="12"/>
  <c r="AH26" i="12"/>
  <c r="AD33" i="12"/>
  <c r="E31" i="12"/>
  <c r="H43" i="22"/>
  <c r="J37" i="12"/>
  <c r="I17" i="30"/>
  <c r="B31" i="12"/>
  <c r="AH38" i="12"/>
  <c r="B37" i="12"/>
  <c r="B26" i="12"/>
  <c r="AG38" i="12"/>
  <c r="AG10" i="12"/>
  <c r="Y33" i="30"/>
  <c r="Y38" i="30"/>
  <c r="J33" i="30"/>
  <c r="T37" i="12"/>
  <c r="AD10" i="12"/>
  <c r="AH10" i="12"/>
  <c r="AA37" i="12"/>
  <c r="X13" i="30"/>
  <c r="Y11" i="30"/>
  <c r="I41" i="30"/>
  <c r="AH36" i="12"/>
  <c r="I38" i="30"/>
  <c r="E37" i="12"/>
  <c r="H38" i="22"/>
  <c r="AI36" i="12"/>
  <c r="Y41" i="30"/>
  <c r="AE37" i="12"/>
  <c r="Y17" i="30"/>
  <c r="X33" i="30"/>
  <c r="AI37" i="12"/>
  <c r="C37" i="22"/>
  <c r="J31" i="12"/>
  <c r="I38" i="12"/>
  <c r="L39" i="22"/>
  <c r="AH33" i="12"/>
  <c r="AH31" i="12"/>
  <c r="J13" i="30"/>
  <c r="AA33" i="12"/>
  <c r="J36" i="12"/>
  <c r="J10" i="12"/>
  <c r="J26" i="12"/>
  <c r="J5" i="30"/>
  <c r="E38" i="12"/>
  <c r="H39" i="22"/>
  <c r="T10" i="12"/>
  <c r="AD37" i="12"/>
  <c r="AA31" i="12"/>
  <c r="Y13" i="30"/>
  <c r="I11" i="30"/>
  <c r="X5" i="30"/>
  <c r="E36" i="12"/>
  <c r="H37" i="22"/>
  <c r="J38" i="30"/>
  <c r="AD31" i="12"/>
  <c r="AA26" i="12"/>
  <c r="I13" i="30"/>
  <c r="I5" i="30"/>
  <c r="T38" i="12"/>
  <c r="AD38" i="12"/>
  <c r="E33" i="12"/>
  <c r="H32" i="22"/>
  <c r="Y5" i="30"/>
  <c r="AG36" i="12"/>
  <c r="J41" i="30"/>
  <c r="I33" i="30"/>
  <c r="C38" i="22"/>
  <c r="AD26" i="12"/>
  <c r="J38" i="12"/>
  <c r="AA38" i="12"/>
  <c r="X38" i="30"/>
  <c r="AI10" i="12"/>
  <c r="X41" i="30"/>
  <c r="X38" i="12"/>
  <c r="C39" i="22"/>
  <c r="AI31" i="12"/>
  <c r="I26" i="12"/>
  <c r="L23" i="22"/>
  <c r="AI26" i="12"/>
  <c r="AE38" i="12"/>
  <c r="I37" i="12"/>
  <c r="L38" i="22"/>
  <c r="C23" i="22"/>
  <c r="J17" i="30"/>
  <c r="AG31" i="12"/>
  <c r="I33" i="12"/>
  <c r="L32" i="22"/>
  <c r="B4" i="29"/>
  <c r="J13" i="29"/>
  <c r="Q20" i="29"/>
  <c r="K17" i="29"/>
  <c r="L26" i="29"/>
  <c r="J42" i="29"/>
  <c r="K44" i="29"/>
  <c r="K20" i="29"/>
  <c r="K4" i="29"/>
  <c r="K79" i="29"/>
  <c r="Q42" i="29"/>
  <c r="K37" i="29"/>
  <c r="L42" i="29"/>
  <c r="B26" i="29"/>
  <c r="K42" i="29"/>
  <c r="B17" i="29"/>
  <c r="J79" i="29"/>
  <c r="K32" i="29"/>
  <c r="J37" i="29"/>
  <c r="Q79" i="29"/>
  <c r="K13" i="29"/>
  <c r="Q37" i="29"/>
  <c r="C42" i="29"/>
  <c r="L44" i="29"/>
  <c r="Q4" i="29"/>
  <c r="B37" i="29"/>
  <c r="L20" i="29"/>
  <c r="J4" i="29"/>
  <c r="B20" i="29"/>
  <c r="Q17" i="29"/>
  <c r="L13" i="29"/>
  <c r="C32" i="29"/>
  <c r="L17" i="29"/>
  <c r="C17" i="29"/>
  <c r="Q13" i="29"/>
  <c r="K26" i="29"/>
  <c r="J20" i="29"/>
  <c r="C79" i="29"/>
  <c r="Q32" i="29"/>
  <c r="J26" i="29"/>
  <c r="C13" i="29"/>
  <c r="L32" i="29"/>
  <c r="Q26" i="29"/>
  <c r="C4" i="29"/>
  <c r="B32" i="29"/>
  <c r="C37" i="29"/>
  <c r="B44" i="29"/>
  <c r="B79" i="29"/>
  <c r="C44" i="29"/>
  <c r="J32" i="29"/>
  <c r="B42" i="29"/>
  <c r="C20" i="29"/>
  <c r="J44" i="29"/>
  <c r="B13" i="29"/>
  <c r="J17" i="29"/>
  <c r="L37" i="29"/>
  <c r="C26" i="29"/>
  <c r="Q44" i="29"/>
  <c r="L79" i="29"/>
  <c r="L4" i="29"/>
  <c r="K9" i="29"/>
  <c r="Q11" i="29"/>
  <c r="L83" i="29"/>
  <c r="Q27" i="29"/>
  <c r="C34" i="29"/>
  <c r="Q9" i="29"/>
  <c r="L27" i="29"/>
  <c r="K51" i="29"/>
  <c r="J14" i="29"/>
  <c r="Q83" i="29"/>
  <c r="L11" i="29"/>
  <c r="Q5" i="29"/>
  <c r="C86" i="29"/>
  <c r="L84" i="29"/>
  <c r="J83" i="29"/>
  <c r="K34" i="29"/>
  <c r="K27" i="29"/>
  <c r="C84" i="29"/>
  <c r="K84" i="29"/>
  <c r="K11" i="29"/>
  <c r="J51" i="29"/>
  <c r="C9" i="29"/>
  <c r="J86" i="29"/>
  <c r="J84" i="29"/>
  <c r="J27" i="29"/>
  <c r="C51" i="29"/>
  <c r="L86" i="29"/>
  <c r="J11" i="29"/>
  <c r="K14" i="29"/>
  <c r="K86" i="29"/>
  <c r="L5" i="29"/>
  <c r="C5" i="29"/>
  <c r="J9" i="29"/>
  <c r="K83" i="29"/>
  <c r="L34" i="29"/>
  <c r="J5" i="29"/>
  <c r="Q34" i="29"/>
  <c r="L14" i="29"/>
  <c r="L9" i="29"/>
  <c r="K5" i="29"/>
  <c r="J34" i="29"/>
  <c r="Q14" i="29"/>
  <c r="Q86" i="29"/>
  <c r="C27" i="29"/>
  <c r="C14" i="29"/>
  <c r="Q51" i="29"/>
  <c r="C83" i="29"/>
  <c r="C11" i="29"/>
  <c r="L51" i="29"/>
  <c r="Q84" i="29"/>
  <c r="Q41" i="29"/>
  <c r="B36" i="29"/>
  <c r="K12" i="29"/>
  <c r="J36" i="29"/>
  <c r="Q10" i="29"/>
  <c r="L41" i="29"/>
  <c r="C10" i="29"/>
  <c r="L10" i="29"/>
  <c r="B10" i="29"/>
  <c r="J47" i="29"/>
  <c r="Q15" i="29"/>
  <c r="C18" i="29"/>
  <c r="B102" i="29"/>
  <c r="C12" i="29"/>
  <c r="K36" i="29"/>
  <c r="B47" i="29"/>
  <c r="L12" i="29"/>
  <c r="L88" i="29"/>
  <c r="L40" i="29"/>
  <c r="J88" i="29"/>
  <c r="C41" i="29"/>
  <c r="K40" i="29"/>
  <c r="L18" i="29"/>
  <c r="B88" i="29"/>
  <c r="J15" i="29"/>
  <c r="J40" i="29"/>
  <c r="C15" i="29"/>
  <c r="K88" i="29"/>
  <c r="J10" i="29"/>
  <c r="K102" i="29"/>
  <c r="B18" i="29"/>
  <c r="Q40" i="29"/>
  <c r="B41" i="29"/>
  <c r="B15" i="29"/>
  <c r="J41" i="29"/>
  <c r="L36" i="29"/>
  <c r="K18" i="29"/>
  <c r="Q12" i="29"/>
  <c r="Q102" i="29"/>
  <c r="C47" i="29"/>
  <c r="J12" i="29"/>
  <c r="L47" i="29"/>
  <c r="K47" i="29"/>
  <c r="Q36" i="29"/>
  <c r="C102" i="29"/>
  <c r="L102" i="29"/>
  <c r="Q18" i="29"/>
  <c r="L15" i="29"/>
  <c r="B40" i="29"/>
  <c r="Q88" i="29"/>
  <c r="C88" i="29"/>
  <c r="J18" i="29"/>
  <c r="K10" i="29"/>
  <c r="J102" i="29"/>
  <c r="K41" i="29"/>
  <c r="C40" i="29"/>
  <c r="K15" i="29"/>
  <c r="Q47" i="29"/>
  <c r="C36" i="29"/>
  <c r="B12" i="29"/>
  <c r="Q45" i="29"/>
  <c r="C58" i="29"/>
  <c r="K8" i="29"/>
  <c r="J53" i="29"/>
  <c r="J90" i="29"/>
  <c r="C39" i="29"/>
  <c r="K67" i="29"/>
  <c r="Q8" i="29"/>
  <c r="B53" i="29"/>
  <c r="K90" i="29"/>
  <c r="L45" i="29"/>
  <c r="C90" i="29"/>
  <c r="B67" i="29"/>
  <c r="K45" i="29"/>
  <c r="C67" i="29"/>
  <c r="K39" i="29"/>
  <c r="B90" i="29"/>
  <c r="J52" i="29"/>
  <c r="Q90" i="29"/>
  <c r="B39" i="29"/>
  <c r="B52" i="29"/>
  <c r="L52" i="29"/>
  <c r="B58" i="29"/>
  <c r="B39" i="12"/>
  <c r="J39" i="29"/>
  <c r="I35" i="12"/>
  <c r="L35" i="22"/>
  <c r="AD35" i="12"/>
  <c r="I34" i="30"/>
  <c r="Q67" i="29"/>
  <c r="L58" i="29"/>
  <c r="J39" i="12"/>
  <c r="X35" i="12"/>
  <c r="C35" i="22"/>
  <c r="L53" i="29"/>
  <c r="X27" i="30"/>
  <c r="Q58" i="29"/>
  <c r="C8" i="29"/>
  <c r="J58" i="29"/>
  <c r="AG35" i="12"/>
  <c r="Y27" i="30"/>
  <c r="AI39" i="12"/>
  <c r="C45" i="29"/>
  <c r="AI40" i="12"/>
  <c r="K52" i="29"/>
  <c r="B35" i="12"/>
  <c r="AE39" i="12"/>
  <c r="X34" i="30"/>
  <c r="Y35" i="12"/>
  <c r="X39" i="12"/>
  <c r="C40" i="22"/>
  <c r="L67" i="29"/>
  <c r="I27" i="30"/>
  <c r="J34" i="30"/>
  <c r="AE35" i="12"/>
  <c r="B8" i="29"/>
  <c r="L90" i="29"/>
  <c r="L39" i="29"/>
  <c r="K53" i="29"/>
  <c r="Y12" i="30"/>
  <c r="K58" i="29"/>
  <c r="Y40" i="12"/>
  <c r="Q52" i="29"/>
  <c r="X40" i="12"/>
  <c r="C36" i="22"/>
  <c r="X12" i="30"/>
  <c r="L8" i="29"/>
  <c r="AH39" i="12"/>
  <c r="I39" i="12"/>
  <c r="L40" i="22"/>
  <c r="J8" i="29"/>
  <c r="Y39" i="12"/>
  <c r="T40" i="12"/>
  <c r="Q53" i="29"/>
  <c r="AD40" i="12"/>
  <c r="B45" i="29"/>
  <c r="AE40" i="12"/>
  <c r="AD39" i="12"/>
  <c r="J67" i="29"/>
  <c r="AA39" i="12"/>
  <c r="C52" i="29"/>
  <c r="J35" i="12"/>
  <c r="I12" i="30"/>
  <c r="J45" i="29"/>
  <c r="AG39" i="12"/>
  <c r="J40" i="12"/>
  <c r="Q39" i="29"/>
  <c r="J27" i="30"/>
  <c r="AA40" i="12"/>
  <c r="C53" i="29"/>
  <c r="J12" i="30"/>
  <c r="I40" i="12"/>
  <c r="L36" i="22"/>
  <c r="AH40" i="12"/>
  <c r="AG40" i="12"/>
  <c r="AI35" i="12"/>
  <c r="AA35" i="12"/>
  <c r="T39" i="12"/>
  <c r="T35" i="12"/>
  <c r="B40" i="12"/>
  <c r="C19" i="29"/>
  <c r="AH35" i="12"/>
  <c r="K93" i="29"/>
  <c r="Q72" i="29"/>
  <c r="K72" i="29"/>
  <c r="Q69" i="29"/>
  <c r="Y34" i="30"/>
  <c r="Q54" i="29"/>
  <c r="L99" i="29"/>
  <c r="J35" i="29"/>
  <c r="J72" i="29"/>
  <c r="K99" i="29"/>
  <c r="C54" i="29"/>
  <c r="C33" i="29"/>
  <c r="K82" i="29"/>
  <c r="L93" i="29"/>
  <c r="C97" i="29"/>
  <c r="L33" i="29"/>
  <c r="Q19" i="29"/>
  <c r="K33" i="29"/>
  <c r="J33" i="29"/>
  <c r="C82" i="29"/>
  <c r="K19" i="29"/>
  <c r="L69" i="29"/>
  <c r="Q97" i="29"/>
  <c r="J69" i="29"/>
  <c r="C93" i="29"/>
  <c r="Q82" i="29"/>
  <c r="L97" i="29"/>
  <c r="J97" i="29"/>
  <c r="K69" i="29"/>
  <c r="C99" i="29"/>
  <c r="Q99" i="29"/>
  <c r="L19" i="29"/>
  <c r="L72" i="29"/>
  <c r="J54" i="29"/>
  <c r="K35" i="29"/>
  <c r="J82" i="29"/>
  <c r="K54" i="29"/>
  <c r="Q33" i="29"/>
  <c r="Q93" i="29"/>
  <c r="L54" i="29"/>
  <c r="J19" i="29"/>
  <c r="C69" i="29"/>
  <c r="J99" i="29"/>
  <c r="Q35" i="29"/>
  <c r="L35" i="29"/>
  <c r="C72" i="29"/>
  <c r="J93" i="29"/>
  <c r="L82" i="29"/>
  <c r="K97" i="29"/>
  <c r="C35" i="29"/>
  <c r="AA28" i="12"/>
  <c r="AH28" i="12"/>
  <c r="Y28" i="12"/>
  <c r="AG15" i="12"/>
  <c r="T13" i="12"/>
  <c r="AH15" i="12"/>
  <c r="X13" i="12"/>
  <c r="C13" i="22"/>
  <c r="AE18" i="12"/>
  <c r="J25" i="30"/>
  <c r="B13" i="12"/>
  <c r="AD15" i="12"/>
  <c r="I31" i="30"/>
  <c r="T18" i="12"/>
  <c r="AG28" i="12"/>
  <c r="Y37" i="30"/>
  <c r="I37" i="30"/>
  <c r="AG13" i="12"/>
  <c r="J31" i="30"/>
  <c r="AH13" i="12"/>
  <c r="E15" i="12"/>
  <c r="H25" i="22"/>
  <c r="Y31" i="30"/>
  <c r="I28" i="12"/>
  <c r="L31" i="22"/>
  <c r="J15" i="12"/>
  <c r="AD18" i="12"/>
  <c r="X18" i="12"/>
  <c r="C24" i="22"/>
  <c r="Y15" i="12"/>
  <c r="AA15" i="12"/>
  <c r="AG18" i="12"/>
  <c r="X25" i="30"/>
  <c r="J28" i="12"/>
  <c r="X31" i="30"/>
  <c r="X28" i="12"/>
  <c r="C31" i="22"/>
  <c r="X37" i="30"/>
  <c r="E18" i="12"/>
  <c r="H24" i="22"/>
  <c r="J39" i="30"/>
  <c r="AI15" i="12"/>
  <c r="J13" i="12"/>
  <c r="T15" i="12"/>
  <c r="J37" i="30"/>
  <c r="E28" i="12"/>
  <c r="H31" i="22"/>
  <c r="I15" i="12"/>
  <c r="L25" i="22"/>
  <c r="I39" i="30"/>
  <c r="AE13" i="12"/>
  <c r="E13" i="12"/>
  <c r="H13" i="22"/>
  <c r="AI18" i="12"/>
  <c r="B15" i="12"/>
  <c r="Y13" i="12"/>
  <c r="B18" i="12"/>
  <c r="AI13" i="12"/>
  <c r="AD13" i="12"/>
  <c r="Y18" i="12"/>
  <c r="AA13" i="12"/>
  <c r="I18" i="12"/>
  <c r="L24" i="22"/>
  <c r="AD28" i="12"/>
  <c r="Y25" i="30"/>
  <c r="J18" i="12"/>
  <c r="AA18" i="12"/>
  <c r="AE15" i="12"/>
  <c r="B28" i="12"/>
  <c r="AE28" i="12"/>
  <c r="AI28" i="12"/>
  <c r="X15" i="12"/>
  <c r="C25" i="22"/>
  <c r="AH18" i="12"/>
  <c r="I25" i="30"/>
  <c r="I13" i="12"/>
  <c r="L13" i="22"/>
  <c r="T28" i="12"/>
  <c r="J11" i="27"/>
  <c r="C11" i="27"/>
  <c r="H11" i="27"/>
  <c r="C5" i="27"/>
  <c r="J10" i="27"/>
  <c r="H8" i="27"/>
  <c r="C10" i="27"/>
  <c r="J5" i="27"/>
  <c r="I10" i="27"/>
  <c r="I8" i="27"/>
  <c r="J8" i="27"/>
  <c r="C8" i="27"/>
  <c r="H10" i="27"/>
  <c r="H5" i="27"/>
  <c r="I5" i="27"/>
  <c r="I11" i="27"/>
  <c r="C24" i="29"/>
  <c r="J46" i="29"/>
  <c r="C43" i="29"/>
  <c r="Q23" i="29"/>
  <c r="L16" i="29"/>
  <c r="Q46" i="29"/>
  <c r="C70" i="29"/>
  <c r="J74" i="29"/>
  <c r="K46" i="29"/>
  <c r="C46" i="29"/>
  <c r="J24" i="29"/>
  <c r="C23" i="29"/>
  <c r="J76" i="29"/>
  <c r="Q70" i="29"/>
  <c r="K95" i="29"/>
  <c r="L43" i="29"/>
  <c r="L24" i="29"/>
  <c r="K23" i="29"/>
  <c r="K43" i="29"/>
  <c r="K16" i="29"/>
  <c r="Q22" i="29"/>
  <c r="Q43" i="29"/>
  <c r="L22" i="29"/>
  <c r="C16" i="29"/>
  <c r="C22" i="29"/>
  <c r="J16" i="29"/>
  <c r="K76" i="29"/>
  <c r="L76" i="29"/>
  <c r="L74" i="29"/>
  <c r="C76" i="29"/>
  <c r="L23" i="29"/>
  <c r="L70" i="29"/>
  <c r="Q95" i="29"/>
  <c r="K74" i="29"/>
  <c r="K22" i="29"/>
  <c r="J43" i="29"/>
  <c r="K70" i="29"/>
  <c r="J23" i="29"/>
  <c r="Q24" i="29"/>
  <c r="J22" i="29"/>
  <c r="K24" i="29"/>
  <c r="C74" i="29"/>
  <c r="J95" i="29"/>
  <c r="L46" i="29"/>
  <c r="Q16" i="29"/>
  <c r="J70" i="29"/>
  <c r="Q76" i="29"/>
  <c r="C95" i="29"/>
  <c r="Q74" i="29"/>
  <c r="L95" i="29"/>
  <c r="K101" i="29"/>
  <c r="L96" i="29"/>
  <c r="J48" i="29"/>
  <c r="L78" i="29"/>
  <c r="J100" i="29"/>
  <c r="J75" i="29"/>
  <c r="K96" i="29"/>
  <c r="J101" i="29"/>
  <c r="K75" i="29"/>
  <c r="C55" i="29"/>
  <c r="C85" i="29"/>
  <c r="L100" i="29"/>
  <c r="J96" i="29"/>
  <c r="K63" i="29"/>
  <c r="L101" i="29"/>
  <c r="C100" i="29"/>
  <c r="K100" i="29"/>
  <c r="L55" i="29"/>
  <c r="C101" i="29"/>
  <c r="K78" i="29"/>
  <c r="C96" i="29"/>
  <c r="K48" i="29"/>
  <c r="K85" i="29"/>
  <c r="L85" i="29"/>
  <c r="J78" i="29"/>
  <c r="C78" i="29"/>
  <c r="J63" i="29"/>
  <c r="L63" i="29"/>
  <c r="J55" i="29"/>
  <c r="L48" i="29"/>
  <c r="C48" i="29"/>
  <c r="J85" i="29"/>
  <c r="C63" i="29"/>
  <c r="C75" i="29"/>
  <c r="K55" i="29"/>
  <c r="L75" i="29"/>
  <c r="C94" i="29"/>
  <c r="J103" i="29"/>
  <c r="K81" i="29"/>
  <c r="C68" i="29"/>
  <c r="J81" i="29"/>
  <c r="K65" i="29"/>
  <c r="C65" i="29"/>
  <c r="Q87" i="29"/>
  <c r="C103" i="29"/>
  <c r="L57" i="29"/>
  <c r="J87" i="29"/>
  <c r="Q65" i="29"/>
  <c r="K87" i="29"/>
  <c r="L65" i="29"/>
  <c r="C7" i="29"/>
  <c r="L6" i="29"/>
  <c r="C81" i="29"/>
  <c r="J94" i="29"/>
  <c r="J68" i="29"/>
  <c r="L94" i="29"/>
  <c r="K94" i="29"/>
  <c r="L7" i="29"/>
  <c r="C6" i="29"/>
  <c r="J7" i="29"/>
  <c r="Q103" i="29"/>
  <c r="L87" i="29"/>
  <c r="J59" i="29"/>
  <c r="Q6" i="29"/>
  <c r="L103" i="29"/>
  <c r="L59" i="29"/>
  <c r="Q81" i="29"/>
  <c r="C59" i="29"/>
  <c r="J6" i="29"/>
  <c r="L68" i="29"/>
  <c r="K7" i="29"/>
  <c r="Q59" i="29"/>
  <c r="Q57" i="29"/>
  <c r="C57" i="29"/>
  <c r="J57" i="29"/>
  <c r="Q68" i="29"/>
  <c r="K103" i="29"/>
  <c r="K57" i="29"/>
  <c r="C87" i="29"/>
  <c r="Q94" i="29"/>
  <c r="K59" i="29"/>
  <c r="K6" i="29"/>
  <c r="K68" i="29"/>
  <c r="L81" i="29"/>
  <c r="Q7" i="29"/>
  <c r="J65" i="29"/>
  <c r="L49" i="29"/>
  <c r="Q29" i="29"/>
  <c r="K49" i="29"/>
  <c r="C25" i="29"/>
  <c r="L64" i="29"/>
  <c r="L50" i="29"/>
  <c r="J91" i="29"/>
  <c r="J50" i="29"/>
  <c r="L60" i="29"/>
  <c r="K60" i="29"/>
  <c r="Q98" i="29"/>
  <c r="K29" i="29"/>
  <c r="L28" i="29"/>
  <c r="L91" i="29"/>
  <c r="Q28" i="29"/>
  <c r="K28" i="29"/>
  <c r="C50" i="29"/>
  <c r="Q66" i="29"/>
  <c r="Q25" i="29"/>
  <c r="L29" i="29"/>
  <c r="L25" i="29"/>
  <c r="J60" i="29"/>
  <c r="C98" i="29"/>
  <c r="Q49" i="29"/>
  <c r="J29" i="29"/>
  <c r="C64" i="29"/>
  <c r="J28" i="29"/>
  <c r="J25" i="29"/>
  <c r="K66" i="29"/>
  <c r="Q91" i="29"/>
  <c r="C49" i="29"/>
  <c r="C66" i="29"/>
  <c r="K64" i="29"/>
  <c r="L66" i="29"/>
  <c r="Q60" i="29"/>
  <c r="Q50" i="29"/>
  <c r="C91" i="29"/>
  <c r="K98" i="29"/>
  <c r="J64" i="29"/>
  <c r="Q64" i="29"/>
  <c r="J98" i="29"/>
  <c r="K25" i="29"/>
  <c r="C60" i="29"/>
  <c r="J49" i="29"/>
  <c r="K50" i="29"/>
  <c r="C28" i="29"/>
  <c r="K91" i="29"/>
  <c r="L98" i="29"/>
  <c r="C29" i="29"/>
  <c r="J66" i="29"/>
  <c r="H144" i="22"/>
  <c r="H141" i="22"/>
  <c r="H143" i="22"/>
  <c r="H139" i="22"/>
  <c r="I21" i="28" a="1"/>
  <c r="F61" i="28" l="1"/>
  <c r="I61" i="28"/>
  <c r="I9" i="28"/>
  <c r="F9" i="28"/>
  <c r="I59" i="28"/>
  <c r="F59" i="28"/>
  <c r="I60" i="28"/>
  <c r="F60" i="28"/>
  <c r="I21" i="28"/>
  <c r="I21" i="26" a="1"/>
  <c r="I21" i="26"/>
  <c r="AE8" i="12"/>
  <c r="AH12" i="12"/>
  <c r="AA12" i="12"/>
  <c r="X8" i="12"/>
  <c r="C9" i="22"/>
  <c r="I8" i="12"/>
  <c r="L9" i="22"/>
  <c r="AI8" i="12"/>
  <c r="B8" i="12"/>
  <c r="Y8" i="12"/>
  <c r="I12" i="12"/>
  <c r="L15" i="22"/>
  <c r="Y12" i="12"/>
  <c r="AD8" i="12"/>
  <c r="J12" i="12"/>
  <c r="AD12" i="12"/>
  <c r="AE12" i="12"/>
  <c r="X12" i="12"/>
  <c r="C15" i="22"/>
  <c r="T8" i="12"/>
  <c r="T12" i="12"/>
  <c r="AI12" i="12"/>
  <c r="B12" i="12"/>
  <c r="AG8" i="12"/>
  <c r="AA8" i="12"/>
  <c r="J8" i="12"/>
  <c r="AH8" i="12"/>
  <c r="AG12" i="12"/>
  <c r="AH23" i="12"/>
  <c r="J23" i="12"/>
  <c r="AG23" i="12"/>
  <c r="AI23" i="12"/>
  <c r="I26" i="30"/>
  <c r="J29" i="30"/>
  <c r="AI9" i="12"/>
  <c r="Y26" i="30"/>
  <c r="AH29" i="12"/>
  <c r="AI4" i="12"/>
  <c r="Y29" i="30"/>
  <c r="B29" i="12"/>
  <c r="X9" i="12"/>
  <c r="C12" i="22"/>
  <c r="AI29" i="12"/>
  <c r="E29" i="12"/>
  <c r="H29" i="22"/>
  <c r="AH4" i="12"/>
  <c r="AE4" i="12"/>
  <c r="I9" i="12"/>
  <c r="L12" i="22"/>
  <c r="AG29" i="12"/>
  <c r="AG4" i="12"/>
  <c r="Y29" i="12"/>
  <c r="E9" i="12"/>
  <c r="H12" i="22"/>
  <c r="T4" i="12"/>
  <c r="J9" i="12"/>
  <c r="AG9" i="12"/>
  <c r="X29" i="12"/>
  <c r="C29" i="22"/>
  <c r="B9" i="12"/>
  <c r="AH9" i="12"/>
  <c r="X26" i="30"/>
  <c r="Y9" i="12"/>
  <c r="X29" i="30"/>
  <c r="AE29" i="12"/>
  <c r="I29" i="12"/>
  <c r="L29" i="22"/>
  <c r="J26" i="30"/>
  <c r="I29" i="30"/>
  <c r="AD9" i="12"/>
  <c r="J29" i="12"/>
  <c r="AA9" i="12"/>
  <c r="AE9" i="12"/>
  <c r="AD29" i="12"/>
  <c r="AA29" i="12"/>
  <c r="AG6" i="12"/>
  <c r="AH6" i="12"/>
  <c r="AI6" i="12"/>
  <c r="AE6" i="12"/>
  <c r="AD7" i="12"/>
  <c r="J7" i="12"/>
  <c r="AI7" i="12"/>
  <c r="B7" i="12"/>
  <c r="I7" i="12"/>
  <c r="L10" i="22"/>
  <c r="AG7" i="12"/>
  <c r="AH7" i="12"/>
  <c r="AA7" i="12"/>
  <c r="AE7" i="12"/>
  <c r="T7" i="12"/>
  <c r="T57" i="12"/>
  <c r="F39" i="10"/>
  <c r="G39" i="10"/>
  <c r="B11" i="12"/>
  <c r="Y11" i="12"/>
  <c r="AG11" i="12"/>
  <c r="I35" i="30"/>
  <c r="AH11" i="12"/>
  <c r="I11" i="12"/>
  <c r="L19" i="22"/>
  <c r="AD11" i="12"/>
  <c r="AA11" i="12"/>
  <c r="X11" i="12"/>
  <c r="C19" i="22"/>
  <c r="J35" i="30"/>
  <c r="J11" i="12"/>
  <c r="AE11" i="12"/>
  <c r="AI11" i="12"/>
  <c r="AD30" i="12"/>
  <c r="AH30" i="12"/>
  <c r="J30" i="12"/>
  <c r="Y7" i="30"/>
  <c r="X15" i="30"/>
  <c r="AE27" i="12"/>
  <c r="AH27" i="12"/>
  <c r="AA30" i="12"/>
  <c r="AI27" i="12"/>
  <c r="B27" i="12"/>
  <c r="L27" i="22"/>
  <c r="B30" i="12"/>
  <c r="AG27" i="12"/>
  <c r="X7" i="30"/>
  <c r="AA27" i="12"/>
  <c r="AE30" i="12"/>
  <c r="Y15" i="30"/>
  <c r="C33" i="22"/>
  <c r="AI30" i="12"/>
  <c r="J27" i="12"/>
  <c r="I27" i="12"/>
  <c r="L33" i="22"/>
  <c r="AD27" i="12"/>
  <c r="C27" i="22"/>
  <c r="AG30" i="12"/>
  <c r="Q80" i="29"/>
  <c r="J80" i="29"/>
  <c r="K80" i="29"/>
  <c r="C92" i="29"/>
  <c r="Q92" i="29"/>
  <c r="L92" i="29"/>
  <c r="L80" i="29"/>
  <c r="J92" i="29"/>
  <c r="C80" i="29"/>
  <c r="AD14" i="12"/>
  <c r="K92" i="29"/>
  <c r="I14" i="12"/>
  <c r="L17" i="22"/>
  <c r="I28" i="30"/>
  <c r="T14" i="12"/>
  <c r="X14" i="12"/>
  <c r="C17" i="22"/>
  <c r="AE14" i="12"/>
  <c r="Y14" i="12"/>
  <c r="E14" i="12"/>
  <c r="H17" i="22"/>
  <c r="J14" i="12"/>
  <c r="B14" i="12"/>
  <c r="AI14" i="12"/>
  <c r="AG14" i="12"/>
  <c r="X28" i="30"/>
  <c r="AH14" i="12"/>
  <c r="Y28" i="30"/>
  <c r="J28" i="30"/>
  <c r="E41" i="12"/>
  <c r="I41" i="12"/>
  <c r="B41" i="12"/>
  <c r="J41" i="12"/>
  <c r="E34" i="12"/>
  <c r="H30" i="22"/>
  <c r="J36" i="30"/>
  <c r="Y36" i="30"/>
  <c r="AE34" i="12"/>
  <c r="T34" i="12"/>
  <c r="AH34" i="12"/>
  <c r="AD34" i="12"/>
  <c r="X34" i="12"/>
  <c r="C30" i="22"/>
  <c r="Y34" i="12"/>
  <c r="AA34" i="12"/>
  <c r="J34" i="12"/>
  <c r="I36" i="30"/>
  <c r="AG34" i="12"/>
  <c r="I34" i="12"/>
  <c r="L30" i="22"/>
  <c r="AI34" i="12"/>
  <c r="X36" i="30"/>
  <c r="B34" i="12"/>
  <c r="AA16" i="12"/>
  <c r="AH16" i="12"/>
  <c r="X18" i="30"/>
  <c r="AD16" i="12"/>
  <c r="AG16" i="12"/>
  <c r="T16" i="12"/>
  <c r="AE16" i="12"/>
  <c r="Y18" i="30"/>
  <c r="AI16" i="12"/>
  <c r="I16" i="12"/>
  <c r="L21" i="22"/>
  <c r="J16" i="12"/>
  <c r="Y16" i="12"/>
  <c r="B16" i="12"/>
  <c r="I20" i="12"/>
  <c r="L20" i="22"/>
  <c r="T20" i="12"/>
  <c r="AG25" i="12"/>
  <c r="AH20" i="12"/>
  <c r="AA25" i="12"/>
  <c r="B20" i="12"/>
  <c r="J10" i="30"/>
  <c r="G35" i="10"/>
  <c r="AE20" i="12"/>
  <c r="Y6" i="30"/>
  <c r="AI20" i="12"/>
  <c r="AE25" i="12"/>
  <c r="Y20" i="12"/>
  <c r="C34" i="22"/>
  <c r="AD20" i="12"/>
  <c r="B25" i="12"/>
  <c r="AG20" i="12"/>
  <c r="J25" i="12"/>
  <c r="AH25" i="12"/>
  <c r="X20" i="12"/>
  <c r="C20" i="22"/>
  <c r="L34" i="22"/>
  <c r="I25" i="12"/>
  <c r="I6" i="30"/>
  <c r="E25" i="12"/>
  <c r="H34" i="22"/>
  <c r="J6" i="30"/>
  <c r="AD25" i="12"/>
  <c r="X6" i="30"/>
  <c r="AI25" i="12"/>
  <c r="I10" i="30"/>
  <c r="F35" i="10"/>
  <c r="AE17" i="12"/>
  <c r="Y24" i="30"/>
  <c r="AH17" i="12"/>
  <c r="AG17" i="12"/>
  <c r="AI17" i="12"/>
  <c r="X24" i="30"/>
  <c r="AD5" i="12"/>
  <c r="J5" i="12"/>
  <c r="AA5" i="12"/>
  <c r="Y5" i="12"/>
  <c r="AI5" i="12"/>
  <c r="T5" i="12"/>
  <c r="AE5" i="12"/>
  <c r="B5" i="12"/>
  <c r="AH5" i="12"/>
  <c r="I5" i="12"/>
  <c r="L7" i="22"/>
  <c r="AG5" i="12"/>
  <c r="I16" i="30"/>
  <c r="X5" i="12"/>
  <c r="C7" i="22"/>
  <c r="J16" i="30"/>
  <c r="X8" i="30"/>
  <c r="AE24" i="12"/>
  <c r="AA24" i="12"/>
  <c r="B24" i="12"/>
  <c r="AD24" i="12"/>
  <c r="I24" i="12"/>
  <c r="L42" i="22"/>
  <c r="AG24" i="12"/>
  <c r="Y8" i="30"/>
  <c r="AH24" i="12"/>
  <c r="AI24" i="12"/>
  <c r="T24" i="12"/>
  <c r="J24" i="12"/>
  <c r="Y30" i="30"/>
  <c r="X22" i="12"/>
  <c r="C8" i="22"/>
  <c r="AG22" i="12"/>
  <c r="T22" i="12"/>
  <c r="AI22" i="12"/>
  <c r="B22" i="12"/>
  <c r="I22" i="12"/>
  <c r="L8" i="22"/>
  <c r="AA22" i="12"/>
  <c r="AH22" i="12"/>
  <c r="X30" i="30"/>
  <c r="AE22" i="12"/>
  <c r="Y22" i="12"/>
  <c r="AD22" i="12"/>
  <c r="J22" i="12"/>
  <c r="X23" i="30"/>
  <c r="I42" i="12"/>
  <c r="L41" i="22"/>
  <c r="Y23" i="30"/>
  <c r="J42" i="12"/>
  <c r="C41" i="22"/>
  <c r="I23" i="30"/>
  <c r="J23" i="30"/>
  <c r="B42" i="12"/>
  <c r="J14" i="30"/>
  <c r="C26" i="22"/>
  <c r="AE19" i="12"/>
  <c r="I14" i="30"/>
  <c r="E19" i="12"/>
  <c r="H26" i="22"/>
  <c r="AI19" i="12"/>
  <c r="AH19" i="12"/>
  <c r="Y14" i="30"/>
  <c r="T19" i="12"/>
  <c r="X14" i="30"/>
  <c r="AG19" i="12"/>
  <c r="I19" i="12"/>
  <c r="L26" i="22"/>
  <c r="B19" i="12"/>
  <c r="AH32" i="12"/>
  <c r="J32" i="12"/>
  <c r="X4" i="30"/>
  <c r="AI32" i="12"/>
  <c r="AG32" i="12"/>
  <c r="Y4" i="30"/>
  <c r="J19" i="30"/>
  <c r="I19" i="30"/>
  <c r="Y19" i="30"/>
  <c r="X19" i="30"/>
  <c r="C9" i="27"/>
  <c r="T65" i="22"/>
  <c r="X54" i="12"/>
  <c r="I13" i="27"/>
  <c r="J9" i="27"/>
  <c r="I6" i="27"/>
  <c r="J12" i="27"/>
  <c r="J6" i="27"/>
  <c r="H138" i="22"/>
  <c r="C12" i="27"/>
  <c r="G32" i="10"/>
  <c r="E75" i="26"/>
  <c r="E54" i="12"/>
  <c r="J13" i="27"/>
  <c r="E49" i="26"/>
  <c r="H13" i="27"/>
  <c r="E49" i="12"/>
  <c r="I9" i="27"/>
  <c r="H12" i="27"/>
  <c r="H6" i="27"/>
  <c r="E50" i="12"/>
  <c r="I7" i="27"/>
  <c r="I4" i="27"/>
  <c r="C4" i="27"/>
  <c r="E51" i="26"/>
  <c r="H4" i="27"/>
  <c r="C11" i="22"/>
  <c r="C13" i="27"/>
  <c r="J4" i="27"/>
  <c r="H7" i="27"/>
  <c r="J7" i="27"/>
  <c r="C7" i="27"/>
  <c r="E36" i="10"/>
  <c r="C6" i="27"/>
  <c r="I12" i="27"/>
  <c r="F32" i="10"/>
  <c r="J96" i="28" l="1"/>
  <c r="K96" i="28" s="1"/>
  <c r="P77" i="28"/>
  <c r="M77" i="28"/>
  <c r="M82" i="28" s="1"/>
  <c r="E32" i="10"/>
  <c r="E61" i="26"/>
  <c r="E59" i="26"/>
  <c r="E55" i="26"/>
  <c r="E71" i="28"/>
  <c r="T24" i="22"/>
  <c r="E9" i="26"/>
  <c r="E62" i="26"/>
  <c r="E39" i="26"/>
  <c r="E72" i="28"/>
  <c r="E38" i="26"/>
  <c r="E65" i="26"/>
  <c r="E37" i="26"/>
  <c r="E64" i="26"/>
  <c r="E39" i="10"/>
  <c r="T36" i="22"/>
  <c r="E50" i="26"/>
  <c r="E10" i="26"/>
  <c r="B52" i="12"/>
  <c r="AA50" i="12"/>
  <c r="X36" i="22"/>
  <c r="AH50" i="12"/>
  <c r="I53" i="12"/>
  <c r="B49" i="12"/>
  <c r="R45" i="13"/>
  <c r="S21" i="14"/>
  <c r="W45" i="13"/>
  <c r="J51" i="12"/>
  <c r="S18" i="13"/>
  <c r="W53" i="14"/>
  <c r="X21" i="30"/>
  <c r="AD57" i="12"/>
  <c r="AD21" i="12"/>
  <c r="Y54" i="12"/>
  <c r="Y21" i="12"/>
  <c r="AH51" i="12"/>
  <c r="T52" i="12"/>
  <c r="B56" i="12"/>
  <c r="R23" i="13"/>
  <c r="W63" i="13"/>
  <c r="S25" i="13"/>
  <c r="W38" i="14"/>
  <c r="J53" i="12"/>
  <c r="W32" i="13"/>
  <c r="B57" i="12"/>
  <c r="R20" i="14"/>
  <c r="AI55" i="12"/>
  <c r="B21" i="12"/>
  <c r="S63" i="13"/>
  <c r="B50" i="12"/>
  <c r="R65" i="13"/>
  <c r="B55" i="12"/>
  <c r="J56" i="12"/>
  <c r="I54" i="12"/>
  <c r="R51" i="14"/>
  <c r="S20" i="14"/>
  <c r="R48" i="13"/>
  <c r="X40" i="14"/>
  <c r="X51" i="14"/>
  <c r="AE52" i="12"/>
  <c r="R48" i="14"/>
  <c r="R72" i="14"/>
  <c r="AI21" i="12"/>
  <c r="AH56" i="12"/>
  <c r="AA49" i="12"/>
  <c r="W20" i="14"/>
  <c r="AH49" i="12"/>
  <c r="S33" i="13"/>
  <c r="X38" i="14"/>
  <c r="S71" i="14"/>
  <c r="R38" i="14"/>
  <c r="T55" i="12"/>
  <c r="X25" i="13"/>
  <c r="AD52" i="12"/>
  <c r="W25" i="13"/>
  <c r="S40" i="14"/>
  <c r="T56" i="12"/>
  <c r="AI50" i="12"/>
  <c r="X44" i="13"/>
  <c r="W18" i="13"/>
  <c r="W51" i="14"/>
  <c r="W21" i="14"/>
  <c r="R53" i="14"/>
  <c r="X20" i="14"/>
  <c r="J57" i="12"/>
  <c r="AE50" i="12"/>
  <c r="AE54" i="12"/>
  <c r="AH55" i="12"/>
  <c r="J55" i="12"/>
  <c r="AH57" i="12"/>
  <c r="X23" i="13"/>
  <c r="AI51" i="12"/>
  <c r="L22" i="22"/>
  <c r="AH54" i="12"/>
  <c r="AG21" i="12"/>
  <c r="AE21" i="12"/>
  <c r="S45" i="13"/>
  <c r="X24" i="22"/>
  <c r="J50" i="12"/>
  <c r="Y55" i="12"/>
  <c r="R44" i="13"/>
  <c r="AI54" i="12"/>
  <c r="AE53" i="12"/>
  <c r="W44" i="13"/>
  <c r="S44" i="13"/>
  <c r="X65" i="13"/>
  <c r="AD50" i="12"/>
  <c r="AD53" i="12"/>
  <c r="AD49" i="12"/>
  <c r="B54" i="12"/>
  <c r="AG50" i="12"/>
  <c r="T50" i="12"/>
  <c r="X48" i="13"/>
  <c r="I49" i="12"/>
  <c r="S48" i="13"/>
  <c r="X53" i="14"/>
  <c r="S43" i="14"/>
  <c r="W33" i="13"/>
  <c r="AI53" i="12"/>
  <c r="R25" i="13"/>
  <c r="AA53" i="12"/>
  <c r="AE55" i="12"/>
  <c r="AG52" i="12"/>
  <c r="AA55" i="12"/>
  <c r="R63" i="13"/>
  <c r="AG53" i="12"/>
  <c r="J21" i="12"/>
  <c r="W72" i="14"/>
  <c r="X32" i="13"/>
  <c r="X48" i="14"/>
  <c r="AA57" i="12"/>
  <c r="W48" i="14"/>
  <c r="S23" i="13"/>
  <c r="R40" i="14"/>
  <c r="J52" i="12"/>
  <c r="AH53" i="12"/>
  <c r="S32" i="13"/>
  <c r="AG49" i="12"/>
  <c r="AA52" i="12"/>
  <c r="W23" i="13"/>
  <c r="W43" i="14"/>
  <c r="X45" i="13"/>
  <c r="AE49" i="12"/>
  <c r="X33" i="13"/>
  <c r="X18" i="13"/>
  <c r="S65" i="13"/>
  <c r="S51" i="14"/>
  <c r="AH21" i="12"/>
  <c r="AA56" i="12"/>
  <c r="T49" i="12"/>
  <c r="AI57" i="12"/>
  <c r="B53" i="12"/>
  <c r="S38" i="14"/>
  <c r="X43" i="14"/>
  <c r="AE57" i="12"/>
  <c r="X72" i="14"/>
  <c r="T54" i="12"/>
  <c r="R21" i="14"/>
  <c r="R18" i="13"/>
  <c r="AI52" i="12"/>
  <c r="R32" i="13"/>
  <c r="X71" i="14"/>
  <c r="J54" i="12"/>
  <c r="G36" i="10"/>
  <c r="AA21" i="12"/>
  <c r="AD56" i="12"/>
  <c r="AG56" i="12"/>
  <c r="R71" i="14"/>
  <c r="AG54" i="12"/>
  <c r="W65" i="13"/>
  <c r="S53" i="14"/>
  <c r="W40" i="14"/>
  <c r="I21" i="12"/>
  <c r="X21" i="14"/>
  <c r="AE56" i="12"/>
  <c r="R43" i="14"/>
  <c r="AG57" i="12"/>
  <c r="S48" i="14"/>
  <c r="AI49" i="12"/>
  <c r="AA54" i="12"/>
  <c r="R33" i="13"/>
  <c r="AD55" i="12"/>
  <c r="S72" i="14"/>
  <c r="X63" i="13"/>
  <c r="AI56" i="12"/>
  <c r="AD54" i="12"/>
  <c r="W48" i="13"/>
  <c r="AH52" i="12"/>
  <c r="AG55" i="12"/>
  <c r="AG51" i="12"/>
  <c r="W71" i="14"/>
  <c r="F36" i="10"/>
  <c r="I50" i="12"/>
  <c r="J49" i="12"/>
  <c r="Y21" i="30"/>
  <c r="I77" i="28" l="1"/>
  <c r="F77" i="28"/>
  <c r="B77" i="28"/>
  <c r="P73" i="28"/>
  <c r="M73" i="28"/>
  <c r="F73" i="28" l="1"/>
  <c r="I73" i="28"/>
  <c r="B73" i="28"/>
  <c r="P72" i="28"/>
  <c r="M72" i="28"/>
  <c r="F72" i="28" l="1"/>
  <c r="I72" i="28"/>
  <c r="B72" i="28"/>
  <c r="P71" i="28"/>
  <c r="M71" i="28"/>
  <c r="M75" i="28" s="1"/>
  <c r="I71" i="28" l="1"/>
  <c r="F71" i="28"/>
  <c r="B71" i="28"/>
  <c r="P58" i="28"/>
  <c r="M58" i="28"/>
  <c r="I58" i="28" l="1"/>
  <c r="F58" i="28"/>
  <c r="B58" i="28"/>
  <c r="P57" i="28"/>
  <c r="M57" i="28"/>
  <c r="M66" i="28" s="1"/>
  <c r="I57" i="28" l="1"/>
  <c r="F57" i="28"/>
  <c r="B57" i="28"/>
  <c r="P53" i="28"/>
  <c r="M53" i="28"/>
  <c r="F53" i="28" l="1"/>
  <c r="I53" i="28"/>
  <c r="B53" i="28"/>
  <c r="P52" i="28"/>
  <c r="M52" i="28"/>
  <c r="F52" i="28" l="1"/>
  <c r="I52" i="28"/>
  <c r="B52" i="28"/>
  <c r="P51" i="28"/>
  <c r="M51" i="28"/>
  <c r="I51" i="28" l="1"/>
  <c r="F51" i="28"/>
  <c r="B51" i="28"/>
  <c r="P50" i="28"/>
  <c r="M50" i="28"/>
  <c r="I50" i="28" l="1"/>
  <c r="F50" i="28"/>
  <c r="B50" i="28"/>
  <c r="P49" i="28"/>
  <c r="M49" i="28"/>
  <c r="M55" i="28" s="1"/>
  <c r="I49" i="28" l="1"/>
  <c r="F49" i="28"/>
  <c r="B49" i="28"/>
  <c r="P39" i="28"/>
  <c r="M39" i="28"/>
  <c r="F39" i="28" l="1"/>
  <c r="I39" i="28"/>
  <c r="B39" i="28"/>
  <c r="P38" i="28"/>
  <c r="M38" i="28"/>
  <c r="I38" i="28" l="1"/>
  <c r="F38" i="28"/>
  <c r="B38" i="28"/>
  <c r="P37" i="28"/>
  <c r="M37" i="28"/>
  <c r="I37" i="28" l="1"/>
  <c r="F37" i="28"/>
  <c r="B37" i="28"/>
  <c r="P36" i="28"/>
  <c r="M36" i="28"/>
  <c r="F36" i="28" l="1"/>
  <c r="I36" i="28"/>
  <c r="B36" i="28"/>
  <c r="P35" i="28"/>
  <c r="M35" i="28"/>
  <c r="I35" i="28" l="1"/>
  <c r="F35" i="28"/>
  <c r="B35" i="28"/>
  <c r="P34" i="28"/>
  <c r="M34" i="28"/>
  <c r="I34" i="28" l="1"/>
  <c r="F34" i="28"/>
  <c r="B34" i="28"/>
  <c r="P33" i="28"/>
  <c r="M33" i="28"/>
  <c r="I33" i="28" l="1"/>
  <c r="F33" i="28"/>
  <c r="B33" i="28"/>
  <c r="M18" i="28" l="1"/>
  <c r="F5" i="28" l="1"/>
  <c r="F18" i="28" s="1"/>
  <c r="I5" i="28"/>
  <c r="B5" i="28"/>
  <c r="F21" i="28" l="1"/>
  <c r="L16" i="22"/>
  <c r="L11" i="22"/>
  <c r="I4" i="12"/>
  <c r="Y23" i="12"/>
  <c r="I23" i="12"/>
  <c r="I17" i="12"/>
  <c r="L28" i="22"/>
  <c r="B23" i="12"/>
  <c r="B32" i="12"/>
  <c r="T17" i="12"/>
  <c r="AD32" i="12"/>
  <c r="B6" i="12"/>
  <c r="L6" i="22"/>
  <c r="AA32" i="12"/>
  <c r="I6" i="12"/>
  <c r="B4" i="12"/>
  <c r="AD23" i="12"/>
  <c r="I32" i="12"/>
  <c r="AE32" i="12"/>
  <c r="AE23" i="12"/>
  <c r="B17" i="12"/>
  <c r="Y4" i="12"/>
  <c r="L18" i="22"/>
  <c r="AA23" i="12"/>
  <c r="T51" i="12"/>
  <c r="B51" i="12"/>
  <c r="AA51" i="12"/>
  <c r="AE51" i="12"/>
  <c r="AD51" i="12"/>
  <c r="F22" i="28" l="1"/>
  <c r="F24" i="28" s="1"/>
  <c r="F27" i="28" s="1"/>
  <c r="F29" i="28" s="1"/>
  <c r="F19" i="28" l="1"/>
  <c r="H224" i="29" l="1"/>
  <c r="O4" i="29" l="1"/>
  <c r="G41" i="12" l="1"/>
  <c r="G42" i="12"/>
  <c r="N12" i="15" l="1"/>
  <c r="I40" i="15" l="1"/>
  <c r="J40" i="15"/>
  <c r="O40" i="15"/>
  <c r="L40" i="15"/>
  <c r="CP32" i="25" l="1"/>
  <c r="CP31" i="25"/>
  <c r="CO26" i="25"/>
  <c r="CO28" i="25" s="1"/>
  <c r="CN22" i="25" s="1"/>
  <c r="CN18" i="25"/>
  <c r="CP19" i="25" s="1"/>
  <c r="CP17" i="25"/>
  <c r="CN17" i="25"/>
  <c r="S103" i="29" l="1"/>
  <c r="O103" i="29"/>
  <c r="M103" i="29"/>
  <c r="O100" i="29" l="1"/>
  <c r="S100" i="29"/>
  <c r="M100" i="29"/>
  <c r="S102" i="29" l="1"/>
  <c r="O102" i="29"/>
  <c r="M102" i="29"/>
  <c r="S99" i="29" l="1"/>
  <c r="O99" i="29"/>
  <c r="M99" i="29"/>
  <c r="S101" i="29" l="1"/>
  <c r="O101" i="29"/>
  <c r="M101" i="29"/>
  <c r="S98" i="29" l="1"/>
  <c r="O98" i="29"/>
  <c r="M98" i="29"/>
  <c r="S89" i="29" l="1"/>
  <c r="O89" i="29"/>
  <c r="M89" i="29"/>
  <c r="S95" i="29" l="1"/>
  <c r="O95" i="29"/>
  <c r="M95" i="29"/>
  <c r="S92" i="29" l="1"/>
  <c r="O92" i="29"/>
  <c r="M92" i="29"/>
  <c r="S93" i="29" l="1"/>
  <c r="O93" i="29"/>
  <c r="M93" i="29"/>
  <c r="S94" i="29" l="1"/>
  <c r="O94" i="29"/>
  <c r="M94" i="29"/>
  <c r="D94" i="29"/>
  <c r="S97" i="29" l="1"/>
  <c r="O97" i="29"/>
  <c r="M97" i="29"/>
  <c r="S90" i="29" l="1"/>
  <c r="O90" i="29"/>
  <c r="M90" i="29"/>
  <c r="S96" i="29" l="1"/>
  <c r="O96" i="29"/>
  <c r="M96" i="29"/>
  <c r="S82" i="29" l="1"/>
  <c r="O82" i="29"/>
  <c r="M82" i="29"/>
  <c r="S88" i="29" l="1"/>
  <c r="O88" i="29"/>
  <c r="M88" i="29"/>
  <c r="S84" i="29" l="1"/>
  <c r="O84" i="29"/>
  <c r="M84" i="29"/>
  <c r="S81" i="29" l="1"/>
  <c r="O81" i="29"/>
  <c r="M81" i="29"/>
  <c r="S86" i="29" l="1"/>
  <c r="O86" i="29"/>
  <c r="M86" i="29"/>
  <c r="S91" i="29" l="1"/>
  <c r="O91" i="29"/>
  <c r="M91" i="29"/>
  <c r="S83" i="29" l="1"/>
  <c r="O83" i="29"/>
  <c r="M83" i="29"/>
  <c r="S87" i="29" l="1"/>
  <c r="O87" i="29"/>
  <c r="M87" i="29"/>
  <c r="S79" i="29" l="1"/>
  <c r="O79" i="29"/>
  <c r="M79" i="29"/>
  <c r="S76" i="29" l="1"/>
  <c r="O76" i="29"/>
  <c r="M76" i="29"/>
  <c r="S65" i="29" l="1"/>
  <c r="O65" i="29"/>
  <c r="M65" i="29"/>
  <c r="S85" i="29" l="1"/>
  <c r="O85" i="29"/>
  <c r="M85" i="29"/>
  <c r="S62" i="29" l="1"/>
  <c r="O62" i="29"/>
  <c r="M62" i="29"/>
  <c r="S69" i="29" l="1"/>
  <c r="O69" i="29"/>
  <c r="M69" i="29"/>
  <c r="S64" i="29" l="1"/>
  <c r="O64" i="29"/>
  <c r="M64" i="29"/>
  <c r="S73" i="29" l="1"/>
  <c r="O73" i="29"/>
  <c r="M73" i="29"/>
  <c r="S80" i="29" l="1"/>
  <c r="O80" i="29"/>
  <c r="M80" i="29"/>
  <c r="S75" i="29" l="1"/>
  <c r="O75" i="29"/>
  <c r="M75" i="29"/>
  <c r="S78" i="29" l="1"/>
  <c r="O78" i="29"/>
  <c r="M78" i="29"/>
  <c r="S61" i="29" l="1"/>
  <c r="O61" i="29"/>
  <c r="M61" i="29"/>
  <c r="S71" i="29" l="1"/>
  <c r="O71" i="29"/>
  <c r="M71" i="29"/>
  <c r="S72" i="29" l="1"/>
  <c r="O72" i="29"/>
  <c r="M72" i="29"/>
  <c r="S74" i="29" l="1"/>
  <c r="O74" i="29"/>
  <c r="M74" i="29"/>
  <c r="S51" i="29" l="1"/>
  <c r="O51" i="29"/>
  <c r="M51" i="29"/>
  <c r="S67" i="29" l="1"/>
  <c r="O67" i="29"/>
  <c r="M67" i="29"/>
  <c r="S54" i="29" l="1"/>
  <c r="O54" i="29"/>
  <c r="M54" i="29"/>
  <c r="S66" i="29" l="1"/>
  <c r="O66" i="29"/>
  <c r="M66" i="29"/>
  <c r="S70" i="29" l="1"/>
  <c r="O70" i="29"/>
  <c r="M70" i="29"/>
  <c r="S63" i="29" l="1"/>
  <c r="O63" i="29"/>
  <c r="M63" i="29"/>
  <c r="S40" i="29" l="1"/>
  <c r="O40" i="29"/>
  <c r="M40" i="29"/>
  <c r="S52" i="29" l="1"/>
  <c r="O52" i="29"/>
  <c r="M52" i="29"/>
  <c r="S46" i="29" l="1"/>
  <c r="O46" i="29"/>
  <c r="M46" i="29"/>
  <c r="S68" i="29" l="1"/>
  <c r="O68" i="29"/>
  <c r="M68" i="29"/>
  <c r="S47" i="29" l="1"/>
  <c r="O47" i="29"/>
  <c r="M47" i="29"/>
  <c r="S58" i="29" l="1"/>
  <c r="O58" i="29"/>
  <c r="M58" i="29"/>
  <c r="S48" i="29" l="1"/>
  <c r="O48" i="29"/>
  <c r="M48" i="29"/>
  <c r="S59" i="29" l="1"/>
  <c r="O59" i="29"/>
  <c r="M59" i="29"/>
  <c r="S50" i="29" l="1"/>
  <c r="O50" i="29"/>
  <c r="M50" i="29"/>
  <c r="S41" i="29" l="1"/>
  <c r="O41" i="29"/>
  <c r="M41" i="29"/>
  <c r="S36" i="29" l="1"/>
  <c r="O36" i="29"/>
  <c r="M36" i="29"/>
  <c r="S42" i="29" l="1"/>
  <c r="O42" i="29"/>
  <c r="M42" i="29"/>
  <c r="S19" i="29" l="1"/>
  <c r="O19" i="29"/>
  <c r="M19" i="29"/>
  <c r="S45" i="29" l="1"/>
  <c r="O45" i="29"/>
  <c r="M45" i="29"/>
  <c r="S33" i="29" l="1"/>
  <c r="O33" i="29"/>
  <c r="M33" i="29"/>
  <c r="S56" i="29" l="1"/>
  <c r="O56" i="29"/>
  <c r="M56" i="29"/>
  <c r="S53" i="29" l="1"/>
  <c r="O53" i="29"/>
  <c r="M53" i="29"/>
  <c r="S31" i="29" l="1"/>
  <c r="O31" i="29"/>
  <c r="M31" i="29"/>
  <c r="S39" i="29" l="1"/>
  <c r="O39" i="29"/>
  <c r="M39" i="29"/>
  <c r="S44" i="29" l="1"/>
  <c r="O44" i="29"/>
  <c r="M44" i="29"/>
  <c r="S57" i="29" l="1"/>
  <c r="O57" i="29"/>
  <c r="M57" i="29"/>
  <c r="S35" i="29" l="1"/>
  <c r="O35" i="29"/>
  <c r="M35" i="29"/>
  <c r="S17" i="29" l="1"/>
  <c r="O17" i="29"/>
  <c r="M17" i="29"/>
  <c r="S60" i="29" l="1"/>
  <c r="O60" i="29"/>
  <c r="M60" i="29"/>
  <c r="S28" i="29" l="1"/>
  <c r="O28" i="29"/>
  <c r="M28" i="29"/>
  <c r="S37" i="29" l="1"/>
  <c r="O37" i="29"/>
  <c r="M37" i="29"/>
  <c r="S23" i="29" l="1"/>
  <c r="O23" i="29"/>
  <c r="M23" i="29"/>
  <c r="S32" i="29" l="1"/>
  <c r="O32" i="29"/>
  <c r="M32" i="29"/>
  <c r="S77" i="29" l="1"/>
  <c r="O77" i="29"/>
  <c r="M77" i="29"/>
  <c r="S26" i="29" l="1"/>
  <c r="O26" i="29"/>
  <c r="M26" i="29"/>
  <c r="S49" i="29" l="1"/>
  <c r="O49" i="29"/>
  <c r="M49" i="29"/>
  <c r="S29" i="29" l="1"/>
  <c r="O29" i="29"/>
  <c r="M29" i="29"/>
  <c r="S27" i="29" l="1"/>
  <c r="O27" i="29"/>
  <c r="M27" i="29"/>
  <c r="S55" i="29" l="1"/>
  <c r="O55" i="29"/>
  <c r="M55" i="29"/>
  <c r="S34" i="29" l="1"/>
  <c r="O34" i="29"/>
  <c r="M34" i="29"/>
  <c r="S38" i="29"/>
  <c r="O38" i="29"/>
  <c r="S43" i="29" l="1"/>
  <c r="O43" i="29"/>
  <c r="M43" i="29"/>
  <c r="S20" i="29" l="1"/>
  <c r="O20" i="29"/>
  <c r="M20" i="29"/>
  <c r="S24" i="29" l="1"/>
  <c r="O24" i="29"/>
  <c r="M24" i="29"/>
  <c r="S16" i="29" l="1"/>
  <c r="O16" i="29"/>
  <c r="M16" i="29"/>
  <c r="S30" i="29" l="1"/>
  <c r="O30" i="29"/>
  <c r="M30" i="29"/>
  <c r="S18" i="29" l="1"/>
  <c r="O18" i="29"/>
  <c r="M18" i="29"/>
  <c r="O25" i="29" l="1"/>
  <c r="S25" i="29"/>
  <c r="M25" i="29"/>
  <c r="S13" i="29" l="1"/>
  <c r="O13" i="29"/>
  <c r="M13" i="29"/>
  <c r="S22" i="29" l="1"/>
  <c r="O22" i="29"/>
  <c r="M22" i="29"/>
  <c r="S15" i="29" l="1"/>
  <c r="O15" i="29"/>
  <c r="M15" i="29"/>
  <c r="S14" i="29" l="1"/>
  <c r="O14" i="29"/>
  <c r="M14" i="29"/>
  <c r="S10" i="29" l="1"/>
  <c r="O10" i="29"/>
  <c r="M10" i="29"/>
  <c r="S12" i="29" l="1"/>
  <c r="O12" i="29"/>
  <c r="M12" i="29"/>
  <c r="S11" i="29" l="1"/>
  <c r="O11" i="29"/>
  <c r="M11" i="29"/>
  <c r="S21" i="29" l="1"/>
  <c r="O21" i="29"/>
  <c r="M21" i="29"/>
  <c r="S7" i="29" l="1"/>
  <c r="O7" i="29"/>
  <c r="M7" i="29"/>
  <c r="S9" i="29" l="1"/>
  <c r="O9" i="29"/>
  <c r="M9" i="29"/>
  <c r="S6" i="29" l="1"/>
  <c r="O6" i="29"/>
  <c r="M6" i="29"/>
  <c r="S4" i="29" l="1"/>
  <c r="M4" i="29"/>
  <c r="S5" i="29" l="1"/>
  <c r="O5" i="29"/>
  <c r="M5" i="29"/>
  <c r="S8" i="29" l="1"/>
  <c r="O8" i="29"/>
  <c r="O105" i="29" s="1"/>
  <c r="M8" i="29"/>
  <c r="E8" i="29" l="1"/>
  <c r="A8" i="29" s="1"/>
  <c r="E4" i="29"/>
  <c r="A4" i="29" s="1"/>
  <c r="AB103" i="29"/>
  <c r="E103" i="29"/>
  <c r="AB102" i="29"/>
  <c r="AC102" i="29" s="1"/>
  <c r="E100" i="29"/>
  <c r="AB101" i="29"/>
  <c r="AC101" i="29" s="1"/>
  <c r="E102" i="29"/>
  <c r="A102" i="29" s="1"/>
  <c r="AB100" i="29"/>
  <c r="E99" i="29"/>
  <c r="AB99" i="29"/>
  <c r="E101" i="29"/>
  <c r="AB98" i="29"/>
  <c r="E98" i="29"/>
  <c r="AB97" i="29"/>
  <c r="AC97" i="29" s="1"/>
  <c r="E89" i="29"/>
  <c r="AB96" i="29"/>
  <c r="E95" i="29"/>
  <c r="AB95" i="29"/>
  <c r="E92" i="29"/>
  <c r="AB94" i="29"/>
  <c r="AC94" i="29" s="1"/>
  <c r="E93" i="29"/>
  <c r="E94" i="29"/>
  <c r="AB93" i="29"/>
  <c r="AC93" i="29" s="1"/>
  <c r="AB92" i="29"/>
  <c r="E97" i="29"/>
  <c r="AB91" i="29"/>
  <c r="E90" i="29"/>
  <c r="A90" i="29" s="1"/>
  <c r="AB90" i="29"/>
  <c r="E96" i="29"/>
  <c r="AB89" i="29"/>
  <c r="E82" i="29"/>
  <c r="AB88" i="29"/>
  <c r="AC88" i="29" s="1"/>
  <c r="E88" i="29"/>
  <c r="A88" i="29" s="1"/>
  <c r="AB87" i="29"/>
  <c r="E84" i="29"/>
  <c r="AB86" i="29"/>
  <c r="E81" i="29"/>
  <c r="AB85" i="29"/>
  <c r="AC85" i="29" s="1"/>
  <c r="E86" i="29"/>
  <c r="AB84" i="29"/>
  <c r="E91" i="29"/>
  <c r="AB83" i="29"/>
  <c r="AB82" i="29"/>
  <c r="E83" i="29"/>
  <c r="E87" i="29"/>
  <c r="AB81" i="29"/>
  <c r="AC81" i="29" s="1"/>
  <c r="E79" i="29"/>
  <c r="A79" i="29" s="1"/>
  <c r="AB80" i="29"/>
  <c r="E76" i="29"/>
  <c r="AB79" i="29"/>
  <c r="E65" i="29"/>
  <c r="AB78" i="29"/>
  <c r="AC78" i="29" s="1"/>
  <c r="E85" i="29"/>
  <c r="AB77" i="29"/>
  <c r="E62" i="29"/>
  <c r="AB76" i="29"/>
  <c r="E69" i="29"/>
  <c r="AB75" i="29"/>
  <c r="E64" i="29"/>
  <c r="AB74" i="29"/>
  <c r="E73" i="29"/>
  <c r="AB73" i="29"/>
  <c r="E80" i="29"/>
  <c r="AB72" i="29"/>
  <c r="E75" i="29"/>
  <c r="AB71" i="29"/>
  <c r="AC71" i="29" s="1"/>
  <c r="E78" i="29"/>
  <c r="AB70" i="29"/>
  <c r="E61" i="29"/>
  <c r="AB69" i="29"/>
  <c r="E71" i="29"/>
  <c r="AB68" i="29"/>
  <c r="E72" i="29"/>
  <c r="AB67" i="29"/>
  <c r="E74" i="29"/>
  <c r="AB66" i="29"/>
  <c r="E51" i="29"/>
  <c r="AB65" i="29"/>
  <c r="AC65" i="29" s="1"/>
  <c r="E67" i="29"/>
  <c r="A67" i="29" s="1"/>
  <c r="AB64" i="29"/>
  <c r="AC64" i="29" s="1"/>
  <c r="E54" i="29"/>
  <c r="AB63" i="29"/>
  <c r="AC63" i="29" s="1"/>
  <c r="E66" i="29"/>
  <c r="AB62" i="29"/>
  <c r="E70" i="29"/>
  <c r="AB61" i="29"/>
  <c r="E63" i="29"/>
  <c r="AB60" i="29"/>
  <c r="E40" i="29"/>
  <c r="A40" i="29" s="1"/>
  <c r="AB59" i="29"/>
  <c r="E52" i="29"/>
  <c r="A52" i="29" s="1"/>
  <c r="AB58" i="29"/>
  <c r="E46" i="29"/>
  <c r="AB57" i="29"/>
  <c r="AB56" i="29"/>
  <c r="E68" i="29"/>
  <c r="E47" i="29"/>
  <c r="A47" i="29" s="1"/>
  <c r="AB55" i="29"/>
  <c r="E58" i="29"/>
  <c r="A58" i="29" s="1"/>
  <c r="AB54" i="29"/>
  <c r="E48" i="29"/>
  <c r="AB53" i="29"/>
  <c r="E59" i="29"/>
  <c r="AB52" i="29"/>
  <c r="E50" i="29"/>
  <c r="AB51" i="29"/>
  <c r="AC51" i="29" s="1"/>
  <c r="AB50" i="29"/>
  <c r="E41" i="29"/>
  <c r="A41" i="29" s="1"/>
  <c r="E36" i="29"/>
  <c r="A36" i="29" s="1"/>
  <c r="AB49" i="29"/>
  <c r="AC49" i="29" s="1"/>
  <c r="E42" i="29"/>
  <c r="A42" i="29" s="1"/>
  <c r="AB48" i="29"/>
  <c r="AC48" i="29" s="1"/>
  <c r="E19" i="29"/>
  <c r="AB47" i="29"/>
  <c r="AC47" i="29" s="1"/>
  <c r="E45" i="29"/>
  <c r="A45" i="29" s="1"/>
  <c r="AB46" i="29"/>
  <c r="AC46" i="29" s="1"/>
  <c r="E33" i="29"/>
  <c r="AB45" i="29"/>
  <c r="E56" i="29"/>
  <c r="AB44" i="29"/>
  <c r="E53" i="29"/>
  <c r="A53" i="29" s="1"/>
  <c r="AB43" i="29"/>
  <c r="E31" i="29"/>
  <c r="AB42" i="29"/>
  <c r="E39" i="29"/>
  <c r="A39" i="29" s="1"/>
  <c r="AB41" i="29"/>
  <c r="AC41" i="29" s="1"/>
  <c r="E44" i="29"/>
  <c r="A44" i="29" s="1"/>
  <c r="AB40" i="29"/>
  <c r="E57" i="29"/>
  <c r="AB39" i="29"/>
  <c r="E35" i="29"/>
  <c r="AB38" i="29"/>
  <c r="AC38" i="29" s="1"/>
  <c r="E17" i="29"/>
  <c r="A17" i="29" s="1"/>
  <c r="AB37" i="29"/>
  <c r="AC37" i="29" s="1"/>
  <c r="E60" i="29"/>
  <c r="AB36" i="29"/>
  <c r="AC36" i="29" s="1"/>
  <c r="E28" i="29"/>
  <c r="AB35" i="29"/>
  <c r="E37" i="29"/>
  <c r="A37" i="29" s="1"/>
  <c r="AB34" i="29"/>
  <c r="E23" i="29"/>
  <c r="AB33" i="29"/>
  <c r="AC33" i="29" s="1"/>
  <c r="E32" i="29"/>
  <c r="A32" i="29" s="1"/>
  <c r="AB32" i="29"/>
  <c r="AC32" i="29" s="1"/>
  <c r="E77" i="29"/>
  <c r="AB31" i="29"/>
  <c r="AC31" i="29" s="1"/>
  <c r="E26" i="29"/>
  <c r="A26" i="29" s="1"/>
  <c r="AB30" i="29"/>
  <c r="E49" i="29"/>
  <c r="AB29" i="29"/>
  <c r="E29" i="29"/>
  <c r="AB28" i="29"/>
  <c r="AC28" i="29" s="1"/>
  <c r="E27" i="29"/>
  <c r="AB27" i="29"/>
  <c r="AC27" i="29" s="1"/>
  <c r="E55" i="29"/>
  <c r="AB26" i="29"/>
  <c r="E34" i="29"/>
  <c r="AB25" i="29"/>
  <c r="E38" i="29"/>
  <c r="AB24" i="29"/>
  <c r="E43" i="29"/>
  <c r="AB23" i="29"/>
  <c r="E20" i="29"/>
  <c r="A20" i="29" s="1"/>
  <c r="AB22" i="29"/>
  <c r="E24" i="29"/>
  <c r="AB21" i="29"/>
  <c r="E16" i="29"/>
  <c r="AB20" i="29"/>
  <c r="AC20" i="29" s="1"/>
  <c r="E30" i="29"/>
  <c r="AB19" i="29"/>
  <c r="AB18" i="29"/>
  <c r="AC18" i="29" s="1"/>
  <c r="E18" i="29"/>
  <c r="A18" i="29" s="1"/>
  <c r="E25" i="29"/>
  <c r="AB17" i="29"/>
  <c r="E13" i="29"/>
  <c r="A13" i="29" s="1"/>
  <c r="AB16" i="29"/>
  <c r="AC16" i="29" s="1"/>
  <c r="E22" i="29"/>
  <c r="AB15" i="29"/>
  <c r="AC15" i="29" s="1"/>
  <c r="E15" i="29"/>
  <c r="A15" i="29" s="1"/>
  <c r="AB14" i="29"/>
  <c r="AC14" i="29" s="1"/>
  <c r="E14" i="29"/>
  <c r="AB13" i="29"/>
  <c r="E10" i="29"/>
  <c r="A10" i="29" s="1"/>
  <c r="AB12" i="29"/>
  <c r="AC12" i="29" s="1"/>
  <c r="E12" i="29"/>
  <c r="A12" i="29" s="1"/>
  <c r="AB11" i="29"/>
  <c r="AC11" i="29" s="1"/>
  <c r="E11" i="29"/>
  <c r="AB10" i="29"/>
  <c r="E21" i="29"/>
  <c r="AB9" i="29"/>
  <c r="E7" i="29"/>
  <c r="AB8" i="29"/>
  <c r="AC8" i="29" s="1"/>
  <c r="E9" i="29"/>
  <c r="AB7" i="29"/>
  <c r="E6" i="29"/>
  <c r="AB6" i="29"/>
  <c r="AC6" i="29" s="1"/>
  <c r="AB5" i="29"/>
  <c r="AC5" i="29" s="1"/>
  <c r="E5" i="29"/>
  <c r="A104" i="29" l="1"/>
  <c r="CO3" i="25" l="1"/>
  <c r="CM32" i="25" l="1"/>
  <c r="CK17" i="25" s="1"/>
  <c r="CM31" i="25"/>
  <c r="CL26" i="25"/>
  <c r="CL28" i="25" s="1"/>
  <c r="CK22" i="25" s="1"/>
  <c r="CL22" i="25" s="1"/>
  <c r="CK18" i="25"/>
  <c r="CM19" i="25" s="1"/>
  <c r="CM17" i="25"/>
  <c r="CL3" i="25"/>
  <c r="CK14" i="25" l="1"/>
  <c r="CO22" i="25"/>
  <c r="CN14" i="25" s="1"/>
  <c r="CK16" i="25"/>
  <c r="CL16" i="25" s="1"/>
  <c r="CL1" i="25"/>
  <c r="CK19" i="25"/>
  <c r="CN16" i="25" l="1"/>
  <c r="CO1" i="25"/>
  <c r="CO16" i="25" l="1"/>
  <c r="CN19" i="25"/>
  <c r="CO2" i="25" l="1"/>
  <c r="CO4" i="25" s="1"/>
  <c r="CP4" i="25" s="1"/>
  <c r="CL2" i="25"/>
  <c r="CL4" i="25" s="1"/>
  <c r="CM4" i="25" s="1"/>
  <c r="CJ32" i="25" l="1"/>
  <c r="CH17" i="25" s="1"/>
  <c r="CI16" i="25" s="1"/>
  <c r="CJ31" i="25"/>
  <c r="CI26" i="25"/>
  <c r="CI28" i="25" s="1"/>
  <c r="CH22" i="25" s="1"/>
  <c r="CI22" i="25" s="1"/>
  <c r="CH14" i="25" s="1"/>
  <c r="CH18" i="25"/>
  <c r="CJ19" i="25" s="1"/>
  <c r="CJ17" i="25"/>
  <c r="CH16" i="25" l="1"/>
  <c r="CI1" i="25"/>
  <c r="CH19" i="25"/>
  <c r="CI3" i="25" l="1"/>
  <c r="AH69" i="13" l="1"/>
  <c r="AC69" i="13"/>
  <c r="Y69" i="13" l="1"/>
  <c r="T69" i="13" l="1"/>
  <c r="N69" i="13"/>
  <c r="K69" i="13"/>
  <c r="AH68" i="13"/>
  <c r="AC68" i="13"/>
  <c r="Y68" i="13" l="1"/>
  <c r="T68" i="13" l="1"/>
  <c r="N68" i="13"/>
  <c r="K68" i="13"/>
  <c r="AH67" i="13"/>
  <c r="AC67" i="13"/>
  <c r="Y67" i="13" l="1"/>
  <c r="T67" i="13" l="1"/>
  <c r="N67" i="13"/>
  <c r="K67" i="13"/>
  <c r="AH66" i="13"/>
  <c r="AC66" i="13"/>
  <c r="Y66" i="13" l="1"/>
  <c r="T66" i="13" l="1"/>
  <c r="N66" i="13"/>
  <c r="K66" i="13"/>
  <c r="AH65" i="13"/>
  <c r="AC65" i="13"/>
  <c r="Y65" i="13" l="1"/>
  <c r="T65" i="13" l="1"/>
  <c r="N65" i="13"/>
  <c r="K65" i="13"/>
  <c r="AH64" i="13"/>
  <c r="AC64" i="13"/>
  <c r="Y64" i="13" l="1"/>
  <c r="T64" i="13" l="1"/>
  <c r="N64" i="13"/>
  <c r="K64" i="13"/>
  <c r="AH63" i="13"/>
  <c r="AC63" i="13"/>
  <c r="Y63" i="13" l="1"/>
  <c r="T63" i="13" l="1"/>
  <c r="N63" i="13"/>
  <c r="K63" i="13"/>
  <c r="AH62" i="13"/>
  <c r="AC62" i="13"/>
  <c r="Y62" i="13" l="1"/>
  <c r="T62" i="13" l="1"/>
  <c r="N62" i="13"/>
  <c r="K62" i="13"/>
  <c r="AH61" i="13"/>
  <c r="AC61" i="13"/>
  <c r="Y61" i="13" l="1"/>
  <c r="T61" i="13" l="1"/>
  <c r="N61" i="13"/>
  <c r="K61" i="13"/>
  <c r="AH60" i="13"/>
  <c r="AC60" i="13"/>
  <c r="Y60" i="13" l="1"/>
  <c r="T60" i="13" l="1"/>
  <c r="N60" i="13"/>
  <c r="K60" i="13"/>
  <c r="AH59" i="13"/>
  <c r="AC59" i="13"/>
  <c r="Y59" i="13" l="1"/>
  <c r="T59" i="13" l="1"/>
  <c r="N59" i="13"/>
  <c r="K59" i="13"/>
  <c r="K71" i="13" s="1"/>
  <c r="AH51" i="13"/>
  <c r="AC51" i="13"/>
  <c r="Y51" i="13" l="1"/>
  <c r="T51" i="13" l="1"/>
  <c r="N51" i="13"/>
  <c r="K51" i="13"/>
  <c r="AH50" i="13"/>
  <c r="AC50" i="13"/>
  <c r="Y50" i="13" l="1"/>
  <c r="T50" i="13" l="1"/>
  <c r="N50" i="13"/>
  <c r="K50" i="13"/>
  <c r="AH49" i="13"/>
  <c r="AC49" i="13"/>
  <c r="Y49" i="13" l="1"/>
  <c r="T49" i="13" l="1"/>
  <c r="N49" i="13"/>
  <c r="K49" i="13"/>
  <c r="AH48" i="13"/>
  <c r="AC48" i="13"/>
  <c r="Y48" i="13" l="1"/>
  <c r="T48" i="13" l="1"/>
  <c r="N48" i="13"/>
  <c r="K48" i="13"/>
  <c r="AH47" i="13"/>
  <c r="AC47" i="13"/>
  <c r="Y47" i="13" l="1"/>
  <c r="T47" i="13" l="1"/>
  <c r="N47" i="13"/>
  <c r="K47" i="13"/>
  <c r="AH46" i="13"/>
  <c r="AC46" i="13"/>
  <c r="Y46" i="13" l="1"/>
  <c r="T46" i="13" l="1"/>
  <c r="N46" i="13"/>
  <c r="K46" i="13"/>
  <c r="AH45" i="13"/>
  <c r="AC45" i="13"/>
  <c r="Y45" i="13" l="1"/>
  <c r="T45" i="13" l="1"/>
  <c r="N45" i="13"/>
  <c r="K45" i="13"/>
  <c r="AH44" i="13"/>
  <c r="AC44" i="13"/>
  <c r="Y44" i="13" l="1"/>
  <c r="T44" i="13" l="1"/>
  <c r="N44" i="13"/>
  <c r="K44" i="13"/>
  <c r="AH43" i="13"/>
  <c r="AC43" i="13"/>
  <c r="Y43" i="13" l="1"/>
  <c r="T43" i="13" l="1"/>
  <c r="N43" i="13"/>
  <c r="K43" i="13"/>
  <c r="AH42" i="13"/>
  <c r="AC42" i="13"/>
  <c r="Y42" i="13" l="1"/>
  <c r="T42" i="13" l="1"/>
  <c r="N42" i="13"/>
  <c r="K42" i="13"/>
  <c r="AH41" i="13"/>
  <c r="AC41" i="13"/>
  <c r="Y41" i="13" l="1"/>
  <c r="T41" i="13" l="1"/>
  <c r="N41" i="13"/>
  <c r="K41" i="13"/>
  <c r="AH40" i="13"/>
  <c r="AC40" i="13"/>
  <c r="Y40" i="13" l="1"/>
  <c r="T40" i="13" l="1"/>
  <c r="N40" i="13"/>
  <c r="K40" i="13"/>
  <c r="AH39" i="13"/>
  <c r="AC39" i="13"/>
  <c r="Y39" i="13" l="1"/>
  <c r="T39" i="13" l="1"/>
  <c r="N39" i="13"/>
  <c r="K39" i="13"/>
  <c r="AH38" i="13"/>
  <c r="AC38" i="13"/>
  <c r="Y38" i="13" l="1"/>
  <c r="T38" i="13" l="1"/>
  <c r="N38" i="13"/>
  <c r="K38" i="13"/>
  <c r="AH37" i="13"/>
  <c r="AC37" i="13"/>
  <c r="Y37" i="13" l="1"/>
  <c r="T37" i="13" l="1"/>
  <c r="N37" i="13"/>
  <c r="K37" i="13"/>
  <c r="AH36" i="13"/>
  <c r="AC36" i="13"/>
  <c r="Y36" i="13" l="1"/>
  <c r="T36" i="13" l="1"/>
  <c r="N36" i="13"/>
  <c r="K36" i="13"/>
  <c r="AH35" i="13"/>
  <c r="AC35" i="13"/>
  <c r="Y35" i="13" l="1"/>
  <c r="T35" i="13" l="1"/>
  <c r="N35" i="13"/>
  <c r="K35" i="13"/>
  <c r="E35" i="13"/>
  <c r="AH34" i="13"/>
  <c r="AC34" i="13"/>
  <c r="Y34" i="13" l="1"/>
  <c r="T34" i="13" l="1"/>
  <c r="N34" i="13"/>
  <c r="K34" i="13"/>
  <c r="AH33" i="13"/>
  <c r="AC33" i="13"/>
  <c r="Y33" i="13" l="1"/>
  <c r="T33" i="13" l="1"/>
  <c r="N33" i="13"/>
  <c r="K33" i="13"/>
  <c r="AH32" i="13"/>
  <c r="AC32" i="13"/>
  <c r="Y32" i="13" l="1"/>
  <c r="T32" i="13" l="1"/>
  <c r="N32" i="13"/>
  <c r="K32" i="13"/>
  <c r="AH31" i="13"/>
  <c r="AC31" i="13"/>
  <c r="Y31" i="13"/>
  <c r="T31" i="13"/>
  <c r="N31" i="13"/>
  <c r="K31" i="13"/>
  <c r="AH30" i="13"/>
  <c r="AC30" i="13"/>
  <c r="Y30" i="13" l="1"/>
  <c r="T30" i="13" l="1"/>
  <c r="N30" i="13"/>
  <c r="K30" i="13"/>
  <c r="D30" i="13"/>
  <c r="B30" i="13"/>
  <c r="AH29" i="13"/>
  <c r="AC29" i="13"/>
  <c r="Y29" i="13" l="1"/>
  <c r="T29" i="13" l="1"/>
  <c r="N29" i="13"/>
  <c r="K29" i="13"/>
  <c r="AH28" i="13"/>
  <c r="AC28" i="13"/>
  <c r="Y28" i="13" l="1"/>
  <c r="T28" i="13" l="1"/>
  <c r="N28" i="13"/>
  <c r="K28" i="13"/>
  <c r="AH27" i="13"/>
  <c r="AC27" i="13"/>
  <c r="Y27" i="13" l="1"/>
  <c r="T27" i="13" l="1"/>
  <c r="N27" i="13"/>
  <c r="K27" i="13"/>
  <c r="D27" i="13"/>
  <c r="B27" i="13"/>
  <c r="AH26" i="13"/>
  <c r="AC26" i="13"/>
  <c r="Y26" i="13" l="1"/>
  <c r="T26" i="13" l="1"/>
  <c r="N26" i="13"/>
  <c r="K26" i="13"/>
  <c r="AH25" i="13"/>
  <c r="AC25" i="13"/>
  <c r="Y25" i="13" l="1"/>
  <c r="T25" i="13" l="1"/>
  <c r="N25" i="13"/>
  <c r="K25" i="13"/>
  <c r="AH24" i="13"/>
  <c r="AC24" i="13"/>
  <c r="Y24" i="13" l="1"/>
  <c r="T24" i="13" l="1"/>
  <c r="N24" i="13"/>
  <c r="K24" i="13"/>
  <c r="AH23" i="13"/>
  <c r="AC23" i="13"/>
  <c r="Y23" i="13" l="1"/>
  <c r="T23" i="13" l="1"/>
  <c r="N23" i="13"/>
  <c r="K23" i="13"/>
  <c r="AH22" i="13"/>
  <c r="AC22" i="13"/>
  <c r="Y22" i="13" l="1"/>
  <c r="T22" i="13" l="1"/>
  <c r="N22" i="13"/>
  <c r="K22" i="13"/>
  <c r="D22" i="13"/>
  <c r="B22" i="13"/>
  <c r="AH21" i="13"/>
  <c r="AC21" i="13"/>
  <c r="Y21" i="13" l="1"/>
  <c r="T21" i="13" l="1"/>
  <c r="N21" i="13"/>
  <c r="K21" i="13"/>
  <c r="AH20" i="13"/>
  <c r="AC20" i="13"/>
  <c r="Y20" i="13" l="1"/>
  <c r="T20" i="13" l="1"/>
  <c r="N20" i="13"/>
  <c r="K20" i="13"/>
  <c r="AH19" i="13"/>
  <c r="AC19" i="13"/>
  <c r="Y19" i="13" l="1"/>
  <c r="T19" i="13" l="1"/>
  <c r="N19" i="13"/>
  <c r="K19" i="13"/>
  <c r="AH18" i="13"/>
  <c r="AC18" i="13"/>
  <c r="Y18" i="13" l="1"/>
  <c r="T18" i="13" l="1"/>
  <c r="N18" i="13"/>
  <c r="K18" i="13"/>
  <c r="AH17" i="13"/>
  <c r="AC17" i="13"/>
  <c r="Y17" i="13" l="1"/>
  <c r="T17" i="13" l="1"/>
  <c r="N17" i="13"/>
  <c r="K17" i="13"/>
  <c r="AH16" i="13"/>
  <c r="AC16" i="13"/>
  <c r="Y16" i="13" l="1"/>
  <c r="T16" i="13" l="1"/>
  <c r="N16" i="13"/>
  <c r="K16" i="13"/>
  <c r="D16" i="13"/>
  <c r="B16" i="13"/>
  <c r="AH15" i="13"/>
  <c r="AC15" i="13"/>
  <c r="Y15" i="13" l="1"/>
  <c r="T15" i="13" l="1"/>
  <c r="N15" i="13"/>
  <c r="K15" i="13"/>
  <c r="AH14" i="13"/>
  <c r="AC14" i="13"/>
  <c r="Y14" i="13" l="1"/>
  <c r="T14" i="13" l="1"/>
  <c r="N14" i="13"/>
  <c r="K14" i="13"/>
  <c r="AH13" i="13"/>
  <c r="AC13" i="13"/>
  <c r="Y13" i="13" l="1"/>
  <c r="T13" i="13" l="1"/>
  <c r="N13" i="13"/>
  <c r="K13" i="13"/>
  <c r="AH12" i="13"/>
  <c r="AC12" i="13"/>
  <c r="Y12" i="13" l="1"/>
  <c r="T12" i="13" l="1"/>
  <c r="N12" i="13"/>
  <c r="K12" i="13"/>
  <c r="AH11" i="13"/>
  <c r="AC11" i="13"/>
  <c r="Y11" i="13" l="1"/>
  <c r="T11" i="13" l="1"/>
  <c r="N11" i="13"/>
  <c r="K11" i="13"/>
  <c r="AH10" i="13"/>
  <c r="AC10" i="13"/>
  <c r="Y10" i="13" l="1"/>
  <c r="T10" i="13" l="1"/>
  <c r="N10" i="13"/>
  <c r="K10" i="13"/>
  <c r="AH9" i="13"/>
  <c r="AC9" i="13"/>
  <c r="Y9" i="13" l="1"/>
  <c r="T9" i="13" l="1"/>
  <c r="N9" i="13"/>
  <c r="K9" i="13"/>
  <c r="AH8" i="13"/>
  <c r="AC8" i="13"/>
  <c r="Y8" i="13" l="1"/>
  <c r="T8" i="13" l="1"/>
  <c r="N8" i="13"/>
  <c r="K8" i="13"/>
  <c r="AH7" i="13"/>
  <c r="AC7" i="13"/>
  <c r="Y7" i="13" l="1"/>
  <c r="T7" i="13" l="1"/>
  <c r="N7" i="13"/>
  <c r="K7" i="13"/>
  <c r="D7" i="13"/>
  <c r="B7" i="13"/>
  <c r="AH6" i="13"/>
  <c r="AC6" i="13"/>
  <c r="Y6" i="13" l="1"/>
  <c r="T6" i="13" l="1"/>
  <c r="N6" i="13"/>
  <c r="K6" i="13"/>
  <c r="AH5" i="13"/>
  <c r="AC5" i="13"/>
  <c r="Y5" i="13" l="1"/>
  <c r="T5" i="13" l="1"/>
  <c r="N5" i="13"/>
  <c r="K5" i="13"/>
  <c r="AH4" i="13"/>
  <c r="AC4" i="13"/>
  <c r="Y4" i="13" l="1"/>
  <c r="AD69" i="13"/>
  <c r="AD68" i="13"/>
  <c r="AD67" i="13"/>
  <c r="AD66" i="13"/>
  <c r="AD65" i="13"/>
  <c r="AD64" i="13"/>
  <c r="AD63" i="13"/>
  <c r="AD62" i="13"/>
  <c r="AD61" i="13"/>
  <c r="AD60" i="13"/>
  <c r="AD59" i="13"/>
  <c r="AD51" i="13"/>
  <c r="AD50" i="13"/>
  <c r="AD49" i="13"/>
  <c r="AD48" i="13"/>
  <c r="AD47" i="13"/>
  <c r="AD46" i="13"/>
  <c r="AD45" i="13"/>
  <c r="AD44" i="13"/>
  <c r="AD43" i="13"/>
  <c r="AD42" i="13"/>
  <c r="AD41" i="13"/>
  <c r="AD40" i="13"/>
  <c r="AD39" i="13"/>
  <c r="AD38" i="13"/>
  <c r="AD37" i="13"/>
  <c r="AD36" i="13"/>
  <c r="AD35" i="13"/>
  <c r="AD34" i="13"/>
  <c r="AD33" i="13"/>
  <c r="AD32" i="13"/>
  <c r="AD31" i="13"/>
  <c r="AD30" i="13"/>
  <c r="AD29" i="13"/>
  <c r="AD28" i="13"/>
  <c r="AD27" i="13"/>
  <c r="AD26" i="13"/>
  <c r="AD25" i="13"/>
  <c r="AD24" i="13"/>
  <c r="AD23" i="13"/>
  <c r="AD22" i="13"/>
  <c r="AD21" i="13"/>
  <c r="AD20" i="13"/>
  <c r="AD19" i="13"/>
  <c r="AD18" i="13"/>
  <c r="AD17" i="13"/>
  <c r="AD16" i="13"/>
  <c r="AD15" i="13"/>
  <c r="AD14" i="13"/>
  <c r="AD13" i="13"/>
  <c r="AD12" i="13"/>
  <c r="AD11" i="13"/>
  <c r="AD10" i="13"/>
  <c r="AD9" i="13"/>
  <c r="AD8" i="13"/>
  <c r="AD7" i="13"/>
  <c r="AD6" i="13"/>
  <c r="AD5" i="13"/>
  <c r="AD4" i="13"/>
  <c r="Z69" i="13" l="1"/>
  <c r="Z68" i="13"/>
  <c r="Z67" i="13"/>
  <c r="Z66" i="13"/>
  <c r="Z65" i="13"/>
  <c r="Z64" i="13"/>
  <c r="Z63" i="13"/>
  <c r="Z62" i="13"/>
  <c r="Z61" i="13"/>
  <c r="Z60" i="13"/>
  <c r="Z59" i="13"/>
  <c r="Z51" i="13"/>
  <c r="Z50" i="13"/>
  <c r="Z49" i="13"/>
  <c r="Z48" i="13"/>
  <c r="Z47" i="13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T4" i="13"/>
  <c r="Z31" i="13"/>
  <c r="Z4" i="13"/>
  <c r="N4" i="13"/>
  <c r="K4" i="13"/>
  <c r="K55" i="13" s="1"/>
  <c r="K74" i="13" s="1"/>
  <c r="U69" i="13" l="1"/>
  <c r="U68" i="13"/>
  <c r="U67" i="13"/>
  <c r="U66" i="13"/>
  <c r="U65" i="13"/>
  <c r="U64" i="13"/>
  <c r="U63" i="13"/>
  <c r="U62" i="13"/>
  <c r="U61" i="13"/>
  <c r="U60" i="13"/>
  <c r="U59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O69" i="13"/>
  <c r="O68" i="13"/>
  <c r="O67" i="13"/>
  <c r="O66" i="13"/>
  <c r="O65" i="13"/>
  <c r="O64" i="13"/>
  <c r="O63" i="13"/>
  <c r="O62" i="13"/>
  <c r="O61" i="13"/>
  <c r="O60" i="13"/>
  <c r="O59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F4" i="13"/>
  <c r="F69" i="13"/>
  <c r="F68" i="13"/>
  <c r="F67" i="13"/>
  <c r="F66" i="13"/>
  <c r="F65" i="13"/>
  <c r="F64" i="13"/>
  <c r="F63" i="13"/>
  <c r="F62" i="13"/>
  <c r="F61" i="13"/>
  <c r="F60" i="13"/>
  <c r="F59" i="13"/>
  <c r="J71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1" i="13"/>
  <c r="F32" i="13"/>
  <c r="F29" i="13"/>
  <c r="F28" i="13"/>
  <c r="F26" i="13"/>
  <c r="F25" i="13"/>
  <c r="F24" i="13"/>
  <c r="F23" i="13"/>
  <c r="F21" i="13"/>
  <c r="F20" i="13"/>
  <c r="F19" i="13"/>
  <c r="F18" i="13"/>
  <c r="F17" i="13"/>
  <c r="F15" i="13"/>
  <c r="F14" i="13"/>
  <c r="F13" i="13"/>
  <c r="F12" i="13"/>
  <c r="F11" i="13"/>
  <c r="F10" i="13"/>
  <c r="F9" i="13"/>
  <c r="F8" i="13"/>
  <c r="F6" i="13"/>
  <c r="F5" i="13"/>
  <c r="U31" i="13"/>
  <c r="U4" i="13"/>
  <c r="AC72" i="14"/>
  <c r="Y72" i="14" l="1"/>
  <c r="B13" i="13"/>
  <c r="D13" i="13"/>
  <c r="D28" i="13"/>
  <c r="B28" i="13"/>
  <c r="D41" i="13"/>
  <c r="B41" i="13"/>
  <c r="D42" i="13"/>
  <c r="B42" i="13"/>
  <c r="D29" i="13"/>
  <c r="B29" i="13"/>
  <c r="A29" i="13" s="1"/>
  <c r="D31" i="13"/>
  <c r="B31" i="13"/>
  <c r="B18" i="13"/>
  <c r="D18" i="13"/>
  <c r="B33" i="13"/>
  <c r="D33" i="13"/>
  <c r="B45" i="13"/>
  <c r="D45" i="13"/>
  <c r="D14" i="13"/>
  <c r="B14" i="13"/>
  <c r="D17" i="13"/>
  <c r="B17" i="13"/>
  <c r="A17" i="13" s="1"/>
  <c r="D34" i="13"/>
  <c r="B34" i="13"/>
  <c r="B32" i="13"/>
  <c r="D32" i="13"/>
  <c r="D5" i="13"/>
  <c r="B5" i="13"/>
  <c r="B19" i="13"/>
  <c r="D19" i="13"/>
  <c r="D46" i="13"/>
  <c r="B46" i="13"/>
  <c r="D6" i="13"/>
  <c r="B6" i="13"/>
  <c r="D20" i="13"/>
  <c r="B20" i="13"/>
  <c r="D35" i="13"/>
  <c r="B35" i="13"/>
  <c r="B47" i="13"/>
  <c r="D47" i="13"/>
  <c r="B4" i="13"/>
  <c r="D4" i="13"/>
  <c r="B44" i="13"/>
  <c r="D44" i="13"/>
  <c r="D8" i="13"/>
  <c r="B8" i="13"/>
  <c r="B21" i="13"/>
  <c r="A21" i="13" s="1"/>
  <c r="D21" i="13"/>
  <c r="B36" i="13"/>
  <c r="D36" i="13"/>
  <c r="D48" i="13"/>
  <c r="B48" i="13"/>
  <c r="D26" i="13"/>
  <c r="B26" i="13"/>
  <c r="D43" i="13"/>
  <c r="B43" i="13"/>
  <c r="D9" i="13"/>
  <c r="B9" i="13"/>
  <c r="D23" i="13"/>
  <c r="C23" i="13" s="1"/>
  <c r="AL23" i="13" s="1"/>
  <c r="B23" i="13"/>
  <c r="D37" i="13"/>
  <c r="B37" i="13"/>
  <c r="D49" i="13"/>
  <c r="B49" i="13"/>
  <c r="D40" i="13"/>
  <c r="B40" i="13"/>
  <c r="D15" i="13"/>
  <c r="B15" i="13"/>
  <c r="B10" i="13"/>
  <c r="D10" i="13"/>
  <c r="C10" i="13" s="1"/>
  <c r="AL10" i="13" s="1"/>
  <c r="B24" i="13"/>
  <c r="A24" i="13" s="1"/>
  <c r="D24" i="13"/>
  <c r="D38" i="13"/>
  <c r="B38" i="13"/>
  <c r="D50" i="13"/>
  <c r="B50" i="13"/>
  <c r="D12" i="13"/>
  <c r="B12" i="13"/>
  <c r="D11" i="13"/>
  <c r="B11" i="13"/>
  <c r="D25" i="13"/>
  <c r="B25" i="13"/>
  <c r="D39" i="13"/>
  <c r="C39" i="13" s="1"/>
  <c r="AL39" i="13" s="1"/>
  <c r="B39" i="13"/>
  <c r="D51" i="13"/>
  <c r="B51" i="13"/>
  <c r="T72" i="14" l="1"/>
  <c r="C20" i="13"/>
  <c r="AL20" i="13" s="1"/>
  <c r="C34" i="13"/>
  <c r="AL34" i="13" s="1"/>
  <c r="C31" i="13"/>
  <c r="AL31" i="13" s="1"/>
  <c r="A9" i="13"/>
  <c r="C8" i="13"/>
  <c r="AL8" i="13" s="1"/>
  <c r="C44" i="13"/>
  <c r="AL44" i="13" s="1"/>
  <c r="A42" i="13"/>
  <c r="A14" i="13"/>
  <c r="C11" i="13"/>
  <c r="AL11" i="13" s="1"/>
  <c r="C15" i="13"/>
  <c r="AL15" i="13" s="1"/>
  <c r="C43" i="13"/>
  <c r="AL43" i="13" s="1"/>
  <c r="A44" i="13"/>
  <c r="C46" i="13"/>
  <c r="AL46" i="13" s="1"/>
  <c r="C14" i="13"/>
  <c r="AL14" i="13" s="1"/>
  <c r="C42" i="13"/>
  <c r="AL42" i="13" s="1"/>
  <c r="C29" i="13"/>
  <c r="AL29" i="13" s="1"/>
  <c r="A40" i="13"/>
  <c r="C30" i="13"/>
  <c r="AL30" i="13" s="1"/>
  <c r="C27" i="13"/>
  <c r="AL27" i="13" s="1"/>
  <c r="C22" i="13"/>
  <c r="AL22" i="13" s="1"/>
  <c r="C16" i="13"/>
  <c r="AL16" i="13" s="1"/>
  <c r="C7" i="13"/>
  <c r="AL7" i="13" s="1"/>
  <c r="C4" i="13"/>
  <c r="AL4" i="13" s="1"/>
  <c r="C45" i="13"/>
  <c r="AL45" i="13" s="1"/>
  <c r="A41" i="13"/>
  <c r="A6" i="13"/>
  <c r="C17" i="13"/>
  <c r="AL17" i="13" s="1"/>
  <c r="A11" i="13"/>
  <c r="A26" i="13"/>
  <c r="C19" i="13"/>
  <c r="AL19" i="13" s="1"/>
  <c r="C12" i="13"/>
  <c r="AL12" i="13" s="1"/>
  <c r="C40" i="13"/>
  <c r="AL40" i="13" s="1"/>
  <c r="C26" i="13"/>
  <c r="AL26" i="13" s="1"/>
  <c r="A30" i="13"/>
  <c r="A27" i="13"/>
  <c r="A22" i="13"/>
  <c r="A16" i="13"/>
  <c r="A7" i="13"/>
  <c r="A4" i="13"/>
  <c r="A19" i="13"/>
  <c r="A45" i="13"/>
  <c r="C41" i="13"/>
  <c r="AL41" i="13" s="1"/>
  <c r="A8" i="13"/>
  <c r="A46" i="13"/>
  <c r="A49" i="13"/>
  <c r="C47" i="13"/>
  <c r="A5" i="13"/>
  <c r="C33" i="13"/>
  <c r="AL33" i="13" s="1"/>
  <c r="A28" i="13"/>
  <c r="A25" i="13"/>
  <c r="C9" i="13"/>
  <c r="AL9" i="13" s="1"/>
  <c r="A43" i="13"/>
  <c r="C48" i="13"/>
  <c r="A33" i="13"/>
  <c r="C28" i="13"/>
  <c r="AL28" i="13" s="1"/>
  <c r="C18" i="13"/>
  <c r="AL18" i="13" s="1"/>
  <c r="C13" i="13"/>
  <c r="AL13" i="13" s="1"/>
  <c r="A10" i="13"/>
  <c r="A50" i="13"/>
  <c r="C50" i="13"/>
  <c r="A47" i="13"/>
  <c r="A51" i="13"/>
  <c r="A37" i="13"/>
  <c r="C32" i="13"/>
  <c r="AL32" i="13" s="1"/>
  <c r="C51" i="13"/>
  <c r="C38" i="13"/>
  <c r="AL38" i="13" s="1"/>
  <c r="C37" i="13"/>
  <c r="AL37" i="13" s="1"/>
  <c r="A36" i="13"/>
  <c r="C35" i="13"/>
  <c r="AL35" i="13" s="1"/>
  <c r="A32" i="13"/>
  <c r="A18" i="13"/>
  <c r="A13" i="13"/>
  <c r="C25" i="13"/>
  <c r="AL25" i="13" s="1"/>
  <c r="C6" i="13"/>
  <c r="AL6" i="13" s="1"/>
  <c r="A15" i="13"/>
  <c r="A12" i="13"/>
  <c r="A48" i="13"/>
  <c r="C49" i="13"/>
  <c r="C5" i="13"/>
  <c r="AL5" i="13" s="1"/>
  <c r="A38" i="13"/>
  <c r="C36" i="13"/>
  <c r="AL36" i="13" s="1"/>
  <c r="A35" i="13"/>
  <c r="A39" i="13"/>
  <c r="C24" i="13"/>
  <c r="AL24" i="13" s="1"/>
  <c r="A23" i="13"/>
  <c r="C21" i="13"/>
  <c r="AL21" i="13" s="1"/>
  <c r="A20" i="13"/>
  <c r="A34" i="13"/>
  <c r="A31" i="13"/>
  <c r="N72" i="14"/>
  <c r="K72" i="14"/>
  <c r="AC71" i="14"/>
  <c r="Y71" i="14" l="1"/>
  <c r="T71" i="14" l="1"/>
  <c r="N71" i="14"/>
  <c r="K71" i="14"/>
  <c r="AC70" i="14"/>
  <c r="Y70" i="14" l="1"/>
  <c r="T70" i="14" l="1"/>
  <c r="N70" i="14"/>
  <c r="K70" i="14"/>
  <c r="AC69" i="14"/>
  <c r="Y69" i="14" l="1"/>
  <c r="T69" i="14" l="1"/>
  <c r="N69" i="14"/>
  <c r="K69" i="14"/>
  <c r="AC68" i="14"/>
  <c r="Y68" i="14" l="1"/>
  <c r="T68" i="14" l="1"/>
  <c r="N68" i="14"/>
  <c r="H68" i="14"/>
  <c r="K68" i="14" s="1"/>
  <c r="AC67" i="14"/>
  <c r="Y67" i="14" l="1"/>
  <c r="T67" i="14" l="1"/>
  <c r="N67" i="14"/>
  <c r="H67" i="14"/>
  <c r="K67" i="14" s="1"/>
  <c r="AC66" i="14"/>
  <c r="Y66" i="14" l="1"/>
  <c r="T66" i="14" l="1"/>
  <c r="N66" i="14"/>
  <c r="K66" i="14"/>
  <c r="AC65" i="14"/>
  <c r="Y65" i="14" l="1"/>
  <c r="T65" i="14" l="1"/>
  <c r="N65" i="14"/>
  <c r="K65" i="14"/>
  <c r="AC64" i="14"/>
  <c r="Y64" i="14" l="1"/>
  <c r="T64" i="14" l="1"/>
  <c r="N64" i="14"/>
  <c r="K64" i="14"/>
  <c r="AC63" i="14"/>
  <c r="Y63" i="14" l="1"/>
  <c r="T63" i="14" l="1"/>
  <c r="N63" i="14"/>
  <c r="K63" i="14"/>
  <c r="AC62" i="14"/>
  <c r="Y62" i="14" l="1"/>
  <c r="T62" i="14" l="1"/>
  <c r="N62" i="14"/>
  <c r="K62" i="14"/>
  <c r="K74" i="14" s="1"/>
  <c r="AC54" i="14"/>
  <c r="Y54" i="14" l="1"/>
  <c r="T54" i="14" l="1"/>
  <c r="N54" i="14"/>
  <c r="K54" i="14"/>
  <c r="AC53" i="14"/>
  <c r="Y53" i="14" l="1"/>
  <c r="T53" i="14" l="1"/>
  <c r="N53" i="14"/>
  <c r="K53" i="14"/>
  <c r="AC52" i="14"/>
  <c r="Y52" i="14" l="1"/>
  <c r="T52" i="14" l="1"/>
  <c r="N52" i="14"/>
  <c r="K52" i="14"/>
  <c r="AC51" i="14"/>
  <c r="Y51" i="14" l="1"/>
  <c r="T51" i="14" l="1"/>
  <c r="N51" i="14"/>
  <c r="K51" i="14"/>
  <c r="N50" i="14"/>
  <c r="K50" i="14"/>
  <c r="AC49" i="14"/>
  <c r="Y49" i="14" l="1"/>
  <c r="T49" i="14" l="1"/>
  <c r="N49" i="14"/>
  <c r="K49" i="14"/>
  <c r="AC48" i="14"/>
  <c r="Y48" i="14" l="1"/>
  <c r="T48" i="14" l="1"/>
  <c r="N48" i="14"/>
  <c r="K48" i="14"/>
  <c r="AC47" i="14"/>
  <c r="Y47" i="14" l="1"/>
  <c r="T47" i="14" l="1"/>
  <c r="N47" i="14"/>
  <c r="K47" i="14"/>
  <c r="AC46" i="14"/>
  <c r="Y46" i="14" l="1"/>
  <c r="T46" i="14" l="1"/>
  <c r="N46" i="14"/>
  <c r="K46" i="14"/>
  <c r="AC45" i="14"/>
  <c r="Y45" i="14" l="1"/>
  <c r="T45" i="14" l="1"/>
  <c r="N45" i="14"/>
  <c r="K45" i="14"/>
  <c r="AC44" i="14"/>
  <c r="Y44" i="14" l="1"/>
  <c r="T44" i="14" l="1"/>
  <c r="N44" i="14"/>
  <c r="K44" i="14"/>
  <c r="AC43" i="14"/>
  <c r="Y43" i="14" l="1"/>
  <c r="T43" i="14" l="1"/>
  <c r="N43" i="14"/>
  <c r="K43" i="14"/>
  <c r="AC42" i="14"/>
  <c r="Y42" i="14" l="1"/>
  <c r="T42" i="14" l="1"/>
  <c r="N42" i="14"/>
  <c r="K42" i="14"/>
  <c r="AC41" i="14"/>
  <c r="Y41" i="14" l="1"/>
  <c r="T41" i="14" l="1"/>
  <c r="N41" i="14"/>
  <c r="K41" i="14"/>
  <c r="AC40" i="14"/>
  <c r="Y40" i="14" l="1"/>
  <c r="T40" i="14" l="1"/>
  <c r="N40" i="14"/>
  <c r="K40" i="14"/>
  <c r="AC39" i="14"/>
  <c r="Y39" i="14" l="1"/>
  <c r="T39" i="14" l="1"/>
  <c r="N39" i="14"/>
  <c r="K39" i="14"/>
  <c r="D39" i="14"/>
  <c r="B39" i="14"/>
  <c r="AC38" i="14"/>
  <c r="Y38" i="14" l="1"/>
  <c r="T38" i="14" l="1"/>
  <c r="N38" i="14"/>
  <c r="K38" i="14"/>
  <c r="AC37" i="14"/>
  <c r="Y37" i="14" l="1"/>
  <c r="T37" i="14" l="1"/>
  <c r="N37" i="14"/>
  <c r="K37" i="14"/>
  <c r="AC36" i="14"/>
  <c r="Y36" i="14" l="1"/>
  <c r="T36" i="14" l="1"/>
  <c r="N36" i="14"/>
  <c r="K36" i="14"/>
  <c r="AC35" i="14"/>
  <c r="Y35" i="14" l="1"/>
  <c r="T35" i="14" l="1"/>
  <c r="N35" i="14"/>
  <c r="K35" i="14"/>
  <c r="AC34" i="14"/>
  <c r="Y34" i="14" l="1"/>
  <c r="T34" i="14" l="1"/>
  <c r="N34" i="14"/>
  <c r="K34" i="14"/>
  <c r="AC33" i="14"/>
  <c r="Y33" i="14" l="1"/>
  <c r="T33" i="14" l="1"/>
  <c r="N33" i="14"/>
  <c r="K33" i="14"/>
  <c r="AC32" i="14"/>
  <c r="Y32" i="14" l="1"/>
  <c r="T32" i="14" l="1"/>
  <c r="N32" i="14"/>
  <c r="K32" i="14"/>
  <c r="AC31" i="14"/>
  <c r="Y31" i="14" l="1"/>
  <c r="T31" i="14" l="1"/>
  <c r="N31" i="14"/>
  <c r="K31" i="14"/>
  <c r="AC30" i="14"/>
  <c r="Y30" i="14" l="1"/>
  <c r="T30" i="14" l="1"/>
  <c r="N30" i="14"/>
  <c r="K30" i="14"/>
  <c r="AC29" i="14"/>
  <c r="Y29" i="14" l="1"/>
  <c r="T29" i="14" l="1"/>
  <c r="N29" i="14"/>
  <c r="K29" i="14"/>
  <c r="AC28" i="14"/>
  <c r="Y28" i="14" l="1"/>
  <c r="T28" i="14" l="1"/>
  <c r="N28" i="14"/>
  <c r="K28" i="14"/>
  <c r="AC27" i="14"/>
  <c r="Y27" i="14" l="1"/>
  <c r="T27" i="14" l="1"/>
  <c r="N27" i="14"/>
  <c r="K27" i="14"/>
  <c r="D27" i="14"/>
  <c r="B27" i="14"/>
  <c r="AC26" i="14"/>
  <c r="Y26" i="14" l="1"/>
  <c r="T26" i="14" l="1"/>
  <c r="N26" i="14"/>
  <c r="K26" i="14"/>
  <c r="AC25" i="14"/>
  <c r="Y25" i="14" l="1"/>
  <c r="T25" i="14" l="1"/>
  <c r="N25" i="14"/>
  <c r="K25" i="14"/>
  <c r="D25" i="14"/>
  <c r="B25" i="14"/>
  <c r="AC24" i="14"/>
  <c r="Y24" i="14" l="1"/>
  <c r="T24" i="14" l="1"/>
  <c r="N24" i="14"/>
  <c r="K24" i="14"/>
  <c r="AC23" i="14"/>
  <c r="Y23" i="14" l="1"/>
  <c r="T23" i="14" l="1"/>
  <c r="N23" i="14"/>
  <c r="K23" i="14"/>
  <c r="AC22" i="14"/>
  <c r="Y22" i="14"/>
  <c r="T22" i="14"/>
  <c r="N22" i="14"/>
  <c r="K22" i="14"/>
  <c r="AC21" i="14"/>
  <c r="Y21" i="14" l="1"/>
  <c r="T21" i="14" l="1"/>
  <c r="N21" i="14"/>
  <c r="K21" i="14"/>
  <c r="AC20" i="14"/>
  <c r="Y20" i="14" l="1"/>
  <c r="T20" i="14" l="1"/>
  <c r="N20" i="14"/>
  <c r="K20" i="14"/>
  <c r="AC19" i="14"/>
  <c r="Y19" i="14" l="1"/>
  <c r="T19" i="14" l="1"/>
  <c r="N19" i="14"/>
  <c r="K19" i="14"/>
  <c r="D19" i="14"/>
  <c r="B19" i="14"/>
  <c r="AC18" i="14"/>
  <c r="Y18" i="14" l="1"/>
  <c r="T18" i="14" l="1"/>
  <c r="N18" i="14"/>
  <c r="K18" i="14"/>
  <c r="AC17" i="14"/>
  <c r="Y17" i="14" l="1"/>
  <c r="T17" i="14" l="1"/>
  <c r="N17" i="14"/>
  <c r="K17" i="14"/>
  <c r="AC16" i="14"/>
  <c r="Y16" i="14" l="1"/>
  <c r="T16" i="14" l="1"/>
  <c r="N16" i="14"/>
  <c r="K16" i="14"/>
  <c r="AC15" i="14"/>
  <c r="Y15" i="14" l="1"/>
  <c r="T15" i="14" l="1"/>
  <c r="N15" i="14"/>
  <c r="K15" i="14"/>
  <c r="AC14" i="14"/>
  <c r="Y14" i="14" l="1"/>
  <c r="T14" i="14" l="1"/>
  <c r="N14" i="14"/>
  <c r="K14" i="14"/>
  <c r="AC13" i="14"/>
  <c r="Y13" i="14" l="1"/>
  <c r="T13" i="14" l="1"/>
  <c r="N13" i="14"/>
  <c r="K13" i="14"/>
  <c r="AC12" i="14"/>
  <c r="Y12" i="14" l="1"/>
  <c r="T12" i="14" l="1"/>
  <c r="N12" i="14"/>
  <c r="K12" i="14"/>
  <c r="AC11" i="14"/>
  <c r="Y11" i="14" l="1"/>
  <c r="T11" i="14" l="1"/>
  <c r="N11" i="14"/>
  <c r="K11" i="14"/>
  <c r="AC10" i="14"/>
  <c r="Y10" i="14" l="1"/>
  <c r="T10" i="14" l="1"/>
  <c r="N10" i="14"/>
  <c r="K10" i="14"/>
  <c r="AC9" i="14"/>
  <c r="Y9" i="14" l="1"/>
  <c r="T9" i="14" l="1"/>
  <c r="N9" i="14"/>
  <c r="K9" i="14"/>
  <c r="D9" i="14"/>
  <c r="B9" i="14"/>
  <c r="AC8" i="14"/>
  <c r="Y8" i="14" l="1"/>
  <c r="T8" i="14" l="1"/>
  <c r="N8" i="14"/>
  <c r="K8" i="14"/>
  <c r="AC7" i="14"/>
  <c r="Y7" i="14" l="1"/>
  <c r="T7" i="14" l="1"/>
  <c r="N7" i="14"/>
  <c r="K7" i="14"/>
  <c r="AC6" i="14"/>
  <c r="Y6" i="14" l="1"/>
  <c r="T6" i="14" l="1"/>
  <c r="N6" i="14"/>
  <c r="K6" i="14"/>
  <c r="E6" i="14"/>
  <c r="AC5" i="14"/>
  <c r="Y5" i="14" l="1"/>
  <c r="T5" i="14" l="1"/>
  <c r="N5" i="14"/>
  <c r="K5" i="14"/>
  <c r="AC4" i="14"/>
  <c r="Y4" i="14" l="1"/>
  <c r="AD72" i="14"/>
  <c r="AD71" i="14"/>
  <c r="AD70" i="14"/>
  <c r="AD69" i="14"/>
  <c r="AD68" i="14"/>
  <c r="AD67" i="14"/>
  <c r="AD66" i="14"/>
  <c r="AD65" i="14"/>
  <c r="AD64" i="14"/>
  <c r="AD63" i="14"/>
  <c r="AD62" i="14"/>
  <c r="AD54" i="14"/>
  <c r="AD53" i="14"/>
  <c r="AD52" i="14"/>
  <c r="AD51" i="14"/>
  <c r="AD49" i="14"/>
  <c r="AD48" i="14"/>
  <c r="AD47" i="14"/>
  <c r="AD46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6" i="14"/>
  <c r="AD25" i="14"/>
  <c r="AD24" i="14"/>
  <c r="AD23" i="14"/>
  <c r="AD21" i="14"/>
  <c r="AD22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8" i="14"/>
  <c r="AD7" i="14"/>
  <c r="AD6" i="14"/>
  <c r="AD5" i="14"/>
  <c r="AD4" i="14"/>
  <c r="Z72" i="14" l="1"/>
  <c r="Z71" i="14"/>
  <c r="Z70" i="14"/>
  <c r="Z69" i="14"/>
  <c r="Z68" i="14"/>
  <c r="Z67" i="14"/>
  <c r="Z66" i="14"/>
  <c r="Z65" i="14"/>
  <c r="Z64" i="14"/>
  <c r="Z63" i="14"/>
  <c r="Z62" i="14"/>
  <c r="Z54" i="14"/>
  <c r="Z53" i="14"/>
  <c r="Z52" i="14"/>
  <c r="Z51" i="14"/>
  <c r="Z49" i="14"/>
  <c r="Z48" i="14"/>
  <c r="Z47" i="14"/>
  <c r="Z46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6" i="14"/>
  <c r="Z25" i="14"/>
  <c r="Z24" i="14"/>
  <c r="Z23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8" i="14"/>
  <c r="Z7" i="14"/>
  <c r="Z6" i="14"/>
  <c r="Z5" i="14"/>
  <c r="T4" i="14"/>
  <c r="Z22" i="14"/>
  <c r="Z4" i="14"/>
  <c r="N4" i="14"/>
  <c r="K4" i="14"/>
  <c r="K58" i="14" s="1"/>
  <c r="K77" i="14" s="1"/>
  <c r="F4" i="14" s="1"/>
  <c r="U72" i="14" l="1"/>
  <c r="U71" i="14"/>
  <c r="U70" i="14"/>
  <c r="U69" i="14"/>
  <c r="U68" i="14"/>
  <c r="U67" i="14"/>
  <c r="U66" i="14"/>
  <c r="U65" i="14"/>
  <c r="U64" i="14"/>
  <c r="U63" i="14"/>
  <c r="U62" i="14"/>
  <c r="U54" i="14"/>
  <c r="U53" i="14"/>
  <c r="U52" i="14"/>
  <c r="U51" i="14"/>
  <c r="U49" i="14"/>
  <c r="U48" i="14"/>
  <c r="U47" i="14"/>
  <c r="U46" i="14"/>
  <c r="U45" i="14"/>
  <c r="U44" i="14"/>
  <c r="U43" i="14"/>
  <c r="U42" i="14"/>
  <c r="U41" i="14"/>
  <c r="U40" i="14"/>
  <c r="U39" i="14"/>
  <c r="U38" i="14"/>
  <c r="U37" i="14"/>
  <c r="U36" i="14"/>
  <c r="U35" i="14"/>
  <c r="U34" i="14"/>
  <c r="U33" i="14"/>
  <c r="U32" i="14"/>
  <c r="U31" i="14"/>
  <c r="U30" i="14"/>
  <c r="U29" i="14"/>
  <c r="U28" i="14"/>
  <c r="U27" i="14"/>
  <c r="U26" i="14"/>
  <c r="U25" i="14"/>
  <c r="U24" i="14"/>
  <c r="U23" i="14"/>
  <c r="U21" i="14"/>
  <c r="U20" i="14"/>
  <c r="U19" i="14"/>
  <c r="U18" i="14"/>
  <c r="U17" i="14"/>
  <c r="U16" i="14"/>
  <c r="U15" i="14"/>
  <c r="U14" i="14"/>
  <c r="U13" i="14"/>
  <c r="U12" i="14"/>
  <c r="U11" i="14"/>
  <c r="U10" i="14"/>
  <c r="U9" i="14"/>
  <c r="U8" i="14"/>
  <c r="U7" i="14"/>
  <c r="U6" i="14"/>
  <c r="U5" i="14"/>
  <c r="J145" i="22"/>
  <c r="D4" i="14"/>
  <c r="B4" i="14"/>
  <c r="O72" i="14"/>
  <c r="O71" i="14"/>
  <c r="O70" i="14"/>
  <c r="O69" i="14"/>
  <c r="O68" i="14"/>
  <c r="O67" i="14"/>
  <c r="O66" i="14"/>
  <c r="O65" i="14"/>
  <c r="O64" i="14"/>
  <c r="O63" i="14"/>
  <c r="O62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2" i="14"/>
  <c r="O23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F72" i="14"/>
  <c r="F71" i="14"/>
  <c r="F70" i="14"/>
  <c r="F69" i="14"/>
  <c r="F68" i="14"/>
  <c r="F67" i="14"/>
  <c r="F66" i="14"/>
  <c r="F65" i="14"/>
  <c r="F64" i="14"/>
  <c r="F63" i="14"/>
  <c r="F62" i="14"/>
  <c r="J74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8" i="14"/>
  <c r="F37" i="14"/>
  <c r="F36" i="14"/>
  <c r="F35" i="14"/>
  <c r="F34" i="14"/>
  <c r="F33" i="14"/>
  <c r="F32" i="14"/>
  <c r="F31" i="14"/>
  <c r="F30" i="14"/>
  <c r="F29" i="14"/>
  <c r="F28" i="14"/>
  <c r="F26" i="14"/>
  <c r="F24" i="14"/>
  <c r="F22" i="14"/>
  <c r="F23" i="14"/>
  <c r="F21" i="14"/>
  <c r="F20" i="14"/>
  <c r="F18" i="14"/>
  <c r="F17" i="14"/>
  <c r="F16" i="14"/>
  <c r="F15" i="14"/>
  <c r="F14" i="14"/>
  <c r="F13" i="14"/>
  <c r="F12" i="14"/>
  <c r="F11" i="14"/>
  <c r="F10" i="14"/>
  <c r="F8" i="14"/>
  <c r="F7" i="14"/>
  <c r="F6" i="14"/>
  <c r="F5" i="14"/>
  <c r="O4" i="14"/>
  <c r="U22" i="14"/>
  <c r="U4" i="14"/>
  <c r="J144" i="22" l="1"/>
  <c r="D21" i="14"/>
  <c r="B21" i="14"/>
  <c r="D48" i="14"/>
  <c r="B48" i="14"/>
  <c r="B11" i="14"/>
  <c r="D11" i="14"/>
  <c r="D38" i="14"/>
  <c r="B38" i="14"/>
  <c r="D51" i="14"/>
  <c r="B51" i="14"/>
  <c r="D8" i="14"/>
  <c r="B8" i="14"/>
  <c r="D36" i="14"/>
  <c r="B36" i="14"/>
  <c r="B24" i="14"/>
  <c r="D24" i="14"/>
  <c r="D12" i="14"/>
  <c r="B12" i="14"/>
  <c r="D26" i="14"/>
  <c r="B26" i="14"/>
  <c r="D40" i="14"/>
  <c r="B40" i="14"/>
  <c r="B52" i="14"/>
  <c r="A52" i="14" s="1"/>
  <c r="D52" i="14"/>
  <c r="D22" i="14"/>
  <c r="B22" i="14"/>
  <c r="B13" i="14"/>
  <c r="D13" i="14"/>
  <c r="B54" i="14"/>
  <c r="D54" i="14"/>
  <c r="D23" i="14"/>
  <c r="B23" i="14"/>
  <c r="B49" i="14"/>
  <c r="D49" i="14"/>
  <c r="B53" i="14"/>
  <c r="A53" i="14" s="1"/>
  <c r="D53" i="14"/>
  <c r="D14" i="14"/>
  <c r="B14" i="14"/>
  <c r="D30" i="14"/>
  <c r="B30" i="14"/>
  <c r="D7" i="14"/>
  <c r="B7" i="14"/>
  <c r="D35" i="14"/>
  <c r="B35" i="14"/>
  <c r="D10" i="14"/>
  <c r="B10" i="14"/>
  <c r="A4" i="14" s="1"/>
  <c r="B41" i="14"/>
  <c r="A41" i="14" s="1"/>
  <c r="D41" i="14"/>
  <c r="D29" i="14"/>
  <c r="B29" i="14"/>
  <c r="B20" i="14"/>
  <c r="D20" i="14"/>
  <c r="D50" i="14"/>
  <c r="B50" i="14"/>
  <c r="D28" i="14"/>
  <c r="B28" i="14"/>
  <c r="D43" i="14"/>
  <c r="B43" i="14"/>
  <c r="D17" i="14"/>
  <c r="B17" i="14"/>
  <c r="B32" i="14"/>
  <c r="D32" i="14"/>
  <c r="B45" i="14"/>
  <c r="D45" i="14"/>
  <c r="B6" i="14"/>
  <c r="A39" i="14" s="1"/>
  <c r="D6" i="14"/>
  <c r="D34" i="14"/>
  <c r="B34" i="14"/>
  <c r="D47" i="14"/>
  <c r="B47" i="14"/>
  <c r="D37" i="14"/>
  <c r="B37" i="14"/>
  <c r="B42" i="14"/>
  <c r="D42" i="14"/>
  <c r="D15" i="14"/>
  <c r="B15" i="14"/>
  <c r="B16" i="14"/>
  <c r="D16" i="14"/>
  <c r="D31" i="14"/>
  <c r="B31" i="14"/>
  <c r="D44" i="14"/>
  <c r="B44" i="14"/>
  <c r="A44" i="14" s="1"/>
  <c r="D5" i="14"/>
  <c r="C5" i="14" s="1"/>
  <c r="B5" i="14"/>
  <c r="D18" i="14"/>
  <c r="B18" i="14"/>
  <c r="D33" i="14"/>
  <c r="B33" i="14"/>
  <c r="D46" i="14"/>
  <c r="B46" i="14"/>
  <c r="J143" i="22" l="1"/>
  <c r="A47" i="14"/>
  <c r="C20" i="14"/>
  <c r="C44" i="14"/>
  <c r="C40" i="14"/>
  <c r="C32" i="14"/>
  <c r="A23" i="14"/>
  <c r="A26" i="14"/>
  <c r="A38" i="14"/>
  <c r="C31" i="14"/>
  <c r="A32" i="14"/>
  <c r="A9" i="14"/>
  <c r="C35" i="14"/>
  <c r="C23" i="14"/>
  <c r="C26" i="14"/>
  <c r="C38" i="14"/>
  <c r="A51" i="14"/>
  <c r="A49" i="14"/>
  <c r="A35" i="14"/>
  <c r="C34" i="14"/>
  <c r="A46" i="14"/>
  <c r="C16" i="14"/>
  <c r="C6" i="14"/>
  <c r="A17" i="14"/>
  <c r="A19" i="14"/>
  <c r="A7" i="14"/>
  <c r="C54" i="14"/>
  <c r="A12" i="14"/>
  <c r="C11" i="14"/>
  <c r="A10" i="14"/>
  <c r="A45" i="14"/>
  <c r="C51" i="14"/>
  <c r="C46" i="14"/>
  <c r="C17" i="14"/>
  <c r="A54" i="14"/>
  <c r="A15" i="14"/>
  <c r="A27" i="14"/>
  <c r="C13" i="14"/>
  <c r="C33" i="14"/>
  <c r="C43" i="14"/>
  <c r="A13" i="14"/>
  <c r="A24" i="14"/>
  <c r="C48" i="14"/>
  <c r="A18" i="14"/>
  <c r="C42" i="14"/>
  <c r="C19" i="14"/>
  <c r="A28" i="14"/>
  <c r="A29" i="14"/>
  <c r="A14" i="14"/>
  <c r="A22" i="14"/>
  <c r="A36" i="14"/>
  <c r="A21" i="14"/>
  <c r="A40" i="14"/>
  <c r="A20" i="14"/>
  <c r="A31" i="14"/>
  <c r="A16" i="14"/>
  <c r="C7" i="14"/>
  <c r="A11" i="14"/>
  <c r="C4" i="14"/>
  <c r="C24" i="14"/>
  <c r="C15" i="14"/>
  <c r="C25" i="14"/>
  <c r="C14" i="14"/>
  <c r="C22" i="14"/>
  <c r="C36" i="14"/>
  <c r="C21" i="14"/>
  <c r="C37" i="14"/>
  <c r="C39" i="14"/>
  <c r="C50" i="14"/>
  <c r="C8" i="14"/>
  <c r="C45" i="14"/>
  <c r="C49" i="14"/>
  <c r="C47" i="14"/>
  <c r="C10" i="14"/>
  <c r="A34" i="14"/>
  <c r="A6" i="14"/>
  <c r="A25" i="14"/>
  <c r="C12" i="14"/>
  <c r="A33" i="14"/>
  <c r="A43" i="14"/>
  <c r="A30" i="14"/>
  <c r="A48" i="14"/>
  <c r="C9" i="14"/>
  <c r="C30" i="14"/>
  <c r="C18" i="14"/>
  <c r="A42" i="14"/>
  <c r="C28" i="14"/>
  <c r="C29" i="14"/>
  <c r="A5" i="14"/>
  <c r="A37" i="14"/>
  <c r="C27" i="14"/>
  <c r="A50" i="14"/>
  <c r="C41" i="14"/>
  <c r="C53" i="14"/>
  <c r="C52" i="14"/>
  <c r="A8" i="14"/>
  <c r="J142" i="22" l="1"/>
  <c r="J141" i="22" l="1"/>
  <c r="J140" i="22" l="1"/>
  <c r="J139" i="22" l="1"/>
  <c r="J138" i="22" l="1"/>
  <c r="J137" i="22" l="1"/>
  <c r="J131" i="22" l="1"/>
  <c r="J130" i="22" l="1"/>
  <c r="J129" i="22" l="1"/>
  <c r="J128" i="22" l="1"/>
  <c r="J127" i="22" l="1"/>
  <c r="J126" i="22" l="1"/>
  <c r="K116" i="22"/>
  <c r="J116" i="22"/>
  <c r="M116" i="22" s="1"/>
  <c r="K115" i="22" l="1"/>
  <c r="L108" i="22" l="1"/>
  <c r="K108" i="22"/>
  <c r="J108" i="22"/>
  <c r="K118" i="22"/>
  <c r="L118" i="22" s="1"/>
  <c r="M115" i="22"/>
  <c r="K107" i="22" l="1"/>
  <c r="K110" i="22" s="1"/>
  <c r="L107" i="22"/>
  <c r="J107" i="22"/>
  <c r="J110" i="22" s="1"/>
  <c r="I101" i="22" l="1"/>
  <c r="L101" i="22"/>
  <c r="K101" i="22"/>
  <c r="J101" i="22"/>
  <c r="M101" i="22" l="1"/>
  <c r="L100" i="22"/>
  <c r="J100" i="22"/>
  <c r="I100" i="22"/>
  <c r="K100" i="22"/>
  <c r="K103" i="22" s="1"/>
  <c r="F96" i="22"/>
  <c r="K94" i="22" l="1"/>
  <c r="J94" i="22"/>
  <c r="I94" i="22"/>
  <c r="L94" i="22"/>
  <c r="J103" i="22"/>
  <c r="J104" i="22" s="1"/>
  <c r="M100" i="22"/>
  <c r="N100" i="22" s="1"/>
  <c r="N101" i="22" s="1"/>
  <c r="L93" i="22" l="1"/>
  <c r="K93" i="22"/>
  <c r="K96" i="22" s="1"/>
  <c r="J93" i="22"/>
  <c r="I93" i="22"/>
  <c r="M94" i="22"/>
  <c r="R91" i="22"/>
  <c r="Q90" i="22"/>
  <c r="S89" i="22"/>
  <c r="S91" i="22" s="1"/>
  <c r="R92" i="22" s="1"/>
  <c r="S93" i="22" s="1"/>
  <c r="Q89" i="22"/>
  <c r="K88" i="22" l="1"/>
  <c r="J96" i="22"/>
  <c r="M93" i="22"/>
  <c r="M96" i="22" s="1"/>
  <c r="L96" i="22" s="1"/>
  <c r="K87" i="22" l="1"/>
  <c r="S86" i="22"/>
  <c r="Q86" i="22"/>
  <c r="K86" i="22" l="1"/>
  <c r="S85" i="22"/>
  <c r="Q85" i="22"/>
  <c r="K85" i="22" l="1"/>
  <c r="K84" i="22" l="1"/>
  <c r="M84" i="22" s="1"/>
  <c r="K83" i="22" l="1"/>
  <c r="K82" i="22" l="1"/>
  <c r="K81" i="22" l="1"/>
  <c r="K80" i="22" l="1"/>
  <c r="K90" i="22" s="1"/>
  <c r="K70" i="22"/>
  <c r="J70" i="22"/>
  <c r="K69" i="22"/>
  <c r="J69" i="22"/>
  <c r="K68" i="22"/>
  <c r="J68" i="22"/>
  <c r="Y67" i="22"/>
  <c r="Y73" i="22" s="1"/>
  <c r="W67" i="22"/>
  <c r="K67" i="22"/>
  <c r="J67" i="22"/>
  <c r="W66" i="22"/>
  <c r="K66" i="22"/>
  <c r="J66" i="22"/>
  <c r="W65" i="22" l="1"/>
  <c r="K65" i="22"/>
  <c r="J65" i="22"/>
  <c r="W64" i="22"/>
  <c r="K64" i="22"/>
  <c r="J64" i="22"/>
  <c r="W63" i="22"/>
  <c r="K63" i="22"/>
  <c r="J63" i="22"/>
  <c r="W62" i="22"/>
  <c r="K62" i="22"/>
  <c r="J62" i="22"/>
  <c r="W61" i="22"/>
  <c r="K61" i="22"/>
  <c r="J61" i="22"/>
  <c r="K60" i="22"/>
  <c r="J60" i="22"/>
  <c r="AH54" i="22"/>
  <c r="N52" i="22"/>
  <c r="B52" i="22"/>
  <c r="K73" i="22" l="1"/>
  <c r="W73" i="22"/>
  <c r="Y51" i="22" l="1"/>
  <c r="W51" i="22"/>
  <c r="AI51" i="22" s="1"/>
  <c r="N51" i="22" l="1"/>
  <c r="B51" i="22"/>
  <c r="B53" i="22" s="1"/>
  <c r="Y50" i="22" l="1"/>
  <c r="W50" i="22"/>
  <c r="AI50" i="22" s="1"/>
  <c r="Y49" i="22" l="1"/>
  <c r="W49" i="22"/>
  <c r="AI49" i="22" s="1"/>
  <c r="Y48" i="22" l="1"/>
  <c r="W48" i="22"/>
  <c r="AI48" i="22" s="1"/>
  <c r="Y47" i="22" l="1"/>
  <c r="W47" i="22"/>
  <c r="AI47" i="22" s="1"/>
  <c r="Y46" i="22" l="1"/>
  <c r="W46" i="22"/>
  <c r="AI46" i="22" s="1"/>
  <c r="Y45" i="22" l="1"/>
  <c r="W45" i="22"/>
  <c r="AI45" i="22" s="1"/>
  <c r="Y44" i="22" l="1"/>
  <c r="W44" i="22"/>
  <c r="AI44" i="22" s="1"/>
  <c r="Y43" i="22" l="1"/>
  <c r="W43" i="22"/>
  <c r="AI43" i="22" s="1"/>
  <c r="M43" i="22" l="1"/>
  <c r="K43" i="22"/>
  <c r="J43" i="22"/>
  <c r="B43" i="22" l="1"/>
  <c r="Y42" i="22" l="1"/>
  <c r="W42" i="22"/>
  <c r="AI42" i="22" s="1"/>
  <c r="M42" i="22" l="1"/>
  <c r="K42" i="22"/>
  <c r="J42" i="22"/>
  <c r="B42" i="22" l="1"/>
  <c r="Y41" i="22" l="1"/>
  <c r="W41" i="22"/>
  <c r="AI41" i="22" s="1"/>
  <c r="M41" i="22" l="1"/>
  <c r="K41" i="22"/>
  <c r="J41" i="22"/>
  <c r="B41" i="22" l="1"/>
  <c r="Y40" i="22" l="1"/>
  <c r="W40" i="22"/>
  <c r="AI40" i="22" s="1"/>
  <c r="M40" i="22" l="1"/>
  <c r="K40" i="22"/>
  <c r="J40" i="22"/>
  <c r="B40" i="22" l="1"/>
  <c r="Y39" i="22" l="1"/>
  <c r="W39" i="22"/>
  <c r="AI39" i="22" s="1"/>
  <c r="M39" i="22" l="1"/>
  <c r="K39" i="22"/>
  <c r="J39" i="22"/>
  <c r="B39" i="22" l="1"/>
  <c r="AA38" i="22"/>
  <c r="Y38" i="22" l="1"/>
  <c r="W38" i="22"/>
  <c r="AI38" i="22" s="1"/>
  <c r="AB38" i="22"/>
  <c r="AD38" i="22" s="1"/>
  <c r="AC38" i="22"/>
  <c r="M38" i="22" l="1"/>
  <c r="K38" i="22"/>
  <c r="J38" i="22"/>
  <c r="B38" i="22"/>
  <c r="Y37" i="22" l="1"/>
  <c r="W37" i="22"/>
  <c r="AI37" i="22" s="1"/>
  <c r="M37" i="22" l="1"/>
  <c r="K37" i="22"/>
  <c r="J37" i="22"/>
  <c r="B37" i="22" l="1"/>
  <c r="Y36" i="22" l="1"/>
  <c r="W36" i="22"/>
  <c r="AI36" i="22" s="1"/>
  <c r="M36" i="22" l="1"/>
  <c r="J36" i="22"/>
  <c r="K36" i="22"/>
  <c r="B36" i="22"/>
  <c r="AA35" i="22"/>
  <c r="AC35" i="22" l="1"/>
  <c r="Y35" i="22" l="1"/>
  <c r="AB35" i="22"/>
  <c r="AD35" i="22" s="1"/>
  <c r="W35" i="22"/>
  <c r="AI35" i="22" s="1"/>
  <c r="M35" i="22" l="1"/>
  <c r="J35" i="22"/>
  <c r="K35" i="22"/>
  <c r="B35" i="22" l="1"/>
  <c r="Y34" i="22" l="1"/>
  <c r="W34" i="22"/>
  <c r="AI34" i="22" s="1"/>
  <c r="M34" i="22" l="1"/>
  <c r="K34" i="22"/>
  <c r="J34" i="22"/>
  <c r="B34" i="22" l="1"/>
  <c r="Y33" i="22" l="1"/>
  <c r="W33" i="22"/>
  <c r="AI33" i="22" s="1"/>
  <c r="M33" i="22" l="1"/>
  <c r="J33" i="22"/>
  <c r="K33" i="22"/>
  <c r="B33" i="22" l="1"/>
  <c r="Y32" i="22" l="1"/>
  <c r="W32" i="22"/>
  <c r="AI32" i="22" s="1"/>
  <c r="M32" i="22" l="1"/>
  <c r="K32" i="22"/>
  <c r="J32" i="22"/>
  <c r="B32" i="22"/>
  <c r="Y31" i="22" l="1"/>
  <c r="W31" i="22"/>
  <c r="AI31" i="22" s="1"/>
  <c r="M31" i="22" l="1"/>
  <c r="K31" i="22"/>
  <c r="J31" i="22"/>
  <c r="B31" i="22" l="1"/>
  <c r="Y30" i="22" l="1"/>
  <c r="W30" i="22"/>
  <c r="AI30" i="22" s="1"/>
  <c r="M30" i="22" l="1"/>
  <c r="K30" i="22"/>
  <c r="J30" i="22"/>
  <c r="B30" i="22" l="1"/>
  <c r="Y29" i="22" l="1"/>
  <c r="W29" i="22"/>
  <c r="AI29" i="22" s="1"/>
  <c r="M29" i="22" l="1"/>
  <c r="K29" i="22"/>
  <c r="J29" i="22"/>
  <c r="B29" i="22" l="1"/>
  <c r="Y28" i="22" l="1"/>
  <c r="W28" i="22"/>
  <c r="AI28" i="22" s="1"/>
  <c r="M28" i="22" l="1"/>
  <c r="K28" i="22"/>
  <c r="J28" i="22"/>
  <c r="B28" i="22"/>
  <c r="W27" i="22" l="1"/>
  <c r="AI27" i="22" s="1"/>
  <c r="Y27" i="22"/>
  <c r="M27" i="22" l="1"/>
  <c r="K27" i="22"/>
  <c r="J27" i="22"/>
  <c r="B27" i="22" l="1"/>
  <c r="AA26" i="22"/>
  <c r="AC26" i="22" s="1"/>
  <c r="Y26" i="22" l="1"/>
  <c r="W26" i="22"/>
  <c r="AI26" i="22" s="1"/>
  <c r="AB26" i="22"/>
  <c r="AD26" i="22" s="1"/>
  <c r="M26" i="22" l="1"/>
  <c r="K26" i="22"/>
  <c r="J26" i="22"/>
  <c r="B26" i="22" l="1"/>
  <c r="Y25" i="22" l="1"/>
  <c r="W25" i="22"/>
  <c r="AI25" i="22" s="1"/>
  <c r="M25" i="22" l="1"/>
  <c r="J25" i="22"/>
  <c r="K25" i="22"/>
  <c r="B25" i="22"/>
  <c r="Y24" i="22" l="1"/>
  <c r="W24" i="22"/>
  <c r="AI24" i="22" s="1"/>
  <c r="M24" i="22" l="1"/>
  <c r="K24" i="22"/>
  <c r="J24" i="22"/>
  <c r="B24" i="22"/>
  <c r="Y23" i="22" l="1"/>
  <c r="W23" i="22"/>
  <c r="AI23" i="22" s="1"/>
  <c r="M23" i="22" l="1"/>
  <c r="K23" i="22"/>
  <c r="J23" i="22"/>
  <c r="B23" i="22"/>
  <c r="Y22" i="22" l="1"/>
  <c r="W22" i="22"/>
  <c r="AI22" i="22" s="1"/>
  <c r="M22" i="22" l="1"/>
  <c r="K22" i="22"/>
  <c r="J22" i="22"/>
  <c r="B22" i="22"/>
  <c r="Y21" i="22" l="1"/>
  <c r="W21" i="22"/>
  <c r="AI21" i="22" s="1"/>
  <c r="M21" i="22" l="1"/>
  <c r="K21" i="22"/>
  <c r="J21" i="22"/>
  <c r="B21" i="22"/>
  <c r="Y20" i="22" l="1"/>
  <c r="W20" i="22"/>
  <c r="AI20" i="22" s="1"/>
  <c r="M20" i="22" l="1"/>
  <c r="J20" i="22"/>
  <c r="K20" i="22"/>
  <c r="B20" i="22" l="1"/>
  <c r="AA19" i="22"/>
  <c r="AC19" i="22" l="1"/>
  <c r="Y19" i="22" l="1"/>
  <c r="AB19" i="22"/>
  <c r="AD19" i="22" s="1"/>
  <c r="W19" i="22"/>
  <c r="AI19" i="22" s="1"/>
  <c r="M19" i="22" l="1"/>
  <c r="K19" i="22"/>
  <c r="J19" i="22"/>
  <c r="B19" i="22"/>
  <c r="AA18" i="22"/>
  <c r="AC18" i="22" s="1"/>
  <c r="Y18" i="22" l="1"/>
  <c r="AB18" i="22"/>
  <c r="AD18" i="22" s="1"/>
  <c r="W18" i="22"/>
  <c r="AI18" i="22" s="1"/>
  <c r="M18" i="22" l="1"/>
  <c r="K18" i="22"/>
  <c r="J18" i="22"/>
  <c r="B18" i="22" l="1"/>
  <c r="AA17" i="22"/>
  <c r="AC17" i="22" s="1"/>
  <c r="Y17" i="22" l="1"/>
  <c r="AB17" i="22"/>
  <c r="AD17" i="22" s="1"/>
  <c r="W17" i="22"/>
  <c r="AI17" i="22" s="1"/>
  <c r="M17" i="22" l="1"/>
  <c r="K17" i="22"/>
  <c r="J17" i="22"/>
  <c r="B17" i="22" l="1"/>
  <c r="AA16" i="22"/>
  <c r="AC16" i="22" s="1"/>
  <c r="W16" i="22" l="1"/>
  <c r="AI16" i="22" s="1"/>
  <c r="Y16" i="22"/>
  <c r="AB16" i="22"/>
  <c r="AD16" i="22" s="1"/>
  <c r="M16" i="22" l="1"/>
  <c r="K16" i="22"/>
  <c r="J16" i="22"/>
  <c r="B16" i="22" l="1"/>
  <c r="AA15" i="22"/>
  <c r="AC15" i="22" s="1"/>
  <c r="Y15" i="22" l="1"/>
  <c r="W15" i="22"/>
  <c r="AI15" i="22" s="1"/>
  <c r="AB15" i="22"/>
  <c r="AD15" i="22" s="1"/>
  <c r="M15" i="22" l="1"/>
  <c r="K15" i="22"/>
  <c r="J15" i="22"/>
  <c r="B15" i="22" l="1"/>
  <c r="AA14" i="22"/>
  <c r="AC14" i="22" l="1"/>
  <c r="Y14" i="22" l="1"/>
  <c r="AB14" i="22"/>
  <c r="AD14" i="22" s="1"/>
  <c r="W14" i="22"/>
  <c r="AI14" i="22" s="1"/>
  <c r="M14" i="22" l="1"/>
  <c r="K14" i="22"/>
  <c r="J14" i="22"/>
  <c r="B14" i="22" l="1"/>
  <c r="AA13" i="22"/>
  <c r="AC13" i="22" s="1"/>
  <c r="W13" i="22" l="1"/>
  <c r="AI13" i="22" s="1"/>
  <c r="Y13" i="22"/>
  <c r="AB13" i="22"/>
  <c r="AD13" i="22" s="1"/>
  <c r="M13" i="22" l="1"/>
  <c r="K13" i="22"/>
  <c r="J13" i="22"/>
  <c r="B13" i="22" l="1"/>
  <c r="Y12" i="22" l="1"/>
  <c r="W12" i="22"/>
  <c r="AI12" i="22" s="1"/>
  <c r="M12" i="22" l="1"/>
  <c r="K12" i="22"/>
  <c r="J12" i="22"/>
  <c r="B12" i="22" l="1"/>
  <c r="AA11" i="22"/>
  <c r="AC11" i="22" s="1"/>
  <c r="Y11" i="22" l="1"/>
  <c r="AB11" i="22"/>
  <c r="AD11" i="22" s="1"/>
  <c r="W11" i="22"/>
  <c r="AI11" i="22" s="1"/>
  <c r="M11" i="22" l="1"/>
  <c r="K11" i="22"/>
  <c r="J11" i="22"/>
  <c r="B11" i="22" l="1"/>
  <c r="AA10" i="22"/>
  <c r="AC10" i="22" s="1"/>
  <c r="Y10" i="22" l="1"/>
  <c r="AB10" i="22"/>
  <c r="AD10" i="22" s="1"/>
  <c r="W10" i="22"/>
  <c r="AI10" i="22" s="1"/>
  <c r="M10" i="22" l="1"/>
  <c r="K10" i="22"/>
  <c r="J10" i="22"/>
  <c r="B10" i="22" l="1"/>
  <c r="AA9" i="22"/>
  <c r="AC9" i="22" l="1"/>
  <c r="Y9" i="22" l="1"/>
  <c r="AB9" i="22"/>
  <c r="AD9" i="22" s="1"/>
  <c r="W9" i="22"/>
  <c r="AI9" i="22" s="1"/>
  <c r="M9" i="22" l="1"/>
  <c r="J9" i="22"/>
  <c r="K9" i="22"/>
  <c r="B9" i="22" l="1"/>
  <c r="AC8" i="22"/>
  <c r="Y8" i="22" l="1"/>
  <c r="AB8" i="22"/>
  <c r="AD8" i="22" s="1"/>
  <c r="W8" i="22"/>
  <c r="AI8" i="22" s="1"/>
  <c r="M8" i="22" l="1"/>
  <c r="K8" i="22"/>
  <c r="J8" i="22"/>
  <c r="B8" i="22" l="1"/>
  <c r="AA7" i="22"/>
  <c r="Y7" i="22" l="1"/>
  <c r="W7" i="22"/>
  <c r="AI7" i="22" s="1"/>
  <c r="AB7" i="22"/>
  <c r="AD7" i="22" s="1"/>
  <c r="AC7" i="22"/>
  <c r="M7" i="22" l="1"/>
  <c r="M47" i="22" s="1"/>
  <c r="K7" i="22"/>
  <c r="J7" i="22"/>
  <c r="B7" i="22" l="1"/>
  <c r="AC6" i="22"/>
  <c r="Y6" i="22" l="1"/>
  <c r="Y54" i="22" s="1"/>
  <c r="AB6" i="22"/>
  <c r="AD6" i="22" s="1"/>
  <c r="W6" i="22"/>
  <c r="W54" i="22" l="1"/>
  <c r="AI6" i="22"/>
  <c r="AI54" i="22" s="1"/>
  <c r="K52" i="22" l="1"/>
  <c r="Q51" i="22"/>
  <c r="AF51" i="22" s="1"/>
  <c r="Q50" i="22"/>
  <c r="AF50" i="22" s="1"/>
  <c r="Q49" i="22"/>
  <c r="AF49" i="22" s="1"/>
  <c r="Q48" i="22"/>
  <c r="AF48" i="22" s="1"/>
  <c r="Q47" i="22"/>
  <c r="AF47" i="22" s="1"/>
  <c r="Q46" i="22"/>
  <c r="AF46" i="22" s="1"/>
  <c r="Q45" i="22"/>
  <c r="AF45" i="22" s="1"/>
  <c r="Q44" i="22"/>
  <c r="AF44" i="22" s="1"/>
  <c r="Q43" i="22"/>
  <c r="AF43" i="22" s="1"/>
  <c r="Q42" i="22"/>
  <c r="AF42" i="22" s="1"/>
  <c r="Q41" i="22"/>
  <c r="Q40" i="22"/>
  <c r="AF40" i="22" s="1"/>
  <c r="Q39" i="22"/>
  <c r="AF39" i="22" s="1"/>
  <c r="Q38" i="22"/>
  <c r="AF38" i="22" s="1"/>
  <c r="Q37" i="22"/>
  <c r="AF37" i="22" s="1"/>
  <c r="Q36" i="22"/>
  <c r="AF36" i="22" s="1"/>
  <c r="Q35" i="22"/>
  <c r="AF35" i="22" s="1"/>
  <c r="Q34" i="22"/>
  <c r="AF34" i="22" s="1"/>
  <c r="Q33" i="22"/>
  <c r="AF33" i="22" s="1"/>
  <c r="Q32" i="22"/>
  <c r="AF32" i="22" s="1"/>
  <c r="Q31" i="22"/>
  <c r="AF31" i="22" s="1"/>
  <c r="Q30" i="22"/>
  <c r="AF30" i="22" s="1"/>
  <c r="Q29" i="22"/>
  <c r="AF29" i="22" s="1"/>
  <c r="Q28" i="22"/>
  <c r="AF28" i="22" s="1"/>
  <c r="Q27" i="22"/>
  <c r="AF27" i="22" s="1"/>
  <c r="Q26" i="22"/>
  <c r="AF26" i="22" s="1"/>
  <c r="Q25" i="22"/>
  <c r="AF25" i="22" s="1"/>
  <c r="Q24" i="22"/>
  <c r="AF24" i="22" s="1"/>
  <c r="Q23" i="22"/>
  <c r="AF23" i="22" s="1"/>
  <c r="Q22" i="22"/>
  <c r="AF22" i="22" s="1"/>
  <c r="Q21" i="22"/>
  <c r="AF21" i="22" s="1"/>
  <c r="Q20" i="22"/>
  <c r="AF20" i="22" s="1"/>
  <c r="Q19" i="22"/>
  <c r="AF19" i="22" s="1"/>
  <c r="Q18" i="22"/>
  <c r="AF18" i="22" s="1"/>
  <c r="Q17" i="22"/>
  <c r="AF17" i="22" s="1"/>
  <c r="Q16" i="22"/>
  <c r="AF16" i="22" s="1"/>
  <c r="Q15" i="22"/>
  <c r="AF15" i="22" s="1"/>
  <c r="Q14" i="22"/>
  <c r="AF14" i="22" s="1"/>
  <c r="Q13" i="22"/>
  <c r="AF13" i="22" s="1"/>
  <c r="Q12" i="22"/>
  <c r="AF12" i="22" s="1"/>
  <c r="Q11" i="22"/>
  <c r="AF11" i="22" s="1"/>
  <c r="Q10" i="22"/>
  <c r="AF10" i="22" s="1"/>
  <c r="Q9" i="22"/>
  <c r="AF9" i="22" s="1"/>
  <c r="Q8" i="22"/>
  <c r="AF8" i="22" s="1"/>
  <c r="Q7" i="22"/>
  <c r="AF7" i="22" s="1"/>
  <c r="Q6" i="22"/>
  <c r="M6" i="22" l="1"/>
  <c r="K6" i="22"/>
  <c r="K47" i="22" s="1"/>
  <c r="E6" i="22" s="1"/>
  <c r="J6" i="22"/>
  <c r="Q54" i="22"/>
  <c r="AF6" i="22"/>
  <c r="AF54" i="22" s="1"/>
  <c r="K51" i="22" l="1"/>
  <c r="E43" i="22"/>
  <c r="A43" i="22" s="1"/>
  <c r="E42" i="22"/>
  <c r="A42" i="22" s="1"/>
  <c r="E41" i="22"/>
  <c r="A41" i="22" s="1"/>
  <c r="E40" i="22"/>
  <c r="A40" i="22" s="1"/>
  <c r="E39" i="22"/>
  <c r="A39" i="22" s="1"/>
  <c r="E38" i="22"/>
  <c r="A38" i="22" s="1"/>
  <c r="E37" i="22"/>
  <c r="A37" i="22" s="1"/>
  <c r="E36" i="22"/>
  <c r="A36" i="22" s="1"/>
  <c r="E35" i="22"/>
  <c r="A35" i="22" s="1"/>
  <c r="E34" i="22"/>
  <c r="A34" i="22" s="1"/>
  <c r="E33" i="22"/>
  <c r="A33" i="22" s="1"/>
  <c r="E32" i="22"/>
  <c r="A32" i="22" s="1"/>
  <c r="E31" i="22"/>
  <c r="A31" i="22" s="1"/>
  <c r="E30" i="22"/>
  <c r="A30" i="22" s="1"/>
  <c r="E29" i="22"/>
  <c r="A29" i="22" s="1"/>
  <c r="E28" i="22"/>
  <c r="A28" i="22" s="1"/>
  <c r="E27" i="22"/>
  <c r="A27" i="22" s="1"/>
  <c r="E26" i="22"/>
  <c r="A26" i="22" s="1"/>
  <c r="E25" i="22"/>
  <c r="A25" i="22" s="1"/>
  <c r="E24" i="22"/>
  <c r="A24" i="22" s="1"/>
  <c r="E23" i="22"/>
  <c r="A23" i="22" s="1"/>
  <c r="E22" i="22"/>
  <c r="A22" i="22" s="1"/>
  <c r="E21" i="22"/>
  <c r="A21" i="22" s="1"/>
  <c r="E20" i="22"/>
  <c r="A20" i="22" s="1"/>
  <c r="E19" i="22"/>
  <c r="A19" i="22" s="1"/>
  <c r="E18" i="22"/>
  <c r="A18" i="22" s="1"/>
  <c r="E17" i="22"/>
  <c r="A17" i="22" s="1"/>
  <c r="E16" i="22"/>
  <c r="A16" i="22" s="1"/>
  <c r="E15" i="22"/>
  <c r="A15" i="22" s="1"/>
  <c r="E14" i="22"/>
  <c r="A14" i="22" s="1"/>
  <c r="E13" i="22"/>
  <c r="A13" i="22" s="1"/>
  <c r="E12" i="22"/>
  <c r="A12" i="22" s="1"/>
  <c r="E11" i="22"/>
  <c r="A11" i="22" s="1"/>
  <c r="E10" i="22"/>
  <c r="A10" i="22" s="1"/>
  <c r="E9" i="22"/>
  <c r="A9" i="22" s="1"/>
  <c r="E8" i="22"/>
  <c r="A8" i="22" s="1"/>
  <c r="E7" i="22"/>
  <c r="A7" i="22" s="1"/>
  <c r="K53" i="22"/>
  <c r="B6" i="22"/>
  <c r="A6" i="22"/>
  <c r="AD2" i="22"/>
  <c r="AB2" i="22"/>
  <c r="M2" i="22"/>
  <c r="I41" i="25"/>
  <c r="I40" i="25"/>
  <c r="CG32" i="25"/>
  <c r="CE17" i="25" s="1"/>
  <c r="CD32" i="25"/>
  <c r="CA32" i="25"/>
  <c r="BX32" i="25"/>
  <c r="BU32" i="25"/>
  <c r="BR32" i="25"/>
  <c r="BO32" i="25"/>
  <c r="BL32" i="25"/>
  <c r="U32" i="25"/>
  <c r="CG31" i="25"/>
  <c r="CD31" i="25"/>
  <c r="CA31" i="25"/>
  <c r="BX31" i="25"/>
  <c r="BU31" i="25"/>
  <c r="BR31" i="25"/>
  <c r="BO31" i="25"/>
  <c r="BL31" i="25"/>
  <c r="BT28" i="25"/>
  <c r="BS22" i="25" s="1"/>
  <c r="BQ28" i="25"/>
  <c r="BP22" i="25" s="1"/>
  <c r="BN28" i="25"/>
  <c r="BK28" i="25"/>
  <c r="AJ27" i="25"/>
  <c r="AI21" i="25" s="1"/>
  <c r="AG27" i="25"/>
  <c r="AF21" i="25" s="1"/>
  <c r="AD27" i="25"/>
  <c r="AA27" i="25"/>
  <c r="R27" i="25"/>
  <c r="E27" i="25"/>
  <c r="CF26" i="25"/>
  <c r="CF28" i="25" s="1"/>
  <c r="CE22" i="25" s="1"/>
  <c r="CC26" i="25"/>
  <c r="CC28" i="25" s="1"/>
  <c r="CB22" i="25" s="1"/>
  <c r="BZ26" i="25"/>
  <c r="BZ28" i="25" s="1"/>
  <c r="BY22" i="25" s="1"/>
  <c r="BW26" i="25"/>
  <c r="BW28" i="25" s="1"/>
  <c r="BV22" i="25" s="1"/>
  <c r="BT26" i="25"/>
  <c r="BQ26" i="25"/>
  <c r="BN26" i="25"/>
  <c r="BK26" i="25"/>
  <c r="BH25" i="25"/>
  <c r="BH27" i="25" s="1"/>
  <c r="BG21" i="25" s="1"/>
  <c r="BE25" i="25"/>
  <c r="BE27" i="25" s="1"/>
  <c r="BD21" i="25" s="1"/>
  <c r="BB25" i="25"/>
  <c r="BB27" i="25" s="1"/>
  <c r="BA21" i="25" s="1"/>
  <c r="AY25" i="25"/>
  <c r="AY27" i="25" s="1"/>
  <c r="AX21" i="25" s="1"/>
  <c r="AV25" i="25"/>
  <c r="AV27" i="25" s="1"/>
  <c r="AU21" i="25" s="1"/>
  <c r="AS25" i="25"/>
  <c r="AS27" i="25" s="1"/>
  <c r="AR21" i="25" s="1"/>
  <c r="AP25" i="25"/>
  <c r="AP27" i="25" s="1"/>
  <c r="AO21" i="25" s="1"/>
  <c r="AM25" i="25"/>
  <c r="AM27" i="25" s="1"/>
  <c r="AL21" i="25" s="1"/>
  <c r="AJ25" i="25"/>
  <c r="AG25" i="25"/>
  <c r="AD25" i="25"/>
  <c r="AA25" i="25"/>
  <c r="X25" i="25"/>
  <c r="X27" i="25" s="1"/>
  <c r="W21" i="25" s="1"/>
  <c r="X21" i="25" s="1"/>
  <c r="U25" i="25"/>
  <c r="U27" i="25" s="1"/>
  <c r="T21" i="25" s="1"/>
  <c r="O25" i="25"/>
  <c r="O27" i="25" s="1"/>
  <c r="N21" i="25" s="1"/>
  <c r="K25" i="25"/>
  <c r="K27" i="25" s="1"/>
  <c r="L21" i="25" s="1"/>
  <c r="BM22" i="25"/>
  <c r="BJ22" i="25"/>
  <c r="AC21" i="25"/>
  <c r="Z21" i="25"/>
  <c r="Q21" i="25"/>
  <c r="J21" i="25"/>
  <c r="E21" i="25"/>
  <c r="M21" i="25" s="1"/>
  <c r="BB20" i="25"/>
  <c r="AY20" i="25"/>
  <c r="AV20" i="25"/>
  <c r="AS20" i="25"/>
  <c r="AP20" i="25"/>
  <c r="AM20" i="25"/>
  <c r="AJ20" i="25"/>
  <c r="AG20" i="25"/>
  <c r="AD20" i="25"/>
  <c r="AA20" i="25"/>
  <c r="X20" i="25"/>
  <c r="U20" i="25"/>
  <c r="CG19" i="25"/>
  <c r="BX19" i="25"/>
  <c r="BO19" i="25"/>
  <c r="CE18" i="25"/>
  <c r="CB18" i="25"/>
  <c r="CD19" i="25" s="1"/>
  <c r="BY18" i="25"/>
  <c r="CA19" i="25" s="1"/>
  <c r="BV18" i="25"/>
  <c r="BS18" i="25"/>
  <c r="BU19" i="25" s="1"/>
  <c r="BP18" i="25"/>
  <c r="BR19" i="25" s="1"/>
  <c r="BM18" i="25"/>
  <c r="BJ18" i="25"/>
  <c r="BL19" i="25" s="1"/>
  <c r="BI18" i="25"/>
  <c r="BF18" i="25"/>
  <c r="AQ18" i="25"/>
  <c r="AN18" i="25"/>
  <c r="Y18" i="25"/>
  <c r="CG17" i="25"/>
  <c r="CD17" i="25"/>
  <c r="CB17" i="25"/>
  <c r="CA17" i="25"/>
  <c r="BY17" i="25"/>
  <c r="BX17" i="25"/>
  <c r="BU17" i="25"/>
  <c r="BR17" i="25"/>
  <c r="BO17" i="25"/>
  <c r="BL17" i="25"/>
  <c r="BG17" i="25"/>
  <c r="BD17" i="25"/>
  <c r="BA17" i="25"/>
  <c r="BC18" i="25" s="1"/>
  <c r="AX17" i="25"/>
  <c r="AZ18" i="25" s="1"/>
  <c r="AU17" i="25"/>
  <c r="AW18" i="25" s="1"/>
  <c r="AR17" i="25"/>
  <c r="AT18" i="25" s="1"/>
  <c r="AO17" i="25"/>
  <c r="AL17" i="25"/>
  <c r="AI17" i="25"/>
  <c r="AK18" i="25" s="1"/>
  <c r="AF17" i="25"/>
  <c r="AH18" i="25" s="1"/>
  <c r="AC17" i="25"/>
  <c r="AE18" i="25" s="1"/>
  <c r="W17" i="25"/>
  <c r="T17" i="25"/>
  <c r="V18" i="25" s="1"/>
  <c r="Q17" i="25"/>
  <c r="S18" i="25" s="1"/>
  <c r="N17" i="25"/>
  <c r="P18" i="25" s="1"/>
  <c r="BK16" i="25"/>
  <c r="BJ16" i="25"/>
  <c r="BI16" i="25"/>
  <c r="BF16" i="25"/>
  <c r="BC16" i="25"/>
  <c r="AZ16" i="25"/>
  <c r="AW16" i="25"/>
  <c r="AT16" i="25"/>
  <c r="AQ16" i="25"/>
  <c r="AN16" i="25"/>
  <c r="AK16" i="25"/>
  <c r="AH16" i="25"/>
  <c r="AE16" i="25"/>
  <c r="Y16" i="25"/>
  <c r="V16" i="25"/>
  <c r="S16" i="25"/>
  <c r="P16" i="25"/>
  <c r="D15" i="25"/>
  <c r="C15" i="25" s="1"/>
  <c r="BF13" i="25"/>
  <c r="BC13" i="25"/>
  <c r="AZ13" i="25"/>
  <c r="AW13" i="25"/>
  <c r="AT13" i="25"/>
  <c r="AQ13" i="25"/>
  <c r="AN13" i="25"/>
  <c r="AK13" i="25"/>
  <c r="AH13" i="25"/>
  <c r="AE13" i="25"/>
  <c r="AB13" i="25"/>
  <c r="Y13" i="25"/>
  <c r="V13" i="25"/>
  <c r="T13" i="25"/>
  <c r="T15" i="25" s="1"/>
  <c r="S13" i="25"/>
  <c r="Q13" i="25"/>
  <c r="Q15" i="25" s="1"/>
  <c r="R15" i="25" s="1"/>
  <c r="B13" i="25"/>
  <c r="B15" i="25" s="1"/>
  <c r="A15" i="25" s="1"/>
  <c r="G12" i="25"/>
  <c r="G15" i="25" s="1"/>
  <c r="D12" i="25"/>
  <c r="A12" i="25"/>
  <c r="D10" i="25"/>
  <c r="B10" i="25"/>
  <c r="J9" i="25"/>
  <c r="D9" i="25"/>
  <c r="B9" i="25"/>
  <c r="AA8" i="25"/>
  <c r="Z17" i="25" s="1"/>
  <c r="L8" i="25"/>
  <c r="A48" i="22" l="1"/>
  <c r="E48" i="22"/>
  <c r="L23" i="27"/>
  <c r="U15" i="25"/>
  <c r="T18" i="25"/>
  <c r="B16" i="25"/>
  <c r="O21" i="25"/>
  <c r="N13" i="25" s="1"/>
  <c r="N15" i="25" s="1"/>
  <c r="K13" i="25"/>
  <c r="K15" i="25" s="1"/>
  <c r="I13" i="25"/>
  <c r="I15" i="25" s="1"/>
  <c r="W13" i="25"/>
  <c r="W15" i="25" s="1"/>
  <c r="AA21" i="25"/>
  <c r="L16" i="25"/>
  <c r="F15" i="25"/>
  <c r="G18" i="25"/>
  <c r="BJ19" i="25"/>
  <c r="D16" i="25"/>
  <c r="K54" i="22"/>
  <c r="P51" i="22"/>
  <c r="P50" i="22"/>
  <c r="P49" i="22"/>
  <c r="P48" i="22"/>
  <c r="P47" i="22"/>
  <c r="P46" i="22"/>
  <c r="P45" i="22"/>
  <c r="P44" i="22"/>
  <c r="P43" i="22"/>
  <c r="D43" i="22"/>
  <c r="P42" i="22"/>
  <c r="D42" i="22"/>
  <c r="P41" i="22"/>
  <c r="D41" i="22"/>
  <c r="P40" i="22"/>
  <c r="D40" i="22"/>
  <c r="P39" i="22"/>
  <c r="D39" i="22"/>
  <c r="P38" i="22"/>
  <c r="D38" i="22"/>
  <c r="P37" i="22"/>
  <c r="D37" i="22"/>
  <c r="P36" i="22"/>
  <c r="D36" i="22"/>
  <c r="P35" i="22"/>
  <c r="D35" i="22"/>
  <c r="P34" i="22"/>
  <c r="D34" i="22"/>
  <c r="P33" i="22"/>
  <c r="D33" i="22"/>
  <c r="P32" i="22"/>
  <c r="D32" i="22"/>
  <c r="P31" i="22"/>
  <c r="D31" i="22"/>
  <c r="P30" i="22"/>
  <c r="D30" i="22"/>
  <c r="P29" i="22"/>
  <c r="D29" i="22"/>
  <c r="P28" i="22"/>
  <c r="D28" i="22"/>
  <c r="P27" i="22"/>
  <c r="D27" i="22"/>
  <c r="P26" i="22"/>
  <c r="D26" i="22"/>
  <c r="P25" i="22"/>
  <c r="D25" i="22"/>
  <c r="P24" i="22"/>
  <c r="D24" i="22"/>
  <c r="P23" i="22"/>
  <c r="D23" i="22"/>
  <c r="P22" i="22"/>
  <c r="D22" i="22"/>
  <c r="P21" i="22"/>
  <c r="D21" i="22"/>
  <c r="P20" i="22"/>
  <c r="D20" i="22"/>
  <c r="P19" i="22"/>
  <c r="D19" i="22"/>
  <c r="P18" i="22"/>
  <c r="D18" i="22"/>
  <c r="P17" i="22"/>
  <c r="D17" i="22"/>
  <c r="P16" i="22"/>
  <c r="D16" i="22"/>
  <c r="P15" i="22"/>
  <c r="D15" i="22"/>
  <c r="P14" i="22"/>
  <c r="D14" i="22"/>
  <c r="P13" i="22"/>
  <c r="D13" i="22"/>
  <c r="P12" i="22"/>
  <c r="D12" i="22"/>
  <c r="P11" i="22"/>
  <c r="D11" i="22"/>
  <c r="P10" i="22"/>
  <c r="D10" i="22"/>
  <c r="P9" i="22"/>
  <c r="D9" i="22"/>
  <c r="P8" i="22"/>
  <c r="D8" i="22"/>
  <c r="P7" i="22"/>
  <c r="D7" i="22"/>
  <c r="P6" i="22"/>
  <c r="V54" i="22"/>
  <c r="I52" i="22"/>
  <c r="D6" i="22"/>
  <c r="Q18" i="25"/>
  <c r="J47" i="22"/>
  <c r="I51" i="22"/>
  <c r="N22" i="27"/>
  <c r="W13" i="27"/>
  <c r="Q13" i="27" l="1"/>
  <c r="N13" i="27"/>
  <c r="Z13" i="27"/>
  <c r="L13" i="27"/>
  <c r="W18" i="25"/>
  <c r="X15" i="25"/>
  <c r="AD21" i="25"/>
  <c r="Z13" i="25"/>
  <c r="Z15" i="25" s="1"/>
  <c r="J16" i="25"/>
  <c r="M16" i="25" s="1"/>
  <c r="J15" i="25"/>
  <c r="M18" i="25"/>
  <c r="M19" i="25" s="1"/>
  <c r="M15" i="25"/>
  <c r="L15" i="25"/>
  <c r="O16" i="25"/>
  <c r="O15" i="25"/>
  <c r="N18" i="25"/>
  <c r="AG21" i="25" l="1"/>
  <c r="AC13" i="25"/>
  <c r="AC15" i="25" s="1"/>
  <c r="AA15" i="25"/>
  <c r="Z18" i="25"/>
  <c r="A13" i="27"/>
  <c r="W12" i="27"/>
  <c r="Q12" i="27" l="1"/>
  <c r="N12" i="27"/>
  <c r="Z12" i="27"/>
  <c r="L12" i="27"/>
  <c r="AC18" i="25"/>
  <c r="AD15" i="25"/>
  <c r="AJ21" i="25"/>
  <c r="AF13" i="25"/>
  <c r="AF15" i="25" s="1"/>
  <c r="AG15" i="25" l="1"/>
  <c r="AF18" i="25"/>
  <c r="AM21" i="25"/>
  <c r="AI13" i="25"/>
  <c r="AI15" i="25" s="1"/>
  <c r="A12" i="27"/>
  <c r="W11" i="27"/>
  <c r="N11" i="27" l="1"/>
  <c r="Q11" i="27"/>
  <c r="Z11" i="27"/>
  <c r="L11" i="27"/>
  <c r="AJ15" i="25"/>
  <c r="AI18" i="25"/>
  <c r="AL13" i="25"/>
  <c r="AL15" i="25" s="1"/>
  <c r="AP21" i="25"/>
  <c r="AO13" i="25" l="1"/>
  <c r="AO15" i="25" s="1"/>
  <c r="AS21" i="25"/>
  <c r="AM15" i="25"/>
  <c r="AL18" i="25"/>
  <c r="A11" i="27"/>
  <c r="W10" i="27"/>
  <c r="N10" i="27" l="1"/>
  <c r="Q10" i="27"/>
  <c r="Z10" i="27"/>
  <c r="L10" i="27"/>
  <c r="AV21" i="25"/>
  <c r="AR13" i="25"/>
  <c r="AR15" i="25" s="1"/>
  <c r="AP15" i="25"/>
  <c r="AO18" i="25"/>
  <c r="AY21" i="25" l="1"/>
  <c r="AU13" i="25"/>
  <c r="AU15" i="25" s="1"/>
  <c r="AS15" i="25"/>
  <c r="AR18" i="25"/>
  <c r="A10" i="27"/>
  <c r="W9" i="27"/>
  <c r="Q9" i="27" l="1"/>
  <c r="N9" i="27"/>
  <c r="Z9" i="27"/>
  <c r="L9" i="27"/>
  <c r="AV15" i="25"/>
  <c r="AU18" i="25"/>
  <c r="BB21" i="25"/>
  <c r="AX13" i="25"/>
  <c r="AX15" i="25" s="1"/>
  <c r="BE21" i="25" l="1"/>
  <c r="BA13" i="25"/>
  <c r="BA15" i="25" s="1"/>
  <c r="AY15" i="25"/>
  <c r="AX18" i="25"/>
  <c r="A9" i="27"/>
  <c r="W8" i="27"/>
  <c r="N8" i="27" l="1"/>
  <c r="Q8" i="27"/>
  <c r="Z8" i="27"/>
  <c r="L8" i="27"/>
  <c r="BB15" i="25"/>
  <c r="BA18" i="25"/>
  <c r="BD13" i="25"/>
  <c r="BD15" i="25" s="1"/>
  <c r="BH21" i="25"/>
  <c r="BE15" i="25" l="1"/>
  <c r="BD18" i="25"/>
  <c r="BG13" i="25"/>
  <c r="BG15" i="25" s="1"/>
  <c r="BK22" i="25"/>
  <c r="BN22" i="25" s="1"/>
  <c r="A8" i="27"/>
  <c r="W7" i="27"/>
  <c r="N7" i="27" l="1"/>
  <c r="Z7" i="27"/>
  <c r="Q7" i="27"/>
  <c r="L7" i="27"/>
  <c r="BH15" i="25"/>
  <c r="BG18" i="25"/>
  <c r="BQ22" i="25"/>
  <c r="BM14" i="25"/>
  <c r="BM16" i="25" s="1"/>
  <c r="BT22" i="25" l="1"/>
  <c r="BP14" i="25"/>
  <c r="BP16" i="25" s="1"/>
  <c r="BM19" i="25"/>
  <c r="BN16" i="25"/>
  <c r="A7" i="27"/>
  <c r="W6" i="27"/>
  <c r="Q6" i="27" l="1"/>
  <c r="N6" i="27"/>
  <c r="Z6" i="27"/>
  <c r="L6" i="27"/>
  <c r="BQ16" i="25"/>
  <c r="BP19" i="25"/>
  <c r="BW22" i="25"/>
  <c r="BS14" i="25"/>
  <c r="BS16" i="25" s="1"/>
  <c r="BT16" i="25" l="1"/>
  <c r="BS19" i="25"/>
  <c r="BV14" i="25"/>
  <c r="BV16" i="25" s="1"/>
  <c r="BZ22" i="25"/>
  <c r="A6" i="27"/>
  <c r="W5" i="27"/>
  <c r="Q5" i="27" l="1"/>
  <c r="N5" i="27"/>
  <c r="Z5" i="27"/>
  <c r="L5" i="27"/>
  <c r="BV19" i="25"/>
  <c r="BW16" i="25"/>
  <c r="BY14" i="25"/>
  <c r="BY16" i="25" s="1"/>
  <c r="CC22" i="25"/>
  <c r="CF22" i="25" l="1"/>
  <c r="CE14" i="25" s="1"/>
  <c r="CB14" i="25"/>
  <c r="CB16" i="25" s="1"/>
  <c r="BZ16" i="25"/>
  <c r="BY19" i="25"/>
  <c r="A5" i="27"/>
  <c r="X4" i="27"/>
  <c r="W4" i="27"/>
  <c r="Q4" i="27" l="1"/>
  <c r="N4" i="27"/>
  <c r="N20" i="27" s="1"/>
  <c r="E4" i="27" s="1"/>
  <c r="Y4" i="27" s="1"/>
  <c r="Z4" i="27"/>
  <c r="L4" i="27"/>
  <c r="L20" i="27" s="1"/>
  <c r="CE16" i="25"/>
  <c r="CF1" i="25"/>
  <c r="CB19" i="25"/>
  <c r="CC16" i="25"/>
  <c r="X13" i="27"/>
  <c r="X12" i="27"/>
  <c r="X11" i="27"/>
  <c r="X10" i="27"/>
  <c r="X9" i="27"/>
  <c r="X8" i="27"/>
  <c r="X7" i="27"/>
  <c r="X6" i="27"/>
  <c r="X5" i="27"/>
  <c r="L22" i="27" l="1"/>
  <c r="L24" i="27" s="1"/>
  <c r="R13" i="27"/>
  <c r="R12" i="27"/>
  <c r="R11" i="27"/>
  <c r="R10" i="27"/>
  <c r="R9" i="27"/>
  <c r="R8" i="27"/>
  <c r="R7" i="27"/>
  <c r="R6" i="27"/>
  <c r="R5" i="27"/>
  <c r="CE19" i="25"/>
  <c r="CF16" i="25"/>
  <c r="N23" i="27"/>
  <c r="E13" i="27"/>
  <c r="E12" i="27"/>
  <c r="E11" i="27"/>
  <c r="E10" i="27"/>
  <c r="E9" i="27"/>
  <c r="E8" i="27"/>
  <c r="E7" i="27"/>
  <c r="E6" i="27"/>
  <c r="E5" i="27"/>
  <c r="T4" i="27"/>
  <c r="R4" i="27"/>
  <c r="B4" i="27"/>
  <c r="A4" i="27"/>
  <c r="A18" i="27" s="1"/>
  <c r="A19" i="27" s="1"/>
  <c r="M75" i="26"/>
  <c r="M84" i="26" s="1"/>
  <c r="F75" i="26" l="1"/>
  <c r="I75" i="26"/>
  <c r="Y9" i="27"/>
  <c r="B9" i="27"/>
  <c r="T9" i="27"/>
  <c r="Y12" i="27"/>
  <c r="T12" i="27"/>
  <c r="B12" i="27"/>
  <c r="Y13" i="27"/>
  <c r="T13" i="27"/>
  <c r="B13" i="27"/>
  <c r="Y7" i="27"/>
  <c r="T7" i="27"/>
  <c r="B7" i="27"/>
  <c r="Y6" i="27"/>
  <c r="B6" i="27"/>
  <c r="T6" i="27"/>
  <c r="Y8" i="27"/>
  <c r="T8" i="27"/>
  <c r="B8" i="27"/>
  <c r="Y11" i="27"/>
  <c r="B11" i="27"/>
  <c r="T11" i="27"/>
  <c r="Y10" i="27"/>
  <c r="B10" i="27"/>
  <c r="T10" i="27"/>
  <c r="Y5" i="27"/>
  <c r="T5" i="27"/>
  <c r="B5" i="27"/>
  <c r="B75" i="26"/>
  <c r="P68" i="26"/>
  <c r="M68" i="26"/>
  <c r="T17" i="27" l="1"/>
  <c r="Y17" i="27"/>
  <c r="I68" i="26"/>
  <c r="F68" i="26"/>
  <c r="B68" i="26"/>
  <c r="P67" i="26"/>
  <c r="M67" i="26"/>
  <c r="I67" i="26" l="1"/>
  <c r="F67" i="26"/>
  <c r="B67" i="26"/>
  <c r="M66" i="26"/>
  <c r="F66" i="26" l="1"/>
  <c r="I66" i="26"/>
  <c r="B66" i="26"/>
  <c r="M65" i="26"/>
  <c r="I65" i="26" l="1"/>
  <c r="F65" i="26"/>
  <c r="B65" i="26"/>
  <c r="P64" i="26"/>
  <c r="M64" i="26"/>
  <c r="I64" i="26" l="1"/>
  <c r="F64" i="26"/>
  <c r="B64" i="26"/>
  <c r="P63" i="26"/>
  <c r="M63" i="26"/>
  <c r="I63" i="26" l="1"/>
  <c r="F63" i="26"/>
  <c r="B63" i="26"/>
  <c r="M62" i="26"/>
  <c r="I62" i="26" l="1"/>
  <c r="F62" i="26"/>
  <c r="B62" i="26"/>
  <c r="P61" i="26"/>
  <c r="M61" i="26"/>
  <c r="F61" i="26" l="1"/>
  <c r="I61" i="26"/>
  <c r="B61" i="26"/>
  <c r="P60" i="26"/>
  <c r="M60" i="26"/>
  <c r="I60" i="26" l="1"/>
  <c r="F60" i="26"/>
  <c r="B60" i="26"/>
  <c r="M59" i="26"/>
  <c r="I59" i="26" l="1"/>
  <c r="F59" i="26"/>
  <c r="B59" i="26"/>
  <c r="M58" i="26"/>
  <c r="I58" i="26" l="1"/>
  <c r="F58" i="26"/>
  <c r="B58" i="26"/>
  <c r="M57" i="26"/>
  <c r="F57" i="26" l="1"/>
  <c r="I57" i="26"/>
  <c r="B57" i="26"/>
  <c r="M56" i="26"/>
  <c r="I56" i="26" l="1"/>
  <c r="F56" i="26"/>
  <c r="B56" i="26"/>
  <c r="M55" i="26"/>
  <c r="I55" i="26" l="1"/>
  <c r="F55" i="26"/>
  <c r="B55" i="26"/>
  <c r="M54" i="26"/>
  <c r="I54" i="26" l="1"/>
  <c r="F54" i="26"/>
  <c r="B54" i="26"/>
  <c r="P53" i="26"/>
  <c r="M53" i="26"/>
  <c r="F53" i="26" l="1"/>
  <c r="I53" i="26"/>
  <c r="B53" i="26"/>
  <c r="M52" i="26"/>
  <c r="F52" i="26" l="1"/>
  <c r="I52" i="26"/>
  <c r="B52" i="26"/>
  <c r="M51" i="26"/>
  <c r="I51" i="26" l="1"/>
  <c r="F51" i="26"/>
  <c r="B51" i="26"/>
  <c r="M50" i="26"/>
  <c r="I50" i="26" l="1"/>
  <c r="F50" i="26"/>
  <c r="B50" i="26"/>
  <c r="M49" i="26"/>
  <c r="I49" i="26" l="1"/>
  <c r="F49" i="26"/>
  <c r="B49" i="26"/>
  <c r="M48" i="26"/>
  <c r="M70" i="26" s="1"/>
  <c r="I48" i="26" l="1"/>
  <c r="F48" i="26"/>
  <c r="B48" i="26"/>
  <c r="P41" i="26"/>
  <c r="M41" i="26"/>
  <c r="F41" i="26" l="1"/>
  <c r="I41" i="26"/>
  <c r="B41" i="26"/>
  <c r="P40" i="26"/>
  <c r="M40" i="26"/>
  <c r="I40" i="26" l="1"/>
  <c r="F40" i="26"/>
  <c r="B40" i="26"/>
  <c r="P39" i="26"/>
  <c r="M39" i="26"/>
  <c r="I39" i="26" l="1"/>
  <c r="F39" i="26"/>
  <c r="B39" i="26"/>
  <c r="P38" i="26"/>
  <c r="M38" i="26"/>
  <c r="I38" i="26" l="1"/>
  <c r="F38" i="26"/>
  <c r="B38" i="26"/>
  <c r="P37" i="26"/>
  <c r="M37" i="26"/>
  <c r="F37" i="26" l="1"/>
  <c r="I37" i="26"/>
  <c r="B37" i="26"/>
  <c r="P36" i="26"/>
  <c r="M36" i="26"/>
  <c r="F36" i="26" l="1"/>
  <c r="I36" i="26"/>
  <c r="B36" i="26"/>
  <c r="P35" i="26"/>
  <c r="M35" i="26"/>
  <c r="I35" i="26" l="1"/>
  <c r="F35" i="26"/>
  <c r="B35" i="26"/>
  <c r="P34" i="26"/>
  <c r="M34" i="26"/>
  <c r="F34" i="26" l="1"/>
  <c r="I34" i="26"/>
  <c r="B34" i="26"/>
  <c r="P33" i="26"/>
  <c r="M33" i="26"/>
  <c r="F33" i="26" l="1"/>
  <c r="I33" i="26"/>
  <c r="B33" i="26"/>
  <c r="P14" i="26" l="1"/>
  <c r="M14" i="26"/>
  <c r="I14" i="26" l="1"/>
  <c r="F14" i="26"/>
  <c r="B14" i="26"/>
  <c r="P13" i="26"/>
  <c r="M13" i="26"/>
  <c r="F13" i="26" l="1"/>
  <c r="I13" i="26"/>
  <c r="B13" i="26"/>
  <c r="P12" i="26"/>
  <c r="M12" i="26"/>
  <c r="I12" i="26" l="1"/>
  <c r="F12" i="26"/>
  <c r="B12" i="26"/>
  <c r="P11" i="26"/>
  <c r="M11" i="26"/>
  <c r="I11" i="26" l="1"/>
  <c r="F11" i="26"/>
  <c r="B11" i="26"/>
  <c r="P10" i="26"/>
  <c r="M10" i="26"/>
  <c r="I10" i="26" l="1"/>
  <c r="F10" i="26"/>
  <c r="B10" i="26"/>
  <c r="P9" i="26"/>
  <c r="M9" i="26"/>
  <c r="F9" i="26" l="1"/>
  <c r="I9" i="26"/>
  <c r="B9" i="26"/>
  <c r="P6" i="26"/>
  <c r="M6" i="26"/>
  <c r="F6" i="26" l="1"/>
  <c r="I6" i="26"/>
  <c r="B6" i="26"/>
  <c r="P5" i="26"/>
  <c r="M5" i="26"/>
  <c r="M18" i="26" s="1"/>
  <c r="I5" i="26" l="1"/>
  <c r="F5" i="26"/>
  <c r="F18" i="26" s="1"/>
  <c r="B5" i="26"/>
  <c r="M1" i="26"/>
  <c r="I215" i="10" l="1"/>
  <c r="K215" i="10" s="1"/>
  <c r="M214" i="10"/>
  <c r="I214" i="10"/>
  <c r="K214" i="10" s="1"/>
  <c r="I213" i="10"/>
  <c r="K213" i="10" s="1"/>
  <c r="I212" i="10"/>
  <c r="K212" i="10" s="1"/>
  <c r="M207" i="10"/>
  <c r="I207" i="10"/>
  <c r="K207" i="10" s="1"/>
  <c r="M206" i="10"/>
  <c r="K206" i="10"/>
  <c r="I206" i="10"/>
  <c r="I205" i="10" l="1"/>
  <c r="K205" i="10" s="1"/>
  <c r="M204" i="10"/>
  <c r="I204" i="10" l="1"/>
  <c r="K204" i="10" s="1"/>
  <c r="M203" i="10"/>
  <c r="I203" i="10"/>
  <c r="K203" i="10" s="1"/>
  <c r="I199" i="10"/>
  <c r="K199" i="10" s="1"/>
  <c r="M198" i="10"/>
  <c r="I198" i="10"/>
  <c r="K198" i="10" s="1"/>
  <c r="K197" i="10"/>
  <c r="I197" i="10"/>
  <c r="K196" i="10"/>
  <c r="I196" i="10"/>
  <c r="M192" i="10"/>
  <c r="I192" i="10"/>
  <c r="K192" i="10" s="1"/>
  <c r="M191" i="10"/>
  <c r="I191" i="10"/>
  <c r="K191" i="10" s="1"/>
  <c r="M190" i="10"/>
  <c r="I190" i="10"/>
  <c r="K190" i="10" s="1"/>
  <c r="I189" i="10"/>
  <c r="K189" i="10" s="1"/>
  <c r="M188" i="10"/>
  <c r="I188" i="10"/>
  <c r="K188" i="10" s="1"/>
  <c r="M187" i="10"/>
  <c r="I187" i="10"/>
  <c r="K187" i="10" s="1"/>
  <c r="I183" i="10"/>
  <c r="K183" i="10" s="1"/>
  <c r="M182" i="10"/>
  <c r="K182" i="10"/>
  <c r="I182" i="10"/>
  <c r="K181" i="10"/>
  <c r="I181" i="10"/>
  <c r="I180" i="10"/>
  <c r="K180" i="10" s="1"/>
  <c r="M175" i="10"/>
  <c r="I175" i="10"/>
  <c r="O175" i="10" s="1"/>
  <c r="P174" i="10"/>
  <c r="M174" i="10"/>
  <c r="K174" i="10"/>
  <c r="I174" i="10"/>
  <c r="O174" i="10" s="1"/>
  <c r="B174" i="10"/>
  <c r="A174" i="10"/>
  <c r="M173" i="10"/>
  <c r="I173" i="10"/>
  <c r="O173" i="10" s="1"/>
  <c r="P172" i="10"/>
  <c r="I172" i="10"/>
  <c r="O172" i="10" s="1"/>
  <c r="B172" i="10"/>
  <c r="A172" i="10"/>
  <c r="O171" i="10"/>
  <c r="M171" i="10"/>
  <c r="K171" i="10"/>
  <c r="I171" i="10"/>
  <c r="M170" i="10"/>
  <c r="I170" i="10"/>
  <c r="O170" i="10" s="1"/>
  <c r="O169" i="10"/>
  <c r="K169" i="10"/>
  <c r="I169" i="10"/>
  <c r="I168" i="10"/>
  <c r="O168" i="10" s="1"/>
  <c r="P166" i="10"/>
  <c r="P164" i="10"/>
  <c r="I164" i="10"/>
  <c r="O164" i="10" s="1"/>
  <c r="B164" i="10"/>
  <c r="A164" i="10"/>
  <c r="P163" i="10"/>
  <c r="I163" i="10"/>
  <c r="O163" i="10" s="1"/>
  <c r="O166" i="10" s="1"/>
  <c r="B163" i="10"/>
  <c r="A163" i="10"/>
  <c r="P158" i="10"/>
  <c r="I158" i="10"/>
  <c r="O158" i="10" s="1"/>
  <c r="B158" i="10"/>
  <c r="A158" i="10"/>
  <c r="P157" i="10"/>
  <c r="O157" i="10"/>
  <c r="R158" i="10" s="1"/>
  <c r="I157" i="10"/>
  <c r="K157" i="10" s="1"/>
  <c r="B157" i="10"/>
  <c r="A157" i="10"/>
  <c r="I156" i="10"/>
  <c r="O156" i="10" s="1"/>
  <c r="P155" i="10"/>
  <c r="O155" i="10"/>
  <c r="I155" i="10"/>
  <c r="K155" i="10" s="1"/>
  <c r="B155" i="10"/>
  <c r="A155" i="10"/>
  <c r="P154" i="10"/>
  <c r="M154" i="10"/>
  <c r="I154" i="10"/>
  <c r="O154" i="10" s="1"/>
  <c r="B154" i="10"/>
  <c r="A154" i="10"/>
  <c r="O153" i="10"/>
  <c r="K153" i="10"/>
  <c r="I153" i="10"/>
  <c r="P152" i="10"/>
  <c r="I152" i="10"/>
  <c r="O152" i="10" s="1"/>
  <c r="B152" i="10"/>
  <c r="A152" i="10"/>
  <c r="M151" i="10"/>
  <c r="K151" i="10" s="1"/>
  <c r="I151" i="10"/>
  <c r="M150" i="10"/>
  <c r="K150" i="10"/>
  <c r="I150" i="10"/>
  <c r="O150" i="10" s="1"/>
  <c r="P149" i="10"/>
  <c r="M149" i="10"/>
  <c r="I149" i="10"/>
  <c r="O149" i="10" s="1"/>
  <c r="B149" i="10"/>
  <c r="A149" i="10"/>
  <c r="M148" i="10"/>
  <c r="K148" i="10"/>
  <c r="I148" i="10"/>
  <c r="O148" i="10" s="1"/>
  <c r="M147" i="10"/>
  <c r="I147" i="10"/>
  <c r="O147" i="10" s="1"/>
  <c r="M146" i="10"/>
  <c r="I146" i="10"/>
  <c r="K146" i="10" s="1"/>
  <c r="P141" i="10"/>
  <c r="I141" i="10"/>
  <c r="O141" i="10" s="1"/>
  <c r="B141" i="10"/>
  <c r="A141" i="10"/>
  <c r="P140" i="10"/>
  <c r="R141" i="10" s="1"/>
  <c r="O140" i="10"/>
  <c r="K140" i="10"/>
  <c r="I140" i="10"/>
  <c r="B140" i="10"/>
  <c r="A140" i="10"/>
  <c r="I139" i="10"/>
  <c r="O139" i="10" s="1"/>
  <c r="P138" i="10"/>
  <c r="O138" i="10"/>
  <c r="K138" i="10"/>
  <c r="I138" i="10"/>
  <c r="B138" i="10"/>
  <c r="A138" i="10"/>
  <c r="P137" i="10"/>
  <c r="M137" i="10"/>
  <c r="I137" i="10"/>
  <c r="O137" i="10" s="1"/>
  <c r="B137" i="10"/>
  <c r="A137" i="10"/>
  <c r="O136" i="10"/>
  <c r="I136" i="10"/>
  <c r="K136" i="10" s="1"/>
  <c r="P135" i="10"/>
  <c r="I135" i="10"/>
  <c r="O135" i="10" s="1"/>
  <c r="B135" i="10"/>
  <c r="A135" i="10"/>
  <c r="O134" i="10"/>
  <c r="M134" i="10"/>
  <c r="I134" i="10"/>
  <c r="K134" i="10" s="1"/>
  <c r="M133" i="10"/>
  <c r="K133" i="10"/>
  <c r="I133" i="10"/>
  <c r="O133" i="10" s="1"/>
  <c r="P132" i="10"/>
  <c r="M132" i="10"/>
  <c r="I132" i="10"/>
  <c r="O132" i="10" s="1"/>
  <c r="B132" i="10"/>
  <c r="A132" i="10"/>
  <c r="M131" i="10"/>
  <c r="I131" i="10"/>
  <c r="O131" i="10" s="1"/>
  <c r="M130" i="10"/>
  <c r="I130" i="10"/>
  <c r="O130" i="10" s="1"/>
  <c r="M129" i="10"/>
  <c r="O129" i="10" s="1"/>
  <c r="I129" i="10"/>
  <c r="K129" i="10" s="1"/>
  <c r="K124" i="10"/>
  <c r="I124" i="10"/>
  <c r="O124" i="10" s="1"/>
  <c r="P123" i="10"/>
  <c r="I123" i="10"/>
  <c r="O123" i="10" s="1"/>
  <c r="B123" i="10"/>
  <c r="A123" i="10"/>
  <c r="I122" i="10"/>
  <c r="O122" i="10" s="1"/>
  <c r="B122" i="10"/>
  <c r="M121" i="10"/>
  <c r="I121" i="10"/>
  <c r="O121" i="10" s="1"/>
  <c r="M120" i="10"/>
  <c r="I120" i="10"/>
  <c r="O120" i="10" s="1"/>
  <c r="P119" i="10"/>
  <c r="M119" i="10"/>
  <c r="I119" i="10"/>
  <c r="O119" i="10" s="1"/>
  <c r="B119" i="10"/>
  <c r="A119" i="10"/>
  <c r="M118" i="10"/>
  <c r="I118" i="10"/>
  <c r="O118" i="10" s="1"/>
  <c r="P117" i="10"/>
  <c r="M117" i="10"/>
  <c r="I117" i="10"/>
  <c r="O117" i="10" s="1"/>
  <c r="B117" i="10"/>
  <c r="A117" i="10"/>
  <c r="M116" i="10"/>
  <c r="I116" i="10"/>
  <c r="O116" i="10" s="1"/>
  <c r="M115" i="10"/>
  <c r="I115" i="10"/>
  <c r="O115" i="10" s="1"/>
  <c r="I110" i="10"/>
  <c r="O110" i="10" s="1"/>
  <c r="R109" i="10"/>
  <c r="P109" i="10"/>
  <c r="O109" i="10"/>
  <c r="K109" i="10"/>
  <c r="I109" i="10"/>
  <c r="B109" i="10"/>
  <c r="A109" i="10"/>
  <c r="P108" i="10"/>
  <c r="I108" i="10"/>
  <c r="O108" i="10" s="1"/>
  <c r="B108" i="10"/>
  <c r="A108" i="10"/>
  <c r="M107" i="10"/>
  <c r="I107" i="10"/>
  <c r="O107" i="10" s="1"/>
  <c r="M106" i="10"/>
  <c r="I106" i="10"/>
  <c r="O106" i="10" s="1"/>
  <c r="P105" i="10"/>
  <c r="M105" i="10"/>
  <c r="I105" i="10"/>
  <c r="O105" i="10" s="1"/>
  <c r="B105" i="10"/>
  <c r="A105" i="10"/>
  <c r="M104" i="10"/>
  <c r="I104" i="10"/>
  <c r="O104" i="10" s="1"/>
  <c r="M103" i="10"/>
  <c r="I103" i="10"/>
  <c r="O103" i="10" s="1"/>
  <c r="M102" i="10"/>
  <c r="I102" i="10"/>
  <c r="O102" i="10" s="1"/>
  <c r="I97" i="10"/>
  <c r="O97" i="10" s="1"/>
  <c r="R96" i="10"/>
  <c r="P96" i="10"/>
  <c r="O96" i="10"/>
  <c r="K96" i="10"/>
  <c r="I96" i="10"/>
  <c r="B96" i="10"/>
  <c r="A96" i="10"/>
  <c r="M95" i="10"/>
  <c r="I95" i="10"/>
  <c r="O95" i="10" s="1"/>
  <c r="M94" i="10"/>
  <c r="I94" i="10"/>
  <c r="K94" i="10" s="1"/>
  <c r="M93" i="10"/>
  <c r="O93" i="10" s="1"/>
  <c r="K93" i="10"/>
  <c r="I93" i="10"/>
  <c r="M92" i="10"/>
  <c r="I92" i="10"/>
  <c r="O92" i="10" s="1"/>
  <c r="M91" i="10"/>
  <c r="I91" i="10"/>
  <c r="O91" i="10" s="1"/>
  <c r="I85" i="10"/>
  <c r="I84" i="10"/>
  <c r="M83" i="10"/>
  <c r="I83" i="10"/>
  <c r="O83" i="10" s="1"/>
  <c r="I82" i="10"/>
  <c r="P81" i="10"/>
  <c r="M81" i="10"/>
  <c r="I81" i="10"/>
  <c r="K81" i="10" s="1"/>
  <c r="B81" i="10"/>
  <c r="A81" i="10"/>
  <c r="I80" i="10"/>
  <c r="O79" i="10"/>
  <c r="M79" i="10"/>
  <c r="I79" i="10"/>
  <c r="K79" i="10" s="1"/>
  <c r="P78" i="10"/>
  <c r="R78" i="10" s="1"/>
  <c r="M78" i="10"/>
  <c r="I78" i="10"/>
  <c r="O78" i="10" s="1"/>
  <c r="B78" i="10"/>
  <c r="A78" i="10"/>
  <c r="P77" i="10"/>
  <c r="M77" i="10"/>
  <c r="I77" i="10"/>
  <c r="O77" i="10" s="1"/>
  <c r="B77" i="10"/>
  <c r="A77" i="10"/>
  <c r="I76" i="10"/>
  <c r="M62" i="10"/>
  <c r="O62" i="10" s="1"/>
  <c r="I62" i="10" l="1"/>
  <c r="P62" i="10"/>
  <c r="R123" i="10"/>
  <c r="R108" i="10"/>
  <c r="R77" i="10"/>
  <c r="R105" i="10"/>
  <c r="O99" i="10"/>
  <c r="R119" i="10"/>
  <c r="O177" i="10"/>
  <c r="R117" i="10"/>
  <c r="O112" i="10"/>
  <c r="K103" i="10"/>
  <c r="K106" i="10"/>
  <c r="K116" i="10"/>
  <c r="K119" i="10"/>
  <c r="K122" i="10"/>
  <c r="K131" i="10"/>
  <c r="O151" i="10"/>
  <c r="K173" i="10"/>
  <c r="K78" i="10"/>
  <c r="K163" i="10"/>
  <c r="K175" i="10"/>
  <c r="K105" i="10"/>
  <c r="K108" i="10"/>
  <c r="K115" i="10"/>
  <c r="K118" i="10"/>
  <c r="K121" i="10"/>
  <c r="K135" i="10"/>
  <c r="K137" i="10"/>
  <c r="K130" i="10"/>
  <c r="K139" i="10"/>
  <c r="K141" i="10"/>
  <c r="K168" i="10"/>
  <c r="K170" i="10"/>
  <c r="O81" i="10"/>
  <c r="R81" i="10" s="1"/>
  <c r="K92" i="10"/>
  <c r="K97" i="10"/>
  <c r="K152" i="10"/>
  <c r="K154" i="10"/>
  <c r="K110" i="10"/>
  <c r="K123" i="10"/>
  <c r="K132" i="10"/>
  <c r="K147" i="10"/>
  <c r="K156" i="10"/>
  <c r="K158" i="10"/>
  <c r="K172" i="10"/>
  <c r="K102" i="10"/>
  <c r="K77" i="10"/>
  <c r="K83" i="10"/>
  <c r="K91" i="10"/>
  <c r="K104" i="10"/>
  <c r="K120" i="10"/>
  <c r="K95" i="10"/>
  <c r="K107" i="10"/>
  <c r="O94" i="10"/>
  <c r="K149" i="10"/>
  <c r="K164" i="10"/>
  <c r="K117" i="10"/>
  <c r="O61" i="10"/>
  <c r="M61" i="10"/>
  <c r="P61" i="10" l="1"/>
  <c r="I61" i="10"/>
  <c r="K62" i="10"/>
  <c r="T62" i="10"/>
  <c r="U62" i="10" s="1"/>
  <c r="M60" i="10"/>
  <c r="K61" i="10" l="1"/>
  <c r="T61" i="10"/>
  <c r="U61" i="10" s="1"/>
  <c r="D60" i="10"/>
  <c r="I60" i="10" s="1"/>
  <c r="O59" i="10"/>
  <c r="M59" i="10"/>
  <c r="P59" i="10" l="1"/>
  <c r="I59" i="10"/>
  <c r="T60" i="10"/>
  <c r="U60" i="10" s="1"/>
  <c r="K60" i="10"/>
  <c r="O60" i="10"/>
  <c r="P60" i="10" s="1"/>
  <c r="M58" i="10"/>
  <c r="O58" i="10" s="1"/>
  <c r="I58" i="10" l="1"/>
  <c r="P58" i="10"/>
  <c r="K59" i="10"/>
  <c r="T59" i="10"/>
  <c r="U59" i="10" s="1"/>
  <c r="M57" i="10"/>
  <c r="O57" i="10" s="1"/>
  <c r="P57" i="10" l="1"/>
  <c r="I57" i="10"/>
  <c r="K58" i="10"/>
  <c r="T58" i="10"/>
  <c r="U58" i="10" s="1"/>
  <c r="O56" i="10"/>
  <c r="P56" i="10" l="1"/>
  <c r="I56" i="10"/>
  <c r="K57" i="10"/>
  <c r="T57" i="10"/>
  <c r="U57" i="10" s="1"/>
  <c r="O55" i="10"/>
  <c r="I55" i="10" l="1"/>
  <c r="P55" i="10"/>
  <c r="K56" i="10"/>
  <c r="T56" i="10"/>
  <c r="U56" i="10" s="1"/>
  <c r="M54" i="10"/>
  <c r="M64" i="10" s="1"/>
  <c r="I54" i="10" l="1"/>
  <c r="O54" i="10"/>
  <c r="P54" i="10" s="1"/>
  <c r="T55" i="10"/>
  <c r="U55" i="10" s="1"/>
  <c r="K55" i="10"/>
  <c r="O46" i="10"/>
  <c r="B156" i="10" l="1"/>
  <c r="B110" i="10"/>
  <c r="B97" i="10"/>
  <c r="B168" i="10"/>
  <c r="B139" i="10"/>
  <c r="B83" i="10"/>
  <c r="B124" i="10"/>
  <c r="I46" i="10"/>
  <c r="P46" i="10"/>
  <c r="I64" i="10"/>
  <c r="T54" i="10"/>
  <c r="K54" i="10"/>
  <c r="O45" i="10"/>
  <c r="B79" i="10" l="1"/>
  <c r="P45" i="10"/>
  <c r="I45" i="10"/>
  <c r="T64" i="10"/>
  <c r="U54" i="10"/>
  <c r="K46" i="10"/>
  <c r="T46" i="10"/>
  <c r="M44" i="10"/>
  <c r="M84" i="10" s="1"/>
  <c r="B153" i="10" l="1"/>
  <c r="B107" i="10"/>
  <c r="B84" i="10"/>
  <c r="B169" i="10"/>
  <c r="B136" i="10"/>
  <c r="B121" i="10"/>
  <c r="B95" i="10"/>
  <c r="I44" i="10"/>
  <c r="O44" i="10"/>
  <c r="P44" i="10" s="1"/>
  <c r="P156" i="10"/>
  <c r="P110" i="10"/>
  <c r="R110" i="10" s="1"/>
  <c r="P97" i="10"/>
  <c r="R97" i="10" s="1"/>
  <c r="P83" i="10"/>
  <c r="R83" i="10" s="1"/>
  <c r="P168" i="10"/>
  <c r="P139" i="10"/>
  <c r="P124" i="10"/>
  <c r="R124" i="10" s="1"/>
  <c r="P122" i="10"/>
  <c r="R122" i="10" s="1"/>
  <c r="U46" i="10"/>
  <c r="A97" i="10"/>
  <c r="A122" i="10"/>
  <c r="A83" i="10"/>
  <c r="A124" i="10"/>
  <c r="A156" i="10"/>
  <c r="A110" i="10"/>
  <c r="A168" i="10"/>
  <c r="A139" i="10"/>
  <c r="K84" i="10"/>
  <c r="O84" i="10"/>
  <c r="K45" i="10"/>
  <c r="A79" i="10" s="1"/>
  <c r="T45" i="10"/>
  <c r="B44" i="10"/>
  <c r="A44" i="10"/>
  <c r="M43" i="10"/>
  <c r="M85" i="10" s="1"/>
  <c r="B106" i="10" l="1"/>
  <c r="B85" i="10"/>
  <c r="B120" i="10"/>
  <c r="B94" i="10"/>
  <c r="P43" i="10"/>
  <c r="I43" i="10"/>
  <c r="O85" i="10"/>
  <c r="K85" i="10"/>
  <c r="T44" i="10"/>
  <c r="K44" i="10"/>
  <c r="P79" i="10"/>
  <c r="R79" i="10" s="1"/>
  <c r="U45" i="10"/>
  <c r="O43" i="10"/>
  <c r="A43" i="10"/>
  <c r="M42" i="10"/>
  <c r="M82" i="10" s="1"/>
  <c r="B173" i="10" l="1"/>
  <c r="B151" i="10"/>
  <c r="B82" i="10"/>
  <c r="B134" i="10"/>
  <c r="I42" i="10"/>
  <c r="P42" i="10"/>
  <c r="A84" i="10"/>
  <c r="A153" i="10"/>
  <c r="A169" i="10"/>
  <c r="A136" i="10"/>
  <c r="A107" i="10"/>
  <c r="A121" i="10"/>
  <c r="A95" i="10"/>
  <c r="P107" i="10"/>
  <c r="R107" i="10" s="1"/>
  <c r="P121" i="10"/>
  <c r="R121" i="10" s="1"/>
  <c r="P95" i="10"/>
  <c r="R95" i="10" s="1"/>
  <c r="P84" i="10"/>
  <c r="R84" i="10" s="1"/>
  <c r="P153" i="10"/>
  <c r="P169" i="10"/>
  <c r="P136" i="10"/>
  <c r="U44" i="10"/>
  <c r="T43" i="10"/>
  <c r="K43" i="10"/>
  <c r="O82" i="10"/>
  <c r="K82" i="10"/>
  <c r="O42" i="10"/>
  <c r="O41" i="10"/>
  <c r="B150" i="10" l="1"/>
  <c r="B175" i="10"/>
  <c r="B133" i="10"/>
  <c r="P41" i="10"/>
  <c r="I41" i="10"/>
  <c r="P94" i="10"/>
  <c r="R94" i="10" s="1"/>
  <c r="P106" i="10"/>
  <c r="R106" i="10" s="1"/>
  <c r="P85" i="10"/>
  <c r="R85" i="10" s="1"/>
  <c r="P120" i="10"/>
  <c r="R120" i="10" s="1"/>
  <c r="U43" i="10"/>
  <c r="A106" i="10"/>
  <c r="A94" i="10"/>
  <c r="A85" i="10"/>
  <c r="A120" i="10"/>
  <c r="T42" i="10"/>
  <c r="K42" i="10"/>
  <c r="M40" i="10"/>
  <c r="M76" i="10" s="1"/>
  <c r="B76" i="10" l="1"/>
  <c r="B93" i="10"/>
  <c r="B104" i="10"/>
  <c r="B118" i="10"/>
  <c r="I40" i="10"/>
  <c r="P40" i="10"/>
  <c r="O76" i="10"/>
  <c r="O87" i="10" s="1"/>
  <c r="K76" i="10"/>
  <c r="A173" i="10"/>
  <c r="A82" i="10"/>
  <c r="A151" i="10"/>
  <c r="A134" i="10"/>
  <c r="O40" i="10"/>
  <c r="T41" i="10"/>
  <c r="K41" i="10"/>
  <c r="P173" i="10"/>
  <c r="P151" i="10"/>
  <c r="P134" i="10"/>
  <c r="P82" i="10"/>
  <c r="R82" i="10" s="1"/>
  <c r="U42" i="10"/>
  <c r="B40" i="10"/>
  <c r="A40" i="10"/>
  <c r="M39" i="10"/>
  <c r="O39" i="10" s="1"/>
  <c r="B170" i="10" l="1"/>
  <c r="P39" i="10"/>
  <c r="I39" i="10"/>
  <c r="A133" i="10"/>
  <c r="A150" i="10"/>
  <c r="A175" i="10"/>
  <c r="K40" i="10"/>
  <c r="T40" i="10"/>
  <c r="P150" i="10"/>
  <c r="P175" i="10"/>
  <c r="P133" i="10"/>
  <c r="U41" i="10"/>
  <c r="M38" i="10"/>
  <c r="O38" i="10" s="1"/>
  <c r="P38" i="10" l="1"/>
  <c r="I38" i="10"/>
  <c r="A93" i="10"/>
  <c r="A76" i="10"/>
  <c r="A104" i="10"/>
  <c r="A118" i="10"/>
  <c r="P93" i="10"/>
  <c r="R93" i="10" s="1"/>
  <c r="P118" i="10"/>
  <c r="R118" i="10" s="1"/>
  <c r="P76" i="10"/>
  <c r="P104" i="10"/>
  <c r="R104" i="10" s="1"/>
  <c r="U40" i="10"/>
  <c r="T39" i="10"/>
  <c r="K39" i="10"/>
  <c r="A170" i="10" s="1"/>
  <c r="M37" i="10"/>
  <c r="M80" i="10" s="1"/>
  <c r="B116" i="10" l="1"/>
  <c r="B103" i="10"/>
  <c r="B80" i="10"/>
  <c r="B92" i="10"/>
  <c r="I37" i="10"/>
  <c r="P37" i="10"/>
  <c r="P170" i="10"/>
  <c r="U39" i="10"/>
  <c r="P87" i="10"/>
  <c r="R76" i="10"/>
  <c r="R74" i="10" s="1"/>
  <c r="T38" i="10"/>
  <c r="U38" i="10" s="1"/>
  <c r="K38" i="10"/>
  <c r="O80" i="10"/>
  <c r="K80" i="10"/>
  <c r="O37" i="10"/>
  <c r="B37" i="10"/>
  <c r="A37" i="10"/>
  <c r="M36" i="10"/>
  <c r="O36" i="10" s="1"/>
  <c r="B131" i="10" l="1"/>
  <c r="B148" i="10"/>
  <c r="I36" i="10"/>
  <c r="P36" i="10"/>
  <c r="K37" i="10"/>
  <c r="T37" i="10"/>
  <c r="O35" i="10"/>
  <c r="P35" i="10" l="1"/>
  <c r="I35" i="10"/>
  <c r="P80" i="10"/>
  <c r="R80" i="10" s="1"/>
  <c r="P92" i="10"/>
  <c r="R92" i="10" s="1"/>
  <c r="P116" i="10"/>
  <c r="R116" i="10" s="1"/>
  <c r="P103" i="10"/>
  <c r="R103" i="10" s="1"/>
  <c r="U37" i="10"/>
  <c r="A116" i="10"/>
  <c r="A103" i="10"/>
  <c r="A80" i="10"/>
  <c r="A92" i="10"/>
  <c r="K36" i="10"/>
  <c r="T36" i="10"/>
  <c r="M34" i="10"/>
  <c r="O34" i="10" s="1"/>
  <c r="B171" i="10" l="1"/>
  <c r="I34" i="10"/>
  <c r="P34" i="10"/>
  <c r="A148" i="10"/>
  <c r="A131" i="10"/>
  <c r="K35" i="10"/>
  <c r="T35" i="10"/>
  <c r="U35" i="10" s="1"/>
  <c r="P148" i="10"/>
  <c r="P131" i="10"/>
  <c r="U36" i="10"/>
  <c r="M33" i="10"/>
  <c r="O33" i="10" s="1"/>
  <c r="P33" i="10" l="1"/>
  <c r="I33" i="10"/>
  <c r="T34" i="10"/>
  <c r="K34" i="10"/>
  <c r="A171" i="10" s="1"/>
  <c r="M32" i="10"/>
  <c r="O32" i="10" s="1"/>
  <c r="B91" i="10" l="1"/>
  <c r="B115" i="10"/>
  <c r="B102" i="10"/>
  <c r="I32" i="10"/>
  <c r="P32" i="10"/>
  <c r="P171" i="10"/>
  <c r="P177" i="10" s="1"/>
  <c r="U34" i="10"/>
  <c r="T33" i="10"/>
  <c r="U33" i="10" s="1"/>
  <c r="K33" i="10"/>
  <c r="B32" i="10"/>
  <c r="A32" i="10"/>
  <c r="M31" i="10"/>
  <c r="O31" i="10" s="1"/>
  <c r="P31" i="10" l="1"/>
  <c r="I31" i="10"/>
  <c r="I70" i="10"/>
  <c r="T32" i="10"/>
  <c r="K32" i="10"/>
  <c r="O30" i="10"/>
  <c r="I30" i="10" l="1"/>
  <c r="P30" i="10"/>
  <c r="A91" i="10"/>
  <c r="A115" i="10"/>
  <c r="A102" i="10"/>
  <c r="P91" i="10"/>
  <c r="P102" i="10"/>
  <c r="P115" i="10"/>
  <c r="U32" i="10"/>
  <c r="T31" i="10"/>
  <c r="U31" i="10" s="1"/>
  <c r="K31" i="10"/>
  <c r="M29" i="10"/>
  <c r="O29" i="10" s="1"/>
  <c r="B147" i="10" l="1"/>
  <c r="B130" i="10"/>
  <c r="I29" i="10"/>
  <c r="P29" i="10"/>
  <c r="R115" i="10"/>
  <c r="R113" i="10" s="1"/>
  <c r="P126" i="10"/>
  <c r="R102" i="10"/>
  <c r="R100" i="10" s="1"/>
  <c r="P112" i="10"/>
  <c r="R91" i="10"/>
  <c r="P99" i="10"/>
  <c r="T30" i="10"/>
  <c r="U30" i="10" s="1"/>
  <c r="K30" i="10"/>
  <c r="M28" i="10"/>
  <c r="O28" i="10" s="1"/>
  <c r="P28" i="10" l="1"/>
  <c r="I28" i="10"/>
  <c r="K29" i="10"/>
  <c r="T29" i="10"/>
  <c r="M27" i="10"/>
  <c r="O27" i="10" s="1"/>
  <c r="I27" i="10" l="1"/>
  <c r="P27" i="10"/>
  <c r="P147" i="10"/>
  <c r="P130" i="10"/>
  <c r="U29" i="10"/>
  <c r="A147" i="10"/>
  <c r="A130" i="10"/>
  <c r="K28" i="10"/>
  <c r="T28" i="10"/>
  <c r="U28" i="10" s="1"/>
  <c r="M26" i="10"/>
  <c r="O26" i="10" s="1"/>
  <c r="P26" i="10" l="1"/>
  <c r="I26" i="10"/>
  <c r="T27" i="10"/>
  <c r="U27" i="10" s="1"/>
  <c r="K27" i="10"/>
  <c r="M25" i="10"/>
  <c r="O25" i="10" s="1"/>
  <c r="B146" i="10" l="1"/>
  <c r="B129" i="10"/>
  <c r="P25" i="10"/>
  <c r="I25" i="10"/>
  <c r="K26" i="10"/>
  <c r="T26" i="10"/>
  <c r="U26" i="10" s="1"/>
  <c r="O24" i="10"/>
  <c r="M24" i="10"/>
  <c r="I24" i="10" l="1"/>
  <c r="P24" i="10"/>
  <c r="T25" i="10"/>
  <c r="K25" i="10"/>
  <c r="M23" i="10"/>
  <c r="O23" i="10" s="1"/>
  <c r="I23" i="10" l="1"/>
  <c r="P23" i="10"/>
  <c r="P146" i="10"/>
  <c r="P160" i="10" s="1"/>
  <c r="P129" i="10"/>
  <c r="P143" i="10" s="1"/>
  <c r="U25" i="10"/>
  <c r="A146" i="10"/>
  <c r="A129" i="10"/>
  <c r="K24" i="10"/>
  <c r="T24" i="10"/>
  <c r="U24" i="10" s="1"/>
  <c r="T22" i="10"/>
  <c r="U22" i="10" s="1"/>
  <c r="M22" i="10"/>
  <c r="O22" i="10" s="1"/>
  <c r="P22" i="10" s="1"/>
  <c r="I22" i="10"/>
  <c r="K22" i="10" s="1"/>
  <c r="O21" i="10"/>
  <c r="M21" i="10"/>
  <c r="I21" i="10" l="1"/>
  <c r="P21" i="10"/>
  <c r="T23" i="10"/>
  <c r="U23" i="10" s="1"/>
  <c r="K23" i="10"/>
  <c r="O20" i="10"/>
  <c r="M20" i="10"/>
  <c r="I20" i="10" l="1"/>
  <c r="P20" i="10"/>
  <c r="K21" i="10"/>
  <c r="T21" i="10"/>
  <c r="U21" i="10" s="1"/>
  <c r="M19" i="10"/>
  <c r="O19" i="10" s="1"/>
  <c r="I19" i="10" l="1"/>
  <c r="P19" i="10"/>
  <c r="K20" i="10"/>
  <c r="T20" i="10"/>
  <c r="U20" i="10" s="1"/>
  <c r="M18" i="10"/>
  <c r="O18" i="10" s="1"/>
  <c r="I18" i="10" l="1"/>
  <c r="P18" i="10"/>
  <c r="T19" i="10"/>
  <c r="U19" i="10" s="1"/>
  <c r="K19" i="10"/>
  <c r="M17" i="10"/>
  <c r="O17" i="10" s="1"/>
  <c r="I17" i="10" l="1"/>
  <c r="P17" i="10"/>
  <c r="T18" i="10"/>
  <c r="U18" i="10" s="1"/>
  <c r="K18" i="10"/>
  <c r="M16" i="10"/>
  <c r="O16" i="10" s="1"/>
  <c r="I16" i="10" l="1"/>
  <c r="P16" i="10"/>
  <c r="T17" i="10"/>
  <c r="U17" i="10" s="1"/>
  <c r="K17" i="10"/>
  <c r="O15" i="10"/>
  <c r="I15" i="10" l="1"/>
  <c r="P15" i="10"/>
  <c r="T16" i="10"/>
  <c r="U16" i="10" s="1"/>
  <c r="K16" i="10"/>
  <c r="M14" i="10"/>
  <c r="O14" i="10" s="1"/>
  <c r="I14" i="10" l="1"/>
  <c r="P14" i="10"/>
  <c r="K15" i="10"/>
  <c r="T15" i="10"/>
  <c r="U15" i="10" s="1"/>
  <c r="M13" i="10"/>
  <c r="O13" i="10" s="1"/>
  <c r="I13" i="10" l="1"/>
  <c r="P13" i="10"/>
  <c r="T14" i="10"/>
  <c r="U14" i="10" s="1"/>
  <c r="K14" i="10"/>
  <c r="M12" i="10"/>
  <c r="O12" i="10" s="1"/>
  <c r="I12" i="10" l="1"/>
  <c r="P12" i="10"/>
  <c r="K13" i="10"/>
  <c r="T13" i="10"/>
  <c r="U13" i="10" s="1"/>
  <c r="M11" i="10"/>
  <c r="O11" i="10" s="1"/>
  <c r="I11" i="10" l="1"/>
  <c r="P11" i="10"/>
  <c r="T12" i="10"/>
  <c r="U12" i="10" s="1"/>
  <c r="K12" i="10"/>
  <c r="M10" i="10"/>
  <c r="O10" i="10" s="1"/>
  <c r="I10" i="10" l="1"/>
  <c r="P10" i="10"/>
  <c r="T11" i="10"/>
  <c r="U11" i="10" s="1"/>
  <c r="K11" i="10"/>
  <c r="M9" i="10"/>
  <c r="O9" i="10" s="1"/>
  <c r="I9" i="10" l="1"/>
  <c r="P9" i="10"/>
  <c r="T10" i="10"/>
  <c r="U10" i="10" s="1"/>
  <c r="K10" i="10"/>
  <c r="M8" i="10"/>
  <c r="O8" i="10" s="1"/>
  <c r="I8" i="10" l="1"/>
  <c r="P8" i="10"/>
  <c r="T9" i="10"/>
  <c r="U9" i="10" s="1"/>
  <c r="K9" i="10"/>
  <c r="O7" i="10"/>
  <c r="P7" i="10" l="1"/>
  <c r="I7" i="10"/>
  <c r="T8" i="10"/>
  <c r="U8" i="10" s="1"/>
  <c r="K8" i="10"/>
  <c r="M6" i="10"/>
  <c r="M50" i="10" s="1"/>
  <c r="M67" i="10" s="1"/>
  <c r="I6" i="10" l="1"/>
  <c r="O6" i="10"/>
  <c r="P6" i="10" s="1"/>
  <c r="R7" i="10" s="1"/>
  <c r="T7" i="10"/>
  <c r="U7" i="10" s="1"/>
  <c r="K7" i="10"/>
  <c r="L62" i="15"/>
  <c r="R62" i="10" l="1"/>
  <c r="R61" i="10"/>
  <c r="R59" i="10"/>
  <c r="R60" i="10"/>
  <c r="R58" i="10"/>
  <c r="R57" i="10"/>
  <c r="R56" i="10"/>
  <c r="R55" i="10"/>
  <c r="R54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22" i="10"/>
  <c r="R6" i="10"/>
  <c r="I50" i="10"/>
  <c r="I67" i="10" s="1"/>
  <c r="T6" i="10"/>
  <c r="K6" i="10"/>
  <c r="T50" i="10" l="1"/>
  <c r="T67" i="10" s="1"/>
  <c r="U67" i="10" s="1"/>
  <c r="U6" i="10"/>
  <c r="I69" i="10"/>
  <c r="H64" i="10"/>
  <c r="I71" i="10"/>
  <c r="V62" i="10" l="1"/>
  <c r="V61" i="10"/>
  <c r="V60" i="10"/>
  <c r="V59" i="10"/>
  <c r="V58" i="10"/>
  <c r="V57" i="10"/>
  <c r="V56" i="10"/>
  <c r="V55" i="10"/>
  <c r="V54" i="10"/>
  <c r="V46" i="10"/>
  <c r="V45" i="10"/>
  <c r="V44" i="10"/>
  <c r="V43" i="10"/>
  <c r="V42" i="10"/>
  <c r="V41" i="10"/>
  <c r="V40" i="10"/>
  <c r="V39" i="10"/>
  <c r="V38" i="10"/>
  <c r="V37" i="10"/>
  <c r="V36" i="10"/>
  <c r="V35" i="10"/>
  <c r="V33" i="10"/>
  <c r="V34" i="10"/>
  <c r="V32" i="10"/>
  <c r="V31" i="10"/>
  <c r="V30" i="10"/>
  <c r="V29" i="10"/>
  <c r="V28" i="10"/>
  <c r="V27" i="10"/>
  <c r="V26" i="10"/>
  <c r="V25" i="10"/>
  <c r="V24" i="10"/>
  <c r="V23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AB55" i="15"/>
  <c r="AF55" i="15"/>
  <c r="W55" i="15"/>
  <c r="S55" i="15"/>
  <c r="L55" i="15"/>
  <c r="O55" i="15"/>
  <c r="J55" i="15"/>
  <c r="I55" i="15"/>
  <c r="V22" i="10"/>
  <c r="V6" i="10"/>
  <c r="AF54" i="15" l="1"/>
  <c r="AB54" i="15"/>
  <c r="W54" i="15"/>
  <c r="S54" i="15"/>
  <c r="O54" i="15"/>
  <c r="L54" i="15"/>
  <c r="J54" i="15"/>
  <c r="I54" i="15"/>
  <c r="AB53" i="15" l="1"/>
  <c r="AF53" i="15"/>
  <c r="W53" i="15"/>
  <c r="S53" i="15"/>
  <c r="O53" i="15"/>
  <c r="I53" i="15"/>
  <c r="E53" i="15"/>
  <c r="L53" i="15" s="1"/>
  <c r="J53" i="15" l="1"/>
  <c r="AB52" i="15" l="1"/>
  <c r="AF52" i="15"/>
  <c r="W52" i="15"/>
  <c r="S52" i="15"/>
  <c r="O52" i="15"/>
  <c r="L52" i="15"/>
  <c r="J52" i="15"/>
  <c r="I52" i="15"/>
  <c r="AB51" i="15" l="1"/>
  <c r="AF51" i="15"/>
  <c r="W51" i="15"/>
  <c r="S51" i="15"/>
  <c r="O51" i="15"/>
  <c r="L51" i="15"/>
  <c r="J51" i="15"/>
  <c r="I51" i="15"/>
  <c r="AF50" i="15" l="1"/>
  <c r="AB50" i="15"/>
  <c r="W50" i="15"/>
  <c r="S50" i="15"/>
  <c r="O50" i="15"/>
  <c r="L50" i="15"/>
  <c r="J50" i="15"/>
  <c r="I50" i="15"/>
  <c r="AB49" i="15" l="1"/>
  <c r="AF49" i="15"/>
  <c r="W49" i="15"/>
  <c r="S49" i="15"/>
  <c r="O49" i="15"/>
  <c r="L49" i="15"/>
  <c r="J49" i="15"/>
  <c r="I49" i="15"/>
  <c r="AB48" i="15" l="1"/>
  <c r="AF48" i="15"/>
  <c r="W48" i="15"/>
  <c r="S48" i="15"/>
  <c r="L48" i="15"/>
  <c r="O48" i="15"/>
  <c r="J48" i="15"/>
  <c r="I48" i="15"/>
  <c r="AB47" i="15" l="1"/>
  <c r="AF47" i="15"/>
  <c r="W47" i="15"/>
  <c r="S47" i="15"/>
  <c r="O47" i="15"/>
  <c r="L47" i="15"/>
  <c r="L57" i="15" s="1"/>
  <c r="J47" i="15"/>
  <c r="I47" i="15"/>
  <c r="A47" i="15"/>
  <c r="A46" i="15"/>
  <c r="W39" i="15" l="1"/>
  <c r="S39" i="15"/>
  <c r="O39" i="15"/>
  <c r="L39" i="15"/>
  <c r="J39" i="15"/>
  <c r="I39" i="15"/>
  <c r="AF38" i="15" l="1"/>
  <c r="AB38" i="15"/>
  <c r="W38" i="15"/>
  <c r="S38" i="15"/>
  <c r="L38" i="15"/>
  <c r="O38" i="15"/>
  <c r="J38" i="15"/>
  <c r="I38" i="15"/>
  <c r="AB37" i="15" l="1"/>
  <c r="AF37" i="15"/>
  <c r="W37" i="15"/>
  <c r="S37" i="15"/>
  <c r="O37" i="15"/>
  <c r="L37" i="15"/>
  <c r="J37" i="15"/>
  <c r="I37" i="15"/>
  <c r="AB36" i="15" l="1"/>
  <c r="AF36" i="15"/>
  <c r="W36" i="15"/>
  <c r="S36" i="15"/>
  <c r="O36" i="15"/>
  <c r="L36" i="15"/>
  <c r="J36" i="15"/>
  <c r="I36" i="15"/>
  <c r="AF35" i="15" l="1"/>
  <c r="AB35" i="15"/>
  <c r="W35" i="15"/>
  <c r="S35" i="15"/>
  <c r="O35" i="15"/>
  <c r="L35" i="15"/>
  <c r="J35" i="15"/>
  <c r="I35" i="15"/>
  <c r="AB34" i="15" l="1"/>
  <c r="AF34" i="15"/>
  <c r="W34" i="15"/>
  <c r="S34" i="15"/>
  <c r="O34" i="15"/>
  <c r="L34" i="15"/>
  <c r="J34" i="15"/>
  <c r="I34" i="15"/>
  <c r="AB33" i="15" l="1"/>
  <c r="AF33" i="15"/>
  <c r="W33" i="15"/>
  <c r="S33" i="15"/>
  <c r="O33" i="15"/>
  <c r="L33" i="15"/>
  <c r="J33" i="15"/>
  <c r="I33" i="15"/>
  <c r="AB32" i="15" l="1"/>
  <c r="AF32" i="15"/>
  <c r="W32" i="15"/>
  <c r="S32" i="15"/>
  <c r="O32" i="15"/>
  <c r="L32" i="15"/>
  <c r="J32" i="15"/>
  <c r="I32" i="15"/>
  <c r="AB31" i="15" l="1"/>
  <c r="AF31" i="15"/>
  <c r="W31" i="15"/>
  <c r="S31" i="15"/>
  <c r="O31" i="15"/>
  <c r="L31" i="15"/>
  <c r="J31" i="15"/>
  <c r="I31" i="15"/>
  <c r="AB30" i="15" l="1"/>
  <c r="W30" i="15"/>
  <c r="O30" i="15"/>
  <c r="L30" i="15"/>
  <c r="S30" i="15"/>
  <c r="J30" i="15"/>
  <c r="I30" i="15"/>
  <c r="AB29" i="15" l="1"/>
  <c r="AF29" i="15"/>
  <c r="W29" i="15"/>
  <c r="S29" i="15"/>
  <c r="O29" i="15"/>
  <c r="L29" i="15"/>
  <c r="J29" i="15"/>
  <c r="I29" i="15"/>
  <c r="AB28" i="15" l="1"/>
  <c r="AF28" i="15"/>
  <c r="W28" i="15"/>
  <c r="S28" i="15"/>
  <c r="O28" i="15"/>
  <c r="L28" i="15"/>
  <c r="J28" i="15"/>
  <c r="I28" i="15"/>
  <c r="AB27" i="15" l="1"/>
  <c r="AF27" i="15"/>
  <c r="W27" i="15"/>
  <c r="S27" i="15"/>
  <c r="L27" i="15"/>
  <c r="O27" i="15"/>
  <c r="J27" i="15"/>
  <c r="I27" i="15"/>
  <c r="AB26" i="15" l="1"/>
  <c r="AF26" i="15"/>
  <c r="W26" i="15"/>
  <c r="S26" i="15"/>
  <c r="O26" i="15"/>
  <c r="L26" i="15"/>
  <c r="J26" i="15"/>
  <c r="I26" i="15"/>
  <c r="B26" i="15"/>
  <c r="AB25" i="15" l="1"/>
  <c r="AF25" i="15"/>
  <c r="W25" i="15"/>
  <c r="S25" i="15"/>
  <c r="O25" i="15"/>
  <c r="L25" i="15"/>
  <c r="J25" i="15"/>
  <c r="I25" i="15"/>
  <c r="AB24" i="15" l="1"/>
  <c r="AF24" i="15"/>
  <c r="W24" i="15"/>
  <c r="S24" i="15"/>
  <c r="O24" i="15"/>
  <c r="L24" i="15"/>
  <c r="J24" i="15"/>
  <c r="I24" i="15"/>
  <c r="AB23" i="15" l="1"/>
  <c r="AF23" i="15"/>
  <c r="W23" i="15"/>
  <c r="S23" i="15"/>
  <c r="L23" i="15"/>
  <c r="O23" i="15"/>
  <c r="J23" i="15"/>
  <c r="I23" i="15"/>
  <c r="AB22" i="15" l="1"/>
  <c r="AF22" i="15"/>
  <c r="W22" i="15"/>
  <c r="S22" i="15"/>
  <c r="O22" i="15"/>
  <c r="L22" i="15"/>
  <c r="J22" i="15"/>
  <c r="I22" i="15"/>
  <c r="AB21" i="15" l="1"/>
  <c r="AF21" i="15"/>
  <c r="W21" i="15"/>
  <c r="S21" i="15"/>
  <c r="O21" i="15"/>
  <c r="L21" i="15"/>
  <c r="J21" i="15"/>
  <c r="I21" i="15"/>
  <c r="AB20" i="15" l="1"/>
  <c r="AF20" i="15"/>
  <c r="W20" i="15"/>
  <c r="S20" i="15"/>
  <c r="L20" i="15"/>
  <c r="O20" i="15"/>
  <c r="J20" i="15"/>
  <c r="I20" i="15"/>
  <c r="AB19" i="15" l="1"/>
  <c r="AF19" i="15"/>
  <c r="W19" i="15"/>
  <c r="S19" i="15"/>
  <c r="O19" i="15"/>
  <c r="L19" i="15"/>
  <c r="J19" i="15"/>
  <c r="I19" i="15"/>
  <c r="AB18" i="15" l="1"/>
  <c r="AF18" i="15"/>
  <c r="W18" i="15"/>
  <c r="S18" i="15"/>
  <c r="O18" i="15"/>
  <c r="L18" i="15"/>
  <c r="J18" i="15"/>
  <c r="I18" i="15"/>
  <c r="AB17" i="15" l="1"/>
  <c r="W17" i="15"/>
  <c r="S17" i="15"/>
  <c r="O17" i="15"/>
  <c r="L17" i="15"/>
  <c r="AF17" i="15"/>
  <c r="J17" i="15"/>
  <c r="I17" i="15"/>
  <c r="AB16" i="15" l="1"/>
  <c r="AF16" i="15"/>
  <c r="W16" i="15"/>
  <c r="S16" i="15"/>
  <c r="L16" i="15"/>
  <c r="O16" i="15"/>
  <c r="J16" i="15"/>
  <c r="I16" i="15"/>
  <c r="AB15" i="15" l="1"/>
  <c r="AF15" i="15"/>
  <c r="W15" i="15"/>
  <c r="S15" i="15"/>
  <c r="L15" i="15"/>
  <c r="O15" i="15"/>
  <c r="J15" i="15"/>
  <c r="I15" i="15"/>
  <c r="AB14" i="15" l="1"/>
  <c r="AF14" i="15"/>
  <c r="W14" i="15"/>
  <c r="S14" i="15"/>
  <c r="O14" i="15"/>
  <c r="L14" i="15"/>
  <c r="J14" i="15"/>
  <c r="I14" i="15"/>
  <c r="AB13" i="15" l="1"/>
  <c r="AF13" i="15"/>
  <c r="W13" i="15"/>
  <c r="O13" i="15"/>
  <c r="L13" i="15"/>
  <c r="S13" i="15"/>
  <c r="J13" i="15"/>
  <c r="I13" i="15"/>
  <c r="AB12" i="15" l="1"/>
  <c r="AF12" i="15"/>
  <c r="W12" i="15"/>
  <c r="S12" i="15"/>
  <c r="O12" i="15"/>
  <c r="L12" i="15"/>
  <c r="J12" i="15"/>
  <c r="I12" i="15"/>
  <c r="AB11" i="15" l="1"/>
  <c r="AF11" i="15"/>
  <c r="W11" i="15"/>
  <c r="S11" i="15"/>
  <c r="L11" i="15"/>
  <c r="O11" i="15"/>
  <c r="J11" i="15"/>
  <c r="I11" i="15"/>
  <c r="AF10" i="15" l="1"/>
  <c r="AB10" i="15"/>
  <c r="W10" i="15"/>
  <c r="S10" i="15"/>
  <c r="O10" i="15"/>
  <c r="L10" i="15"/>
  <c r="J10" i="15"/>
  <c r="I10" i="15"/>
  <c r="AB9" i="15" l="1"/>
  <c r="AF9" i="15"/>
  <c r="W9" i="15"/>
  <c r="S9" i="15"/>
  <c r="O9" i="15"/>
  <c r="L9" i="15"/>
  <c r="J9" i="15"/>
  <c r="I9" i="15"/>
  <c r="AB8" i="15" l="1"/>
  <c r="AF8" i="15"/>
  <c r="W8" i="15"/>
  <c r="S8" i="15"/>
  <c r="O8" i="15"/>
  <c r="L8" i="15"/>
  <c r="J8" i="15"/>
  <c r="I8" i="15"/>
  <c r="AB7" i="15" l="1"/>
  <c r="AF7" i="15"/>
  <c r="W7" i="15"/>
  <c r="S7" i="15"/>
  <c r="L7" i="15"/>
  <c r="O7" i="15"/>
  <c r="J7" i="15"/>
  <c r="I7" i="15"/>
  <c r="AF6" i="15" l="1"/>
  <c r="AB6" i="15"/>
  <c r="W6" i="15"/>
  <c r="O6" i="15"/>
  <c r="L6" i="15"/>
  <c r="S6" i="15"/>
  <c r="J6" i="15"/>
  <c r="I6" i="15"/>
  <c r="AB5" i="15" l="1"/>
  <c r="AF5" i="15"/>
  <c r="W5" i="15"/>
  <c r="S5" i="15"/>
  <c r="O5" i="15"/>
  <c r="L5" i="15"/>
  <c r="J5" i="15"/>
  <c r="I5" i="15"/>
  <c r="AB4" i="15" l="1"/>
  <c r="AC5" i="15" s="1"/>
  <c r="AF4" i="15"/>
  <c r="W4" i="15"/>
  <c r="O4" i="15"/>
  <c r="L4" i="15"/>
  <c r="L43" i="15" s="1"/>
  <c r="L60" i="15" s="1"/>
  <c r="C4" i="15" s="1"/>
  <c r="S4" i="15"/>
  <c r="J4" i="15"/>
  <c r="J60" i="15" s="1"/>
  <c r="I4" i="15"/>
  <c r="J62" i="15" l="1"/>
  <c r="AG4" i="15"/>
  <c r="AG55" i="15"/>
  <c r="AG54" i="15"/>
  <c r="AG53" i="15"/>
  <c r="AG52" i="15"/>
  <c r="AG51" i="15"/>
  <c r="AG50" i="15"/>
  <c r="AG49" i="15"/>
  <c r="AG48" i="15"/>
  <c r="AG47" i="15"/>
  <c r="AG38" i="15"/>
  <c r="AG37" i="15"/>
  <c r="AG36" i="15"/>
  <c r="AG35" i="15"/>
  <c r="AG34" i="15"/>
  <c r="AG33" i="15"/>
  <c r="AG32" i="15"/>
  <c r="AG31" i="15"/>
  <c r="AG29" i="15"/>
  <c r="AG28" i="15"/>
  <c r="AG27" i="15"/>
  <c r="AG26" i="15"/>
  <c r="AG25" i="15"/>
  <c r="AG24" i="15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X4" i="15"/>
  <c r="X55" i="15"/>
  <c r="X54" i="15"/>
  <c r="X53" i="15"/>
  <c r="X52" i="15"/>
  <c r="X51" i="15"/>
  <c r="X50" i="15"/>
  <c r="X49" i="15"/>
  <c r="X48" i="15"/>
  <c r="X47" i="15"/>
  <c r="X39" i="15"/>
  <c r="X38" i="15"/>
  <c r="X37" i="15"/>
  <c r="X36" i="15"/>
  <c r="X35" i="15"/>
  <c r="X34" i="15"/>
  <c r="X33" i="15"/>
  <c r="X32" i="15"/>
  <c r="X31" i="15"/>
  <c r="X30" i="15"/>
  <c r="X29" i="15"/>
  <c r="X28" i="15"/>
  <c r="X27" i="15"/>
  <c r="X26" i="15"/>
  <c r="X25" i="15"/>
  <c r="X24" i="15"/>
  <c r="X23" i="15"/>
  <c r="X22" i="15"/>
  <c r="X21" i="15"/>
  <c r="X20" i="15"/>
  <c r="X19" i="15"/>
  <c r="X18" i="15"/>
  <c r="X17" i="15"/>
  <c r="X16" i="15"/>
  <c r="X15" i="15"/>
  <c r="X14" i="15"/>
  <c r="X13" i="15"/>
  <c r="X12" i="15"/>
  <c r="X11" i="15"/>
  <c r="X10" i="15"/>
  <c r="X9" i="15"/>
  <c r="X8" i="15"/>
  <c r="X7" i="15"/>
  <c r="X6" i="15"/>
  <c r="AC4" i="15"/>
  <c r="AC55" i="15"/>
  <c r="AC54" i="15"/>
  <c r="AC53" i="15"/>
  <c r="AC52" i="15"/>
  <c r="AC51" i="15"/>
  <c r="AC50" i="15"/>
  <c r="AC49" i="15"/>
  <c r="AC48" i="15"/>
  <c r="AC47" i="15"/>
  <c r="AC38" i="15"/>
  <c r="AC37" i="15"/>
  <c r="AC36" i="15"/>
  <c r="AC35" i="15"/>
  <c r="AC34" i="15"/>
  <c r="AC33" i="15"/>
  <c r="AC32" i="15"/>
  <c r="AC31" i="15"/>
  <c r="AC30" i="15"/>
  <c r="AC29" i="15"/>
  <c r="AC28" i="15"/>
  <c r="AC27" i="15"/>
  <c r="AC26" i="15"/>
  <c r="AC25" i="15"/>
  <c r="AC24" i="15"/>
  <c r="AC23" i="15"/>
  <c r="AC22" i="15"/>
  <c r="AC21" i="15"/>
  <c r="AC20" i="15"/>
  <c r="AC19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X5" i="15"/>
  <c r="AG5" i="15"/>
  <c r="L63" i="15"/>
  <c r="C55" i="15"/>
  <c r="C54" i="15"/>
  <c r="C53" i="15"/>
  <c r="C52" i="15"/>
  <c r="C51" i="15"/>
  <c r="C50" i="15"/>
  <c r="C49" i="15"/>
  <c r="C48" i="15"/>
  <c r="K57" i="15"/>
  <c r="C47" i="15"/>
  <c r="C39" i="15"/>
  <c r="C38" i="15"/>
  <c r="C37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R1" i="15"/>
  <c r="J63" i="15" l="1"/>
  <c r="J64" i="15" s="1"/>
  <c r="CI2" i="25" l="1"/>
  <c r="CI4" i="25" s="1"/>
  <c r="CJ4" i="25" s="1"/>
  <c r="K76" i="13"/>
  <c r="F52" i="22"/>
  <c r="CF2" i="25"/>
  <c r="F22" i="26"/>
  <c r="AJ57" i="12" l="1"/>
  <c r="U57" i="12" l="1"/>
  <c r="AB57" i="12" l="1"/>
  <c r="K57" i="12"/>
  <c r="G57" i="12"/>
  <c r="AJ56" i="12" l="1"/>
  <c r="Q57" i="12"/>
  <c r="L57" i="12"/>
  <c r="U56" i="12" l="1"/>
  <c r="AB56" i="12" l="1"/>
  <c r="K56" i="12"/>
  <c r="G56" i="12"/>
  <c r="AJ55" i="12" l="1"/>
  <c r="Q56" i="12"/>
  <c r="L56" i="12"/>
  <c r="U55" i="12" l="1"/>
  <c r="AB55" i="12" l="1"/>
  <c r="K55" i="12"/>
  <c r="G55" i="12"/>
  <c r="AJ54" i="12" l="1"/>
  <c r="L55" i="12"/>
  <c r="Q55" i="12"/>
  <c r="U54" i="12" l="1"/>
  <c r="AB54" i="12" l="1"/>
  <c r="K54" i="12"/>
  <c r="G54" i="12"/>
  <c r="AJ53" i="12" l="1"/>
  <c r="L54" i="12"/>
  <c r="Q54" i="12"/>
  <c r="AB53" i="12" l="1"/>
  <c r="K53" i="12"/>
  <c r="G53" i="12"/>
  <c r="AJ52" i="12" l="1"/>
  <c r="Q53" i="12"/>
  <c r="L53" i="12"/>
  <c r="U52" i="12" l="1"/>
  <c r="AB52" i="12" l="1"/>
  <c r="K52" i="12"/>
  <c r="G52" i="12"/>
  <c r="AJ51" i="12" l="1"/>
  <c r="Q52" i="12"/>
  <c r="L52" i="12"/>
  <c r="U51" i="12" l="1"/>
  <c r="AB51" i="12" l="1"/>
  <c r="K51" i="12"/>
  <c r="G51" i="12"/>
  <c r="AJ50" i="12" l="1"/>
  <c r="Q51" i="12"/>
  <c r="L51" i="12"/>
  <c r="U50" i="12" l="1"/>
  <c r="AB50" i="12" l="1"/>
  <c r="K50" i="12"/>
  <c r="G50" i="12"/>
  <c r="AJ49" i="12" l="1"/>
  <c r="L50" i="12"/>
  <c r="Q50" i="12"/>
  <c r="U49" i="12" l="1"/>
  <c r="V49" i="12" l="1"/>
  <c r="V57" i="12"/>
  <c r="V56" i="12"/>
  <c r="V55" i="12"/>
  <c r="V54" i="12"/>
  <c r="V52" i="12"/>
  <c r="V51" i="12"/>
  <c r="V50" i="12"/>
  <c r="AB49" i="12"/>
  <c r="K49" i="12"/>
  <c r="G49" i="12"/>
  <c r="AJ40" i="12" l="1"/>
  <c r="Q49" i="12"/>
  <c r="L49" i="12"/>
  <c r="R49" i="12" l="1"/>
  <c r="R57" i="12"/>
  <c r="R56" i="12"/>
  <c r="R55" i="12"/>
  <c r="R54" i="12"/>
  <c r="R53" i="12"/>
  <c r="R52" i="12"/>
  <c r="R51" i="12"/>
  <c r="R50" i="12"/>
  <c r="M49" i="12"/>
  <c r="M57" i="12"/>
  <c r="M56" i="12"/>
  <c r="M55" i="12"/>
  <c r="M54" i="12"/>
  <c r="M53" i="12"/>
  <c r="M52" i="12"/>
  <c r="M51" i="12"/>
  <c r="M50" i="12"/>
  <c r="U40" i="12"/>
  <c r="AB40" i="12" l="1"/>
  <c r="K40" i="12"/>
  <c r="G40" i="12"/>
  <c r="AJ39" i="12" l="1"/>
  <c r="L40" i="12"/>
  <c r="Q40" i="12"/>
  <c r="U39" i="12" l="1"/>
  <c r="AB39" i="12" l="1"/>
  <c r="K39" i="12"/>
  <c r="G39" i="12"/>
  <c r="AJ38" i="12" l="1"/>
  <c r="L39" i="12"/>
  <c r="Q39" i="12"/>
  <c r="U38" i="12" l="1"/>
  <c r="K38" i="12" l="1"/>
  <c r="G38" i="12"/>
  <c r="AJ37" i="12" l="1"/>
  <c r="Q38" i="12"/>
  <c r="L38" i="12"/>
  <c r="U37" i="12" l="1"/>
  <c r="AB37" i="12" l="1"/>
  <c r="K37" i="12"/>
  <c r="G37" i="12"/>
  <c r="AJ36" i="12" l="1"/>
  <c r="L37" i="12"/>
  <c r="Q37" i="12"/>
  <c r="U36" i="12" l="1"/>
  <c r="AB36" i="12" l="1"/>
  <c r="K36" i="12"/>
  <c r="G36" i="12"/>
  <c r="AJ35" i="12" l="1"/>
  <c r="Q36" i="12"/>
  <c r="L36" i="12"/>
  <c r="U35" i="12" l="1"/>
  <c r="AB35" i="12" l="1"/>
  <c r="K35" i="12"/>
  <c r="G35" i="12"/>
  <c r="AJ34" i="12" l="1"/>
  <c r="L35" i="12"/>
  <c r="Q35" i="12"/>
  <c r="U34" i="12" l="1"/>
  <c r="K34" i="12" l="1"/>
  <c r="G34" i="12"/>
  <c r="AJ33" i="12" l="1"/>
  <c r="Q34" i="12"/>
  <c r="L34" i="12"/>
  <c r="U33" i="12" l="1"/>
  <c r="AB33" i="12" l="1"/>
  <c r="K33" i="12"/>
  <c r="G33" i="12"/>
  <c r="AJ32" i="12" l="1"/>
  <c r="L33" i="12"/>
  <c r="Q33" i="12"/>
  <c r="AB32" i="12" l="1"/>
  <c r="K32" i="12"/>
  <c r="G32" i="12"/>
  <c r="AJ31" i="12" l="1"/>
  <c r="Q32" i="12"/>
  <c r="L32" i="12"/>
  <c r="U31" i="12" l="1"/>
  <c r="AB31" i="12" l="1"/>
  <c r="K31" i="12"/>
  <c r="G31" i="12"/>
  <c r="AJ30" i="12" l="1"/>
  <c r="L31" i="12"/>
  <c r="Q31" i="12"/>
  <c r="AB30" i="12" l="1"/>
  <c r="G30" i="12"/>
  <c r="AJ29" i="12" l="1"/>
  <c r="AB29" i="12" l="1"/>
  <c r="K29" i="12"/>
  <c r="G29" i="12"/>
  <c r="AJ28" i="12" l="1"/>
  <c r="Q29" i="12"/>
  <c r="L29" i="12"/>
  <c r="U28" i="12" l="1"/>
  <c r="AB28" i="12" l="1"/>
  <c r="K28" i="12"/>
  <c r="G28" i="12"/>
  <c r="AJ27" i="12" l="1"/>
  <c r="L28" i="12"/>
  <c r="Q28" i="12"/>
  <c r="K27" i="12" l="1"/>
  <c r="G27" i="12"/>
  <c r="AJ26" i="12" l="1"/>
  <c r="Q27" i="12"/>
  <c r="L27" i="12"/>
  <c r="U26" i="12" l="1"/>
  <c r="AB26" i="12" l="1"/>
  <c r="K26" i="12"/>
  <c r="G26" i="12"/>
  <c r="AJ25" i="12" l="1"/>
  <c r="L26" i="12"/>
  <c r="Q26" i="12"/>
  <c r="AB25" i="12" l="1"/>
  <c r="K25" i="12"/>
  <c r="G25" i="12"/>
  <c r="AJ24" i="12" l="1"/>
  <c r="Q25" i="12"/>
  <c r="L25" i="12"/>
  <c r="U24" i="12" l="1"/>
  <c r="AB24" i="12" l="1"/>
  <c r="K24" i="12"/>
  <c r="G24" i="12"/>
  <c r="AJ23" i="12" l="1"/>
  <c r="L24" i="12"/>
  <c r="Q24" i="12"/>
  <c r="AB23" i="12" l="1"/>
  <c r="K23" i="12"/>
  <c r="G23" i="12"/>
  <c r="AJ22" i="12" l="1"/>
  <c r="Q23" i="12"/>
  <c r="L23" i="12"/>
  <c r="U22" i="12" l="1"/>
  <c r="AB22" i="12" l="1"/>
  <c r="K22" i="12"/>
  <c r="G22" i="12"/>
  <c r="AJ21" i="12" l="1"/>
  <c r="Q22" i="12"/>
  <c r="L22" i="12"/>
  <c r="AB21" i="12" l="1"/>
  <c r="K21" i="12"/>
  <c r="G21" i="12"/>
  <c r="AJ20" i="12" l="1"/>
  <c r="Q21" i="12"/>
  <c r="L21" i="12"/>
  <c r="U20" i="12" l="1"/>
  <c r="K20" i="12" l="1"/>
  <c r="G20" i="12"/>
  <c r="AJ19" i="12" l="1"/>
  <c r="Q20" i="12"/>
  <c r="L20" i="12"/>
  <c r="U19" i="12" l="1"/>
  <c r="K19" i="12" l="1"/>
  <c r="G19" i="12"/>
  <c r="AJ18" i="12" l="1"/>
  <c r="L19" i="12"/>
  <c r="Q19" i="12"/>
  <c r="U18" i="12" l="1"/>
  <c r="AB18" i="12" l="1"/>
  <c r="K18" i="12"/>
  <c r="G18" i="12"/>
  <c r="AJ17" i="12" l="1"/>
  <c r="Q18" i="12"/>
  <c r="L18" i="12"/>
  <c r="U17" i="12" l="1"/>
  <c r="K17" i="12" l="1"/>
  <c r="G17" i="12"/>
  <c r="AJ16" i="12" l="1"/>
  <c r="Q17" i="12"/>
  <c r="L17" i="12"/>
  <c r="U16" i="12" l="1"/>
  <c r="K16" i="12" l="1"/>
  <c r="G16" i="12"/>
  <c r="AJ15" i="12" l="1"/>
  <c r="Q16" i="12"/>
  <c r="L16" i="12"/>
  <c r="U15" i="12" l="1"/>
  <c r="AB15" i="12" l="1"/>
  <c r="K15" i="12"/>
  <c r="G15" i="12"/>
  <c r="AJ14" i="12" l="1"/>
  <c r="L15" i="12"/>
  <c r="Q15" i="12"/>
  <c r="U14" i="12" l="1"/>
  <c r="K14" i="12" l="1"/>
  <c r="G14" i="12"/>
  <c r="AJ13" i="12" l="1"/>
  <c r="Q14" i="12"/>
  <c r="L14" i="12"/>
  <c r="U13" i="12" l="1"/>
  <c r="AB13" i="12" l="1"/>
  <c r="K13" i="12"/>
  <c r="G13" i="12"/>
  <c r="AJ12" i="12" l="1"/>
  <c r="L13" i="12"/>
  <c r="Q13" i="12"/>
  <c r="U12" i="12" l="1"/>
  <c r="AB12" i="12" l="1"/>
  <c r="K12" i="12"/>
  <c r="G12" i="12"/>
  <c r="AJ11" i="12" l="1"/>
  <c r="Q12" i="12"/>
  <c r="L12" i="12"/>
  <c r="AB11" i="12" l="1"/>
  <c r="K11" i="12"/>
  <c r="G11" i="12"/>
  <c r="AJ10" i="12" l="1"/>
  <c r="Q11" i="12"/>
  <c r="L11" i="12"/>
  <c r="U10" i="12" l="1"/>
  <c r="AB10" i="12" l="1"/>
  <c r="K10" i="12"/>
  <c r="G10" i="12"/>
  <c r="AJ9" i="12" l="1"/>
  <c r="Q10" i="12"/>
  <c r="L10" i="12"/>
  <c r="AB9" i="12" l="1"/>
  <c r="K9" i="12"/>
  <c r="G9" i="12"/>
  <c r="AJ8" i="12" l="1"/>
  <c r="Q9" i="12"/>
  <c r="L9" i="12"/>
  <c r="U8" i="12" l="1"/>
  <c r="AB8" i="12" l="1"/>
  <c r="K8" i="12"/>
  <c r="G8" i="12"/>
  <c r="AJ7" i="12" l="1"/>
  <c r="Q8" i="12"/>
  <c r="L8" i="12"/>
  <c r="U7" i="12" l="1"/>
  <c r="AB7" i="12" l="1"/>
  <c r="K7" i="12"/>
  <c r="G7" i="12"/>
  <c r="AJ6" i="12" l="1"/>
  <c r="L7" i="12"/>
  <c r="Q7" i="12"/>
  <c r="K6" i="12" l="1"/>
  <c r="G6" i="12"/>
  <c r="AJ5" i="12" l="1"/>
  <c r="L6" i="12"/>
  <c r="Q6" i="12"/>
  <c r="U5" i="12" l="1"/>
  <c r="AB5" i="12" l="1"/>
  <c r="K5" i="12"/>
  <c r="G5" i="12"/>
  <c r="AJ4" i="12" l="1"/>
  <c r="Q5" i="12"/>
  <c r="L5" i="12"/>
  <c r="U4" i="12" l="1"/>
  <c r="V40" i="12" s="1"/>
  <c r="V4" i="12" l="1"/>
  <c r="V39" i="12"/>
  <c r="V38" i="12"/>
  <c r="V37" i="12"/>
  <c r="V36" i="12"/>
  <c r="V35" i="12"/>
  <c r="V34" i="12"/>
  <c r="V33" i="12"/>
  <c r="V31" i="12"/>
  <c r="V28" i="12"/>
  <c r="V26" i="12"/>
  <c r="V24" i="12"/>
  <c r="V22" i="12"/>
  <c r="V20" i="12"/>
  <c r="V19" i="12"/>
  <c r="V18" i="12"/>
  <c r="V17" i="12"/>
  <c r="V16" i="12"/>
  <c r="V15" i="12"/>
  <c r="V14" i="12"/>
  <c r="V13" i="12"/>
  <c r="V12" i="12"/>
  <c r="V10" i="12"/>
  <c r="V8" i="12"/>
  <c r="V7" i="12"/>
  <c r="V5" i="12"/>
  <c r="K4" i="12"/>
  <c r="G4" i="12"/>
  <c r="Q4" i="12" l="1"/>
  <c r="L4" i="12"/>
  <c r="M4" i="12" l="1"/>
  <c r="M40" i="12"/>
  <c r="M39" i="12"/>
  <c r="M38" i="12"/>
  <c r="M37" i="12"/>
  <c r="M36" i="12"/>
  <c r="M35" i="12"/>
  <c r="M34" i="12"/>
  <c r="M33" i="12"/>
  <c r="M32" i="12"/>
  <c r="M31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R4" i="12"/>
  <c r="R40" i="12"/>
  <c r="R39" i="12"/>
  <c r="R38" i="12"/>
  <c r="R37" i="12"/>
  <c r="R36" i="12"/>
  <c r="R35" i="12"/>
  <c r="R34" i="12"/>
  <c r="R33" i="12"/>
  <c r="R32" i="12"/>
  <c r="R31" i="12"/>
  <c r="R29" i="12"/>
  <c r="R28" i="12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12" i="12"/>
  <c r="R11" i="12"/>
  <c r="R10" i="12"/>
  <c r="R9" i="12"/>
  <c r="R8" i="12"/>
  <c r="R7" i="12"/>
  <c r="R6" i="12"/>
  <c r="R5" i="12"/>
  <c r="H56" i="30" l="1"/>
  <c r="N53" i="30"/>
  <c r="N48" i="30"/>
  <c r="L47" i="30" l="1"/>
  <c r="W44" i="30"/>
  <c r="Z41" i="30" l="1"/>
  <c r="U41" i="30"/>
  <c r="Q41" i="30"/>
  <c r="N41" i="30"/>
  <c r="L41" i="30" l="1"/>
  <c r="K41" i="30"/>
  <c r="Z40" i="30" l="1"/>
  <c r="U40" i="30"/>
  <c r="Q40" i="30"/>
  <c r="N40" i="30"/>
  <c r="L40" i="30" l="1"/>
  <c r="K40" i="30"/>
  <c r="Z39" i="30"/>
  <c r="U39" i="30"/>
  <c r="Q39" i="30"/>
  <c r="N39" i="30"/>
  <c r="L39" i="30" l="1"/>
  <c r="K39" i="30"/>
  <c r="C39" i="30"/>
  <c r="Z38" i="30" l="1"/>
  <c r="U38" i="30"/>
  <c r="Q38" i="30"/>
  <c r="N38" i="30"/>
  <c r="L38" i="30" l="1"/>
  <c r="K38" i="30"/>
  <c r="C38" i="30"/>
  <c r="Z37" i="30" l="1"/>
  <c r="U37" i="30"/>
  <c r="Q37" i="30"/>
  <c r="N37" i="30"/>
  <c r="L37" i="30" l="1"/>
  <c r="K37" i="30"/>
  <c r="D37" i="30"/>
  <c r="Z36" i="30" l="1"/>
  <c r="U36" i="30"/>
  <c r="Q36" i="30"/>
  <c r="N36" i="30"/>
  <c r="L36" i="30" l="1"/>
  <c r="K36" i="30"/>
  <c r="Z35" i="30" l="1"/>
  <c r="U35" i="30"/>
  <c r="Q35" i="30"/>
  <c r="N35" i="30"/>
  <c r="L35" i="30" l="1"/>
  <c r="K35" i="30"/>
  <c r="Z34" i="30" l="1"/>
  <c r="U34" i="30"/>
  <c r="Q34" i="30"/>
  <c r="N34" i="30"/>
  <c r="L34" i="30" l="1"/>
  <c r="K34" i="30"/>
  <c r="C34" i="30"/>
  <c r="Z33" i="30" l="1"/>
  <c r="U33" i="30"/>
  <c r="Q33" i="30"/>
  <c r="N33" i="30"/>
  <c r="L33" i="30" l="1"/>
  <c r="K33" i="30"/>
  <c r="Z32" i="30" l="1"/>
  <c r="U32" i="30"/>
  <c r="Q32" i="30"/>
  <c r="N32" i="30"/>
  <c r="L32" i="30" l="1"/>
  <c r="K32" i="30"/>
  <c r="C32" i="30"/>
  <c r="Z31" i="30" l="1"/>
  <c r="U31" i="30"/>
  <c r="Q31" i="30"/>
  <c r="N31" i="30"/>
  <c r="L31" i="30" l="1"/>
  <c r="K31" i="30"/>
  <c r="Z30" i="30" l="1"/>
  <c r="U30" i="30"/>
  <c r="Q30" i="30"/>
  <c r="N30" i="30"/>
  <c r="L30" i="30" l="1"/>
  <c r="K30" i="30"/>
  <c r="Z29" i="30" l="1"/>
  <c r="U29" i="30"/>
  <c r="Q29" i="30"/>
  <c r="N29" i="30"/>
  <c r="L29" i="30" l="1"/>
  <c r="K29" i="30"/>
  <c r="Z28" i="30" l="1"/>
  <c r="U28" i="30"/>
  <c r="Q28" i="30"/>
  <c r="N28" i="30"/>
  <c r="L28" i="30" l="1"/>
  <c r="K28" i="30"/>
  <c r="Z27" i="30" l="1"/>
  <c r="U27" i="30"/>
  <c r="Q27" i="30"/>
  <c r="N27" i="30"/>
  <c r="L27" i="30" l="1"/>
  <c r="K27" i="30"/>
  <c r="Z26" i="30" l="1"/>
  <c r="U26" i="30"/>
  <c r="Q26" i="30"/>
  <c r="N26" i="30"/>
  <c r="L26" i="30" l="1"/>
  <c r="K26" i="30"/>
  <c r="Z25" i="30" l="1"/>
  <c r="U25" i="30"/>
  <c r="Q25" i="30"/>
  <c r="N25" i="30"/>
  <c r="L25" i="30" l="1"/>
  <c r="K25" i="30"/>
  <c r="C25" i="30"/>
  <c r="Z24" i="30" l="1"/>
  <c r="U24" i="30"/>
  <c r="Q24" i="30"/>
  <c r="N24" i="30"/>
  <c r="L24" i="30" l="1"/>
  <c r="K24" i="30"/>
  <c r="Z23" i="30" l="1"/>
  <c r="U23" i="30"/>
  <c r="Q23" i="30"/>
  <c r="N23" i="30"/>
  <c r="L23" i="30" l="1"/>
  <c r="K23" i="30"/>
  <c r="C23" i="30"/>
  <c r="Z22" i="30" l="1"/>
  <c r="U22" i="30"/>
  <c r="Q22" i="30"/>
  <c r="N22" i="30"/>
  <c r="L22" i="30" l="1"/>
  <c r="K22" i="30"/>
  <c r="D22" i="30"/>
  <c r="Z21" i="30" l="1"/>
  <c r="U21" i="30"/>
  <c r="Q21" i="30"/>
  <c r="N21" i="30"/>
  <c r="L21" i="30" l="1"/>
  <c r="K21" i="30"/>
  <c r="Z20" i="30" l="1"/>
  <c r="U20" i="30"/>
  <c r="Q20" i="30"/>
  <c r="N20" i="30"/>
  <c r="L20" i="30" l="1"/>
  <c r="K20" i="30"/>
  <c r="Z19" i="30" l="1"/>
  <c r="U19" i="30"/>
  <c r="Q19" i="30"/>
  <c r="N19" i="30"/>
  <c r="L19" i="30" l="1"/>
  <c r="K19" i="30"/>
  <c r="Z18" i="30" l="1"/>
  <c r="U18" i="30"/>
  <c r="Q18" i="30"/>
  <c r="N18" i="30"/>
  <c r="L18" i="30" l="1"/>
  <c r="K18" i="30"/>
  <c r="Z17" i="30" l="1"/>
  <c r="U17" i="30"/>
  <c r="Q17" i="30"/>
  <c r="N17" i="30"/>
  <c r="L17" i="30" l="1"/>
  <c r="K17" i="30"/>
  <c r="Z16" i="30" l="1"/>
  <c r="U16" i="30"/>
  <c r="Q16" i="30"/>
  <c r="N16" i="30"/>
  <c r="L16" i="30" l="1"/>
  <c r="K16" i="30"/>
  <c r="Z15" i="30" l="1"/>
  <c r="U15" i="30"/>
  <c r="Q15" i="30"/>
  <c r="N15" i="30"/>
  <c r="L15" i="30" l="1"/>
  <c r="K15" i="30"/>
  <c r="Z14" i="30" l="1"/>
  <c r="U14" i="30"/>
  <c r="Q14" i="30"/>
  <c r="N14" i="30"/>
  <c r="L14" i="30" l="1"/>
  <c r="K14" i="30"/>
  <c r="Z13" i="30" l="1"/>
  <c r="U13" i="30"/>
  <c r="Q13" i="30"/>
  <c r="N13" i="30"/>
  <c r="L13" i="30" l="1"/>
  <c r="K13" i="30"/>
  <c r="Z12" i="30" l="1"/>
  <c r="U12" i="30"/>
  <c r="Q12" i="30"/>
  <c r="N12" i="30"/>
  <c r="L12" i="30" l="1"/>
  <c r="K12" i="30"/>
  <c r="Z11" i="30" l="1"/>
  <c r="U11" i="30"/>
  <c r="Q11" i="30"/>
  <c r="N11" i="30"/>
  <c r="L11" i="30" l="1"/>
  <c r="K11" i="30"/>
  <c r="Z10" i="30" l="1"/>
  <c r="U10" i="30"/>
  <c r="Q10" i="30"/>
  <c r="N10" i="30"/>
  <c r="L10" i="30" l="1"/>
  <c r="K10" i="30"/>
  <c r="Z9" i="30" l="1"/>
  <c r="U9" i="30"/>
  <c r="Q9" i="30"/>
  <c r="N9" i="30"/>
  <c r="L9" i="30" l="1"/>
  <c r="K9" i="30"/>
  <c r="Z8" i="30" l="1"/>
  <c r="U8" i="30"/>
  <c r="Q8" i="30"/>
  <c r="N8" i="30"/>
  <c r="L8" i="30" l="1"/>
  <c r="K8" i="30"/>
  <c r="Z7" i="30" l="1"/>
  <c r="U7" i="30"/>
  <c r="Q7" i="30"/>
  <c r="N7" i="30"/>
  <c r="L7" i="30" l="1"/>
  <c r="K7" i="30"/>
  <c r="Z6" i="30" l="1"/>
  <c r="U6" i="30"/>
  <c r="Q6" i="30"/>
  <c r="N6" i="30"/>
  <c r="L6" i="30" l="1"/>
  <c r="K6" i="30"/>
  <c r="Z5" i="30" l="1"/>
  <c r="U5" i="30"/>
  <c r="Q5" i="30"/>
  <c r="N5" i="30"/>
  <c r="L5" i="30" l="1"/>
  <c r="K5" i="30"/>
  <c r="Z4" i="30" l="1"/>
  <c r="U4" i="30"/>
  <c r="Q4" i="30"/>
  <c r="N4" i="30"/>
  <c r="N44" i="30" s="1"/>
  <c r="AA41" i="30" l="1"/>
  <c r="AA40" i="30"/>
  <c r="AA38" i="30"/>
  <c r="AA37" i="30"/>
  <c r="AA36" i="30"/>
  <c r="AA35" i="30"/>
  <c r="AA34" i="30"/>
  <c r="AA33" i="30"/>
  <c r="AA32" i="30"/>
  <c r="AA31" i="30"/>
  <c r="AA30" i="30"/>
  <c r="AA29" i="30"/>
  <c r="AA28" i="30"/>
  <c r="AA27" i="30"/>
  <c r="AA26" i="30"/>
  <c r="AA25" i="30"/>
  <c r="AA24" i="30"/>
  <c r="AA23" i="30"/>
  <c r="AA22" i="30"/>
  <c r="AA21" i="30"/>
  <c r="AA20" i="30"/>
  <c r="AA19" i="30"/>
  <c r="AA18" i="30"/>
  <c r="AA17" i="30"/>
  <c r="AA16" i="30"/>
  <c r="AA15" i="30"/>
  <c r="AA14" i="30"/>
  <c r="AA13" i="30"/>
  <c r="AA12" i="30"/>
  <c r="AA11" i="30"/>
  <c r="AA10" i="30"/>
  <c r="AA9" i="30"/>
  <c r="AA8" i="30"/>
  <c r="AA7" i="30"/>
  <c r="AA6" i="30"/>
  <c r="AA5" i="30"/>
  <c r="L4" i="30"/>
  <c r="L44" i="30" s="1"/>
  <c r="L46" i="30" s="1"/>
  <c r="L48" i="30" s="1"/>
  <c r="K4" i="30"/>
  <c r="AA39" i="30"/>
  <c r="AA4" i="30"/>
  <c r="N47" i="30"/>
  <c r="N49" i="30" s="1"/>
  <c r="E41" i="30"/>
  <c r="C41" i="30" s="1"/>
  <c r="E40" i="30"/>
  <c r="C40" i="30" s="1"/>
  <c r="E37" i="30"/>
  <c r="C37" i="30" s="1"/>
  <c r="E36" i="30"/>
  <c r="C36" i="30" s="1"/>
  <c r="E35" i="30"/>
  <c r="C35" i="30" s="1"/>
  <c r="B35" i="30" s="1"/>
  <c r="E33" i="30"/>
  <c r="C33" i="30" s="1"/>
  <c r="E31" i="30"/>
  <c r="C31" i="30" s="1"/>
  <c r="E30" i="30"/>
  <c r="C30" i="30" s="1"/>
  <c r="E29" i="30"/>
  <c r="C29" i="30" s="1"/>
  <c r="E28" i="30"/>
  <c r="C28" i="30" s="1"/>
  <c r="E27" i="30"/>
  <c r="C27" i="30" s="1"/>
  <c r="E26" i="30"/>
  <c r="C26" i="30" s="1"/>
  <c r="E24" i="30"/>
  <c r="C24" i="30" s="1"/>
  <c r="E22" i="30"/>
  <c r="C22" i="30" s="1"/>
  <c r="E21" i="30"/>
  <c r="C21" i="30" s="1"/>
  <c r="E20" i="30"/>
  <c r="C20" i="30" s="1"/>
  <c r="E19" i="30"/>
  <c r="C19" i="30" s="1"/>
  <c r="E18" i="30"/>
  <c r="C18" i="30" s="1"/>
  <c r="E17" i="30"/>
  <c r="C17" i="30" s="1"/>
  <c r="E16" i="30"/>
  <c r="C16" i="30" s="1"/>
  <c r="E15" i="30"/>
  <c r="C15" i="30" s="1"/>
  <c r="E14" i="30"/>
  <c r="C14" i="30" s="1"/>
  <c r="E13" i="30"/>
  <c r="C13" i="30" s="1"/>
  <c r="E12" i="30"/>
  <c r="C12" i="30" s="1"/>
  <c r="E11" i="30"/>
  <c r="C11" i="30" s="1"/>
  <c r="E10" i="30"/>
  <c r="C10" i="30" s="1"/>
  <c r="E9" i="30"/>
  <c r="C9" i="30" s="1"/>
  <c r="E8" i="30"/>
  <c r="C8" i="30" s="1"/>
  <c r="E7" i="30"/>
  <c r="C7" i="30" s="1"/>
  <c r="E6" i="30"/>
  <c r="C6" i="30" s="1"/>
  <c r="B6" i="30" s="1"/>
  <c r="E5" i="30"/>
  <c r="C5" i="30" s="1"/>
  <c r="E4" i="30"/>
  <c r="C4" i="30"/>
  <c r="B18" i="30" l="1"/>
  <c r="B33" i="30"/>
  <c r="B7" i="30"/>
  <c r="B19" i="30"/>
  <c r="B8" i="30"/>
  <c r="B20" i="30"/>
  <c r="B36" i="30"/>
  <c r="B9" i="30"/>
  <c r="B21" i="30"/>
  <c r="B37" i="30"/>
  <c r="B10" i="30"/>
  <c r="B22" i="30"/>
  <c r="B40" i="30"/>
  <c r="B11" i="30"/>
  <c r="B24" i="30"/>
  <c r="B41" i="30"/>
  <c r="B12" i="30"/>
  <c r="B26" i="30"/>
  <c r="B13" i="30"/>
  <c r="B27" i="30"/>
  <c r="B4" i="30"/>
  <c r="B14" i="30"/>
  <c r="B28" i="30"/>
  <c r="B39" i="30"/>
  <c r="B38" i="30"/>
  <c r="B34" i="30"/>
  <c r="B32" i="30"/>
  <c r="B25" i="30"/>
  <c r="B23" i="30"/>
  <c r="B15" i="30"/>
  <c r="B29" i="30"/>
  <c r="B16" i="30"/>
  <c r="B30" i="30"/>
  <c r="B5" i="30"/>
  <c r="B17" i="30"/>
  <c r="B31" i="30"/>
  <c r="F53" i="22" l="1"/>
  <c r="A147" i="23" s="1"/>
  <c r="F51" i="22"/>
  <c r="CF3" i="25"/>
  <c r="CF4" i="25" s="1"/>
  <c r="CG4" i="25" s="1"/>
  <c r="F21" i="26"/>
  <c r="F24" i="26" s="1"/>
  <c r="N45" i="30"/>
  <c r="N51" i="30"/>
  <c r="D51" i="22" l="1"/>
  <c r="R1" i="27"/>
  <c r="N24" i="27" s="1"/>
  <c r="N25" i="27" s="1"/>
  <c r="F27" i="26"/>
  <c r="F29" i="26" s="1"/>
  <c r="F19" i="26"/>
  <c r="I55" i="22"/>
  <c r="M51" i="22"/>
  <c r="M53" i="22" s="1"/>
  <c r="D5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Peterson, Keith</author>
  </authors>
  <commentList>
    <comment ref="D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2.36% </t>
        </r>
      </text>
    </comment>
    <comment ref="D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2.41% </t>
        </r>
      </text>
    </comment>
    <comment ref="D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1.61% </t>
        </r>
      </text>
    </comment>
    <comment ref="D2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1.91%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Peterson, Keith</author>
  </authors>
  <commentList>
    <comment ref="C13" authorId="0" shapeId="0" xr:uid="{8DA86DBE-6748-42D0-890E-35CBF869625A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1.61% </t>
        </r>
      </text>
    </comment>
    <comment ref="C15" authorId="0" shapeId="0" xr:uid="{EB8B8986-8BB1-41A4-B74A-0974DE18B5A9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1.91% </t>
        </r>
      </text>
    </comment>
    <comment ref="C20" authorId="0" shapeId="0" xr:uid="{A49A8145-B83B-4A36-8D2D-C60806076E8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2.36% </t>
        </r>
      </text>
    </comment>
    <comment ref="C35" authorId="0" shapeId="0" xr:uid="{3CF594FF-2A6F-4A82-80BD-51A1C32EF9D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2.41%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Peterson, Keith</author>
  </authors>
  <commentList>
    <comment ref="F8" authorId="0" shapeId="0" xr:uid="{395B0DE3-C776-4966-B60D-83E81989B59C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2.36% </t>
        </r>
      </text>
    </comment>
    <comment ref="F10" authorId="0" shapeId="0" xr:uid="{A0C326D6-61CD-4EBA-B853-21BAC99D0219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1.86% </t>
        </r>
      </text>
    </comment>
    <comment ref="F14" authorId="0" shapeId="0" xr:uid="{FC65BCA6-D88F-4802-831F-5066A66B5F14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1.91% </t>
        </r>
      </text>
    </comment>
    <comment ref="F16" authorId="0" shapeId="0" xr:uid="{04BA3E07-920A-4E8A-BA05-BEF36ED0F6D5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2.41% </t>
        </r>
      </text>
    </comment>
    <comment ref="F20" authorId="0" shapeId="0" xr:uid="{CD5F29A0-6DB4-41A5-B637-313002867C45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1.69% </t>
        </r>
      </text>
    </comment>
    <comment ref="F21" authorId="0" shapeId="0" xr:uid="{B3E8FBDC-9456-4C3B-B918-B988F44DCB26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1.17% </t>
        </r>
      </text>
    </comment>
    <comment ref="F26" authorId="0" shapeId="0" xr:uid="{5D30E4EB-A4A8-43C6-A4E2-4AAF0EA5E166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1.61%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Peterson, Keith</author>
  </authors>
  <commentList>
    <comment ref="F17" authorId="0" shapeId="0" xr:uid="{8C3294A4-339E-4BEB-9CB4-53D6DACEED8E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1.86% </t>
        </r>
      </text>
    </comment>
    <comment ref="F19" authorId="0" shapeId="0" xr:uid="{55A16182-37EE-4621-A281-CD1EB205C603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2.36% </t>
        </r>
      </text>
    </comment>
    <comment ref="F20" authorId="0" shapeId="0" xr:uid="{9E1F17E4-6BF8-4116-A904-E5A93E429E64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1.91% </t>
        </r>
      </text>
    </comment>
    <comment ref="F21" authorId="0" shapeId="0" xr:uid="{DE354215-BFED-4459-966E-85C63527C8EE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1.61% </t>
        </r>
      </text>
    </comment>
    <comment ref="F23" authorId="0" shapeId="0" xr:uid="{310D1492-4AD0-49D5-AB20-347DE87FA224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1.17% </t>
        </r>
      </text>
    </comment>
    <comment ref="F25" authorId="0" shapeId="0" xr:uid="{650D964C-BD58-4A3B-AF75-827DC233A0E7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1.69% </t>
        </r>
      </text>
    </comment>
    <comment ref="F34" authorId="0" shapeId="0" xr:uid="{64157F0E-DD15-41E3-96B0-2EEB1A521D80}">
      <text>
        <r>
          <rPr>
            <b/>
            <sz val="9"/>
            <color indexed="81"/>
            <rFont val="Tahoma"/>
            <family val="2"/>
          </rPr>
          <t>Peterson, Keith:</t>
        </r>
        <r>
          <rPr>
            <sz val="9"/>
            <color indexed="81"/>
            <rFont val="Tahoma"/>
            <family val="2"/>
          </rPr>
          <t xml:space="preserve">
including ETF exposure
</t>
        </r>
        <r>
          <rPr>
            <b/>
            <sz val="11"/>
            <color indexed="81"/>
            <rFont val="Tahoma"/>
            <family val="2"/>
          </rPr>
          <t xml:space="preserve">2.41%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<sst xmlns="http://schemas.openxmlformats.org/spreadsheetml/2006/main" count="3530" uniqueCount="1013">
  <si>
    <t>Current Position</t>
  </si>
  <si>
    <t>YTD</t>
  </si>
  <si>
    <t>current price</t>
  </si>
  <si>
    <t>PLNT</t>
  </si>
  <si>
    <t>ULTA</t>
  </si>
  <si>
    <t>TTD</t>
  </si>
  <si>
    <t>TJX</t>
  </si>
  <si>
    <t>CVX</t>
  </si>
  <si>
    <t>XOM</t>
  </si>
  <si>
    <t>LRCX</t>
  </si>
  <si>
    <t>ALGN</t>
  </si>
  <si>
    <t>BAC</t>
  </si>
  <si>
    <t>BKNG</t>
  </si>
  <si>
    <t>HD</t>
  </si>
  <si>
    <t>BX</t>
  </si>
  <si>
    <t>JPM</t>
  </si>
  <si>
    <t>IDXX</t>
  </si>
  <si>
    <t>MA</t>
  </si>
  <si>
    <t>DIS</t>
  </si>
  <si>
    <t>ISRG</t>
  </si>
  <si>
    <t>ANTM</t>
  </si>
  <si>
    <t>INTU</t>
  </si>
  <si>
    <t>XYL</t>
  </si>
  <si>
    <t>FB</t>
  </si>
  <si>
    <t>NOW</t>
  </si>
  <si>
    <t>LMT</t>
  </si>
  <si>
    <t>POOL</t>
  </si>
  <si>
    <t>CME</t>
  </si>
  <si>
    <t>GOOG</t>
  </si>
  <si>
    <t>PYPL</t>
  </si>
  <si>
    <t>ROP</t>
  </si>
  <si>
    <t>V</t>
  </si>
  <si>
    <t>UNH</t>
  </si>
  <si>
    <t>CRM</t>
  </si>
  <si>
    <t>CMCSA</t>
  </si>
  <si>
    <t>A-CN</t>
  </si>
  <si>
    <t>TYL</t>
  </si>
  <si>
    <t>AAPL</t>
  </si>
  <si>
    <t>MSFT</t>
  </si>
  <si>
    <t>DHR</t>
  </si>
  <si>
    <t>AMT</t>
  </si>
  <si>
    <t>TMO</t>
  </si>
  <si>
    <t>AMZN</t>
  </si>
  <si>
    <t>COST</t>
  </si>
  <si>
    <t>PPH</t>
  </si>
  <si>
    <t>SOXX</t>
  </si>
  <si>
    <t>KBE</t>
  </si>
  <si>
    <t>XLF</t>
  </si>
  <si>
    <t>XLP</t>
  </si>
  <si>
    <t>XTN</t>
  </si>
  <si>
    <t>HACK</t>
  </si>
  <si>
    <t>XBI</t>
  </si>
  <si>
    <t>XHE</t>
  </si>
  <si>
    <t>TOTAL PORTFOLIO VALUE</t>
  </si>
  <si>
    <t>ETFs</t>
  </si>
  <si>
    <t>CHTR</t>
  </si>
  <si>
    <t>BBH</t>
  </si>
  <si>
    <t>Rank</t>
  </si>
  <si>
    <t>Green YTD?</t>
  </si>
  <si>
    <t xml:space="preserve">current lead </t>
  </si>
  <si>
    <t>over S&amp;P</t>
  </si>
  <si>
    <t>+</t>
  </si>
  <si>
    <t>MWA</t>
  </si>
  <si>
    <t xml:space="preserve">S&amp;P </t>
  </si>
  <si>
    <t>O/W</t>
  </si>
  <si>
    <t>O/W rank</t>
  </si>
  <si>
    <t>HC</t>
  </si>
  <si>
    <t>P/E</t>
  </si>
  <si>
    <t>PEG</t>
  </si>
  <si>
    <t>DOCU</t>
  </si>
  <si>
    <t>WMT</t>
  </si>
  <si>
    <t>ECL</t>
  </si>
  <si>
    <t>TWLO</t>
  </si>
  <si>
    <t>SPX</t>
  </si>
  <si>
    <t>TODAY</t>
  </si>
  <si>
    <t>strength</t>
  </si>
  <si>
    <t>weakness</t>
  </si>
  <si>
    <t>PX_LAST</t>
  </si>
  <si>
    <t>UBER</t>
  </si>
  <si>
    <t>RNG</t>
  </si>
  <si>
    <t>HIGH_52WEEK</t>
  </si>
  <si>
    <t>HIGH_DT_52WEEK</t>
  </si>
  <si>
    <t>52 WEEK High</t>
  </si>
  <si>
    <t>Date achieved</t>
  </si>
  <si>
    <t>52 WEEK low</t>
  </si>
  <si>
    <t>low_52WEEK</t>
  </si>
  <si>
    <t>low_DT_52WEEK</t>
  </si>
  <si>
    <t>CHG_NET_1D</t>
  </si>
  <si>
    <t>CHG_PCT_1D</t>
  </si>
  <si>
    <t>Today's Gain/Loss</t>
  </si>
  <si>
    <t>Daily % +/-</t>
  </si>
  <si>
    <t>CVNA</t>
  </si>
  <si>
    <t>SPT</t>
  </si>
  <si>
    <t>TREX</t>
  </si>
  <si>
    <t>since 12/31/20</t>
  </si>
  <si>
    <t>SPGI</t>
  </si>
  <si>
    <t>Market Value</t>
  </si>
  <si>
    <t>Book Value</t>
  </si>
  <si>
    <t>Return</t>
  </si>
  <si>
    <t>BV Per share</t>
  </si>
  <si>
    <t>return rank</t>
  </si>
  <si>
    <t>Profits</t>
  </si>
  <si>
    <t>MV / BV</t>
  </si>
  <si>
    <t>% of position</t>
  </si>
  <si>
    <t>% of portfolio</t>
  </si>
  <si>
    <t>market value</t>
  </si>
  <si>
    <t>book value</t>
  </si>
  <si>
    <t>AS OF 3/31/22</t>
  </si>
  <si>
    <t>META</t>
  </si>
  <si>
    <t>AS OF 5/31/22</t>
  </si>
  <si>
    <t>ELV</t>
  </si>
  <si>
    <t>last 18 months</t>
  </si>
  <si>
    <t>XLE</t>
  </si>
  <si>
    <t>daily gain/loss</t>
  </si>
  <si>
    <t>S&amp;P</t>
  </si>
  <si>
    <t>gain/loss?</t>
  </si>
  <si>
    <t>AS OF 6/30/22</t>
  </si>
  <si>
    <t>S&amp;P YTD Return</t>
  </si>
  <si>
    <t>AS OF 7/31/22</t>
  </si>
  <si>
    <t>yesterday?</t>
  </si>
  <si>
    <t>AS OF 8/31/22</t>
  </si>
  <si>
    <t>guess</t>
  </si>
  <si>
    <t>DE</t>
  </si>
  <si>
    <t>EST_PE_CUR_YR</t>
  </si>
  <si>
    <t>Growth rate</t>
  </si>
  <si>
    <t>RANK</t>
  </si>
  <si>
    <t>Est. EPS</t>
  </si>
  <si>
    <t>UPDATE?</t>
  </si>
  <si>
    <t>EPS</t>
  </si>
  <si>
    <t>AS OF 9/30/22</t>
  </si>
  <si>
    <t>2023 EPS</t>
  </si>
  <si>
    <t>UPDATE??</t>
  </si>
  <si>
    <t>BEST_EST_LONG_TERM_GROWTH</t>
  </si>
  <si>
    <t>LHX</t>
  </si>
  <si>
    <t>Dividend</t>
  </si>
  <si>
    <t>EQY_DVD_YLD_IND_NET</t>
  </si>
  <si>
    <t>Yield</t>
  </si>
  <si>
    <t>5 Yr Growth</t>
  </si>
  <si>
    <t>EQY_DPS_NET_5YR_GROWTH</t>
  </si>
  <si>
    <t>CUR_MKt_CAP</t>
  </si>
  <si>
    <t>Market Cap (Billions)</t>
  </si>
  <si>
    <t>CF_FREE_CASH_FLOW</t>
  </si>
  <si>
    <t>LAST FY FCF</t>
  </si>
  <si>
    <t>FCF Yield</t>
  </si>
  <si>
    <t>TOT_DEBT_TO_EBITDA</t>
  </si>
  <si>
    <t>CREDIT METRICS</t>
  </si>
  <si>
    <t>Debt/Captial</t>
  </si>
  <si>
    <t>Total Debt/EBITDA</t>
  </si>
  <si>
    <t>TOT_DEBT_TO_TOT_CAP</t>
  </si>
  <si>
    <t>SCHW</t>
  </si>
  <si>
    <t>Analyst Ratings</t>
  </si>
  <si>
    <t>BUY</t>
  </si>
  <si>
    <t xml:space="preserve">HOLD </t>
  </si>
  <si>
    <t>SELL</t>
  </si>
  <si>
    <t>TOT_BUY_REC</t>
  </si>
  <si>
    <t>TOT_SELL_REC</t>
  </si>
  <si>
    <t>TOT_HOLD_REC</t>
  </si>
  <si>
    <t>TOTAL</t>
  </si>
  <si>
    <t>AS OF 10/31/22</t>
  </si>
  <si>
    <t>Profit/Loss</t>
  </si>
  <si>
    <t>Est. LT Growth</t>
  </si>
  <si>
    <t>AS OF 11/30/22</t>
  </si>
  <si>
    <t>MV/BV</t>
  </si>
  <si>
    <t>2022 YE Price</t>
  </si>
  <si>
    <t>YE 22'</t>
  </si>
  <si>
    <t>PORT daily change</t>
  </si>
  <si>
    <t>January</t>
  </si>
  <si>
    <t>AS OF 12/31/22</t>
  </si>
  <si>
    <t>variance</t>
  </si>
  <si>
    <t>10 names</t>
  </si>
  <si>
    <t>as of</t>
  </si>
  <si>
    <t>market closed</t>
  </si>
  <si>
    <t>lead over = S&amp;P return</t>
  </si>
  <si>
    <t>XLC</t>
  </si>
  <si>
    <t>XLK</t>
  </si>
  <si>
    <t>XLV</t>
  </si>
  <si>
    <t>XLI</t>
  </si>
  <si>
    <t>XLRE</t>
  </si>
  <si>
    <t>XLB</t>
  </si>
  <si>
    <t>XLY</t>
  </si>
  <si>
    <t>XLU</t>
  </si>
  <si>
    <t>weights</t>
  </si>
  <si>
    <t>Today</t>
  </si>
  <si>
    <t>Sector</t>
  </si>
  <si>
    <t>Fins</t>
  </si>
  <si>
    <t>Con Dis</t>
  </si>
  <si>
    <t>Indu</t>
  </si>
  <si>
    <t>Comm Ser</t>
  </si>
  <si>
    <t>Staples</t>
  </si>
  <si>
    <t>Energy</t>
  </si>
  <si>
    <t>Utes</t>
  </si>
  <si>
    <t>Materials</t>
  </si>
  <si>
    <t>Real Estate</t>
  </si>
  <si>
    <t>Tech</t>
  </si>
  <si>
    <t>weighted return</t>
  </si>
  <si>
    <t>rank</t>
  </si>
  <si>
    <t>our</t>
  </si>
  <si>
    <t>diff</t>
  </si>
  <si>
    <t>Core Port</t>
  </si>
  <si>
    <t>VZ</t>
  </si>
  <si>
    <t>JNJ</t>
  </si>
  <si>
    <t>DOW</t>
  </si>
  <si>
    <t>ABBV</t>
  </si>
  <si>
    <t>USB</t>
  </si>
  <si>
    <t>KMI</t>
  </si>
  <si>
    <t>BMY</t>
  </si>
  <si>
    <t>ARCC</t>
  </si>
  <si>
    <t>AEP</t>
  </si>
  <si>
    <t>DUK</t>
  </si>
  <si>
    <t>CSCO</t>
  </si>
  <si>
    <t>WPC</t>
  </si>
  <si>
    <t>CCOI</t>
  </si>
  <si>
    <t>BK</t>
  </si>
  <si>
    <t>DLR</t>
  </si>
  <si>
    <t>O</t>
  </si>
  <si>
    <t>MS</t>
  </si>
  <si>
    <t>PRU</t>
  </si>
  <si>
    <t>KHC</t>
  </si>
  <si>
    <t>MRK</t>
  </si>
  <si>
    <t>SO</t>
  </si>
  <si>
    <t>C</t>
  </si>
  <si>
    <t>D</t>
  </si>
  <si>
    <t>BLK</t>
  </si>
  <si>
    <t>AVGO</t>
  </si>
  <si>
    <t>LEG</t>
  </si>
  <si>
    <t>KO</t>
  </si>
  <si>
    <t>FE</t>
  </si>
  <si>
    <t>PFE</t>
  </si>
  <si>
    <t>MMM</t>
  </si>
  <si>
    <t>GBDC</t>
  </si>
  <si>
    <t>UNP</t>
  </si>
  <si>
    <t>GSBD</t>
  </si>
  <si>
    <t>TSLX</t>
  </si>
  <si>
    <t xml:space="preserve">weighted </t>
  </si>
  <si>
    <t>return YTD</t>
  </si>
  <si>
    <t>Port</t>
  </si>
  <si>
    <t>Weight</t>
  </si>
  <si>
    <t>cost basis</t>
  </si>
  <si>
    <t>profit/loss</t>
  </si>
  <si>
    <t>position</t>
  </si>
  <si>
    <t>Core Portfolio</t>
  </si>
  <si>
    <t>Dividend Portfolio</t>
  </si>
  <si>
    <t>Dividend Port: Market Value - Book Value</t>
  </si>
  <si>
    <t>Core Port: Market Value - Book Value</t>
  </si>
  <si>
    <t>SUM - profit from Trim</t>
  </si>
  <si>
    <t>sold so far</t>
  </si>
  <si>
    <t>Current Equity Exposure</t>
  </si>
  <si>
    <t>total after changes</t>
  </si>
  <si>
    <t>potential changes</t>
  </si>
  <si>
    <t>CORE</t>
  </si>
  <si>
    <t>DVD</t>
  </si>
  <si>
    <t>Conversions/other</t>
  </si>
  <si>
    <t>Profits?</t>
  </si>
  <si>
    <t>current profits(?):</t>
  </si>
  <si>
    <t>Proceeds</t>
  </si>
  <si>
    <t>Communication Services</t>
  </si>
  <si>
    <t>S&amp;P 500</t>
  </si>
  <si>
    <t>HOLDINGS</t>
  </si>
  <si>
    <t>Health Care</t>
  </si>
  <si>
    <t>Advertising</t>
  </si>
  <si>
    <t>Biotechnology</t>
  </si>
  <si>
    <t>Alternative Carriers</t>
  </si>
  <si>
    <t>Equipment</t>
  </si>
  <si>
    <t>Broadcasting</t>
  </si>
  <si>
    <t>Pharmaceuticals</t>
  </si>
  <si>
    <t>Cable &amp; Satellite</t>
  </si>
  <si>
    <t>Services</t>
  </si>
  <si>
    <t>Integrated Telecommunication Services</t>
  </si>
  <si>
    <t>Interactive Home Entertainment</t>
  </si>
  <si>
    <t>Life Science Tools</t>
  </si>
  <si>
    <t>Interactive Media &amp; Services</t>
  </si>
  <si>
    <t>Technology</t>
  </si>
  <si>
    <t>Movies &amp; Entertainment</t>
  </si>
  <si>
    <t>Other</t>
  </si>
  <si>
    <t>Publishing &amp; Printing</t>
  </si>
  <si>
    <t>Industrials</t>
  </si>
  <si>
    <t>Consumer Discretionary</t>
  </si>
  <si>
    <t>Aerospace &amp; Defense</t>
  </si>
  <si>
    <t>Auto Manufacturers</t>
  </si>
  <si>
    <t>Air Freight &amp; Logisitics</t>
  </si>
  <si>
    <t>Auto Parts/Retail</t>
  </si>
  <si>
    <t>Airlines</t>
  </si>
  <si>
    <t>Home Furnishings</t>
  </si>
  <si>
    <t>Conglomerates</t>
  </si>
  <si>
    <t>Home Improvement Retail</t>
  </si>
  <si>
    <t>Electrical Equipment</t>
  </si>
  <si>
    <t xml:space="preserve">Hotels,Resorts &amp; Cruise </t>
  </si>
  <si>
    <t>Machinery</t>
  </si>
  <si>
    <t>XYL, DE</t>
  </si>
  <si>
    <t>Internet Retail</t>
  </si>
  <si>
    <t>Transports</t>
  </si>
  <si>
    <t>XTN, UBER</t>
  </si>
  <si>
    <t>Leisure Products</t>
  </si>
  <si>
    <t>Restaurants</t>
  </si>
  <si>
    <t>Building Products</t>
  </si>
  <si>
    <t>Retail - Department Store</t>
  </si>
  <si>
    <t>Construction &amp; Engineering</t>
  </si>
  <si>
    <t>Retail - General Merchandise</t>
  </si>
  <si>
    <t>Trading &amp; Distributors</t>
  </si>
  <si>
    <t>Retail - Specialty</t>
  </si>
  <si>
    <t>Information Technology</t>
  </si>
  <si>
    <t>Software</t>
  </si>
  <si>
    <t>Consumer Staples</t>
  </si>
  <si>
    <t>Hardware, Storage &amp; Services</t>
  </si>
  <si>
    <t>Agricultural Products</t>
  </si>
  <si>
    <t>Beverages</t>
  </si>
  <si>
    <t>IT Consulting &amp; Services</t>
  </si>
  <si>
    <t>ACN</t>
  </si>
  <si>
    <t>Food &amp; Drug - Retail</t>
  </si>
  <si>
    <t>Communications Equipment</t>
  </si>
  <si>
    <t>Household &amp; Personal Products</t>
  </si>
  <si>
    <t>Semiconductors &amp; Equipment</t>
  </si>
  <si>
    <t>Packaged Food</t>
  </si>
  <si>
    <t>HyperMarkets &amp; Super Center</t>
  </si>
  <si>
    <t>COST, WMT</t>
  </si>
  <si>
    <t>Tobacco</t>
  </si>
  <si>
    <t>Construction Materials</t>
  </si>
  <si>
    <t>Chemicals</t>
  </si>
  <si>
    <t>Coal &amp; Consumable Fuels</t>
  </si>
  <si>
    <t>Metals &amp; Mining</t>
  </si>
  <si>
    <t>Integrated Oil &amp; Gas</t>
  </si>
  <si>
    <t>Paper Packaging &amp; Products</t>
  </si>
  <si>
    <t>Oil &amp; Gas Drilling</t>
  </si>
  <si>
    <t>Industrial Gases</t>
  </si>
  <si>
    <t>Equipment &amp; Services</t>
  </si>
  <si>
    <t>Exploration &amp; Production</t>
  </si>
  <si>
    <t>Refining &amp; Marketing</t>
  </si>
  <si>
    <t>Storage &amp; Transportation</t>
  </si>
  <si>
    <t xml:space="preserve">Real Estate </t>
  </si>
  <si>
    <t>REITS</t>
  </si>
  <si>
    <t>Specialized REITs</t>
  </si>
  <si>
    <t>Financials</t>
  </si>
  <si>
    <t>Asset Management &amp; Custody</t>
  </si>
  <si>
    <t>Consumer &amp; Specialized Finance</t>
  </si>
  <si>
    <t>Diversified Banks</t>
  </si>
  <si>
    <t>Utilities</t>
  </si>
  <si>
    <t>Insurance</t>
  </si>
  <si>
    <t>Investment Banking/Brokerage</t>
  </si>
  <si>
    <t>Other Diversified Financial Services</t>
  </si>
  <si>
    <t>Regional Banks</t>
  </si>
  <si>
    <t>des</t>
  </si>
  <si>
    <t>CORE SECTOR  ALLOCATION COMPARISON</t>
  </si>
  <si>
    <t>Dividend SECTOR  ALLOCATION COMPARISON</t>
  </si>
  <si>
    <t>Managed Care</t>
  </si>
  <si>
    <t>UNH, ELV</t>
  </si>
  <si>
    <t>Food Distributors</t>
  </si>
  <si>
    <t>COMBINED PORTS - SECTOR  ALLOCATION COMPARISON</t>
  </si>
  <si>
    <t>Dividend Port</t>
  </si>
  <si>
    <t>March</t>
  </si>
  <si>
    <t>current vs</t>
  </si>
  <si>
    <t>lost in Feb.</t>
  </si>
  <si>
    <t>Mar.</t>
  </si>
  <si>
    <t>Feb.</t>
  </si>
  <si>
    <t>Position</t>
  </si>
  <si>
    <t>DONE</t>
  </si>
  <si>
    <t># holdings</t>
  </si>
  <si>
    <t>UDR</t>
  </si>
  <si>
    <t>Shares</t>
  </si>
  <si>
    <t xml:space="preserve">Amount </t>
  </si>
  <si>
    <t>Ticker</t>
  </si>
  <si>
    <t>Written</t>
  </si>
  <si>
    <t>Expiration</t>
  </si>
  <si>
    <t>U2516316-40</t>
  </si>
  <si>
    <t>Core</t>
  </si>
  <si>
    <t>Total</t>
  </si>
  <si>
    <t>PORTFOLIO_MPOSITION</t>
  </si>
  <si>
    <t>Small Cap</t>
  </si>
  <si>
    <t>Limit</t>
  </si>
  <si>
    <t>Room</t>
  </si>
  <si>
    <t>Strike</t>
  </si>
  <si>
    <t>Cushion</t>
  </si>
  <si>
    <t>Premium</t>
  </si>
  <si>
    <t>Comissions</t>
  </si>
  <si>
    <t>Net Proceeds</t>
  </si>
  <si>
    <t>Expired OTM</t>
  </si>
  <si>
    <t>Fees</t>
  </si>
  <si>
    <t>April</t>
  </si>
  <si>
    <t>OWL</t>
  </si>
  <si>
    <t>ARES</t>
  </si>
  <si>
    <t xml:space="preserve"> OWL</t>
  </si>
  <si>
    <t>Trim?</t>
  </si>
  <si>
    <t>Position size</t>
  </si>
  <si>
    <t xml:space="preserve">Equity </t>
  </si>
  <si>
    <t>wieght</t>
  </si>
  <si>
    <t>Ideas:</t>
  </si>
  <si>
    <t>price today/date written</t>
  </si>
  <si>
    <t>initial cushion</t>
  </si>
  <si>
    <t>date written price</t>
  </si>
  <si>
    <t>YTD premiums</t>
  </si>
  <si>
    <t>current holdings</t>
  </si>
  <si>
    <t>TRIMs Left</t>
  </si>
  <si>
    <t>Project total</t>
  </si>
  <si>
    <t>PLD</t>
  </si>
  <si>
    <t xml:space="preserve">Profits </t>
  </si>
  <si>
    <t>Dvd</t>
  </si>
  <si>
    <t>TOTAL Names</t>
  </si>
  <si>
    <t>target</t>
  </si>
  <si>
    <t>weighted yield</t>
  </si>
  <si>
    <t>sales left</t>
  </si>
  <si>
    <t>Exercised</t>
  </si>
  <si>
    <t>URI</t>
  </si>
  <si>
    <t>SALES</t>
  </si>
  <si>
    <t>SALES/TRIMS</t>
  </si>
  <si>
    <t>UPS</t>
  </si>
  <si>
    <t>return</t>
  </si>
  <si>
    <t>BV</t>
  </si>
  <si>
    <t>iworks book value</t>
  </si>
  <si>
    <t>avg cost</t>
  </si>
  <si>
    <t>Old Core Port BV</t>
  </si>
  <si>
    <t>Dvd Port BV</t>
  </si>
  <si>
    <t>Combined CVX book values</t>
  </si>
  <si>
    <t>iworks BV after 8/30 trim</t>
  </si>
  <si>
    <t>Share count</t>
  </si>
  <si>
    <t>weight</t>
  </si>
  <si>
    <t>IDXX,ISRG, DHR, ALGN</t>
  </si>
  <si>
    <t>Broadline Retail</t>
  </si>
  <si>
    <t>Consumer Staples Merchandise Retail</t>
  </si>
  <si>
    <t>Transaction &amp; Payment Processing Services</t>
  </si>
  <si>
    <t>V,MA</t>
  </si>
  <si>
    <t>Passenger Airlines</t>
  </si>
  <si>
    <t>Combined</t>
  </si>
  <si>
    <t>SECTOR WEIGHTS</t>
  </si>
  <si>
    <t>From Brian's Oct. Sheets</t>
  </si>
  <si>
    <t xml:space="preserve">ASSET IMPAIRMENT </t>
  </si>
  <si>
    <t>YE Port Value from Brian's sheets</t>
  </si>
  <si>
    <t>from Brian's sheets</t>
  </si>
  <si>
    <t xml:space="preserve">Sept. </t>
  </si>
  <si>
    <t>Oct.</t>
  </si>
  <si>
    <t>November</t>
  </si>
  <si>
    <t>December</t>
  </si>
  <si>
    <t>February</t>
  </si>
  <si>
    <t>May</t>
  </si>
  <si>
    <t>June</t>
  </si>
  <si>
    <t>July</t>
  </si>
  <si>
    <t>August</t>
  </si>
  <si>
    <t>September</t>
  </si>
  <si>
    <t>October</t>
  </si>
  <si>
    <t>Feburary</t>
  </si>
  <si>
    <t>9/31/2023</t>
  </si>
  <si>
    <t>from Tyler's asset PDF</t>
  </si>
  <si>
    <t xml:space="preserve">&lt; from Cramer IPS </t>
  </si>
  <si>
    <t>did I grab month end value?</t>
  </si>
  <si>
    <t>month end 3/31</t>
  </si>
  <si>
    <t>month end 4/30</t>
  </si>
  <si>
    <t>month end 5/31</t>
  </si>
  <si>
    <t>From current holdings (up to date)</t>
  </si>
  <si>
    <t>From Brian's port sheets</t>
  </si>
  <si>
    <t xml:space="preserve">Invesco </t>
  </si>
  <si>
    <t>from Invesco?</t>
  </si>
  <si>
    <t>from Cramer IPS</t>
  </si>
  <si>
    <t>From IPS From Oct.</t>
  </si>
  <si>
    <t>from iworks</t>
  </si>
  <si>
    <t>Under at the end of NOV?</t>
  </si>
  <si>
    <t>From Nov IPS sheet</t>
  </si>
  <si>
    <t>AVERAGE</t>
  </si>
  <si>
    <t>from Cramer IPS ^</t>
  </si>
  <si>
    <t>difference from my calc</t>
  </si>
  <si>
    <t>Equity FUNDS</t>
  </si>
  <si>
    <t>RUO</t>
  </si>
  <si>
    <t>November End?</t>
  </si>
  <si>
    <t xml:space="preserve">December </t>
  </si>
  <si>
    <t>Oct End</t>
  </si>
  <si>
    <t xml:space="preserve">RUO </t>
  </si>
  <si>
    <t>iworks Invesco Oct. End</t>
  </si>
  <si>
    <t>S&amp;P 500: Q1</t>
  </si>
  <si>
    <t>Assets?</t>
  </si>
  <si>
    <t>Current holdings (today)</t>
  </si>
  <si>
    <t>Invesco estimate</t>
  </si>
  <si>
    <t>Total core equity holdings</t>
  </si>
  <si>
    <t>% of assets</t>
  </si>
  <si>
    <t>Current Core Value</t>
  </si>
  <si>
    <t>Current DVD value</t>
  </si>
  <si>
    <t>Invesco</t>
  </si>
  <si>
    <t>Cramer</t>
  </si>
  <si>
    <t>FHLB</t>
  </si>
  <si>
    <t>bought back to re-write</t>
  </si>
  <si>
    <t>CURRENT_EV_TO_T12M_EBITDA</t>
  </si>
  <si>
    <t>2024 EPS</t>
  </si>
  <si>
    <t>EV/EBITDA</t>
  </si>
  <si>
    <t>2023 ideas</t>
  </si>
  <si>
    <t>ANET</t>
  </si>
  <si>
    <t>PANW</t>
  </si>
  <si>
    <t>CRWD</t>
  </si>
  <si>
    <t>THRY</t>
  </si>
  <si>
    <t>SPG</t>
  </si>
  <si>
    <t>NVDA</t>
  </si>
  <si>
    <t>AMD</t>
  </si>
  <si>
    <t>TSLA</t>
  </si>
  <si>
    <t xml:space="preserve">market neutral </t>
  </si>
  <si>
    <t>room to trim?</t>
  </si>
  <si>
    <t>position size</t>
  </si>
  <si>
    <t>These mutual funds and ETFs focus on U.S. dividend stocks and had at least one share class that earned top Morningstar Medalist Ratings of Silver or Gold with 100% analyst coverage as of Dec. 4, 2023.</t>
  </si>
  <si>
    <t>MADVX</t>
  </si>
  <si>
    <t>CGDV</t>
  </si>
  <si>
    <t>LCBOX</t>
  </si>
  <si>
    <t>CDIRX</t>
  </si>
  <si>
    <t>FDVV</t>
  </si>
  <si>
    <t>QDF</t>
  </si>
  <si>
    <t>LVHD</t>
  </si>
  <si>
    <t>SCHD</t>
  </si>
  <si>
    <t>SDY</t>
  </si>
  <si>
    <t>PRDGX</t>
  </si>
  <si>
    <t>TDVG</t>
  </si>
  <si>
    <t>VIG</t>
  </si>
  <si>
    <t>VDADX</t>
  </si>
  <si>
    <t>VDIGX</t>
  </si>
  <si>
    <t>VYM</t>
  </si>
  <si>
    <t>VHYAX</t>
  </si>
  <si>
    <t>DLN</t>
  </si>
  <si>
    <t>DON</t>
  </si>
  <si>
    <t>DES</t>
  </si>
  <si>
    <t>WisdomTree U.S. SmallCap Dividend ETF </t>
  </si>
  <si>
    <t>BlackRock Equity Dividend</t>
  </si>
  <si>
    <t>Capital Group Dividend Value ETF</t>
  </si>
  <si>
    <t>ClearBridge Dividend Strategy</t>
  </si>
  <si>
    <t>Columbia Dividend Income </t>
  </si>
  <si>
    <t>Fidelity High Dividend ETF </t>
  </si>
  <si>
    <t>FlexShares Quality Dividend ETF</t>
  </si>
  <si>
    <t>Franklin U.S. Low Volatility High Dividend ETF</t>
  </si>
  <si>
    <t>Schwab U.S. Dividend Equity ETF </t>
  </si>
  <si>
    <t>SPDR S&amp;P Dividend ETF </t>
  </si>
  <si>
    <t>Morningstar: 19 Best Dividend ETFs and Mutual Funds for 2024</t>
  </si>
  <si>
    <t>T. Rowe Price Dividend Growth ETF </t>
  </si>
  <si>
    <t>Vanguard Dividend Appreciation ETF </t>
  </si>
  <si>
    <t>T. Rowe Price Dividend Growth</t>
  </si>
  <si>
    <t>Vanguard Dividend Appreciation Index </t>
  </si>
  <si>
    <t>Vanguard Dividend Growth </t>
  </si>
  <si>
    <t>Vanguard High Dividend Yield ETF</t>
  </si>
  <si>
    <t>Vanguard High Dividend Yield Index </t>
  </si>
  <si>
    <t>WisdomTree U.S. LargeCap Dividend ETF</t>
  </si>
  <si>
    <t>WisdomTree U.S. MidCap Dividend ETF </t>
  </si>
  <si>
    <t>ORCL</t>
  </si>
  <si>
    <t>JEPI</t>
  </si>
  <si>
    <t>JPST</t>
  </si>
  <si>
    <t>JEPQ</t>
  </si>
  <si>
    <t>AMLP</t>
  </si>
  <si>
    <t>AGNC</t>
  </si>
  <si>
    <t>NLY</t>
  </si>
  <si>
    <t>RSP</t>
  </si>
  <si>
    <t>SPY</t>
  </si>
  <si>
    <t>2- YR return</t>
  </si>
  <si>
    <t>weighted</t>
  </si>
  <si>
    <t>Move since</t>
  </si>
  <si>
    <t>yield</t>
  </si>
  <si>
    <t>move since</t>
  </si>
  <si>
    <t>EQIX</t>
  </si>
  <si>
    <t>Calendar Date</t>
  </si>
  <si>
    <t>Security</t>
  </si>
  <si>
    <t>GICS Sector (L1) - Sector</t>
  </si>
  <si>
    <t>Quantity</t>
  </si>
  <si>
    <t>Price (Base)</t>
  </si>
  <si>
    <t>Market Value + AI (Base)</t>
  </si>
  <si>
    <t>Weight %</t>
  </si>
  <si>
    <t>10X Genomics 'A'</t>
  </si>
  <si>
    <t>TXG US</t>
  </si>
  <si>
    <t>USD</t>
  </si>
  <si>
    <t>AAON</t>
  </si>
  <si>
    <t>AAON US</t>
  </si>
  <si>
    <t>AAR</t>
  </si>
  <si>
    <t>AIR US</t>
  </si>
  <si>
    <t>Acadia Healthcare</t>
  </si>
  <si>
    <t>ACHC US</t>
  </si>
  <si>
    <t>Allegro MicroSystems</t>
  </si>
  <si>
    <t>ALGM US</t>
  </si>
  <si>
    <t>Altair Engineering 'A'</t>
  </si>
  <si>
    <t>ALTR US</t>
  </si>
  <si>
    <t>Applied Industrial Technologies</t>
  </si>
  <si>
    <t>AIT US</t>
  </si>
  <si>
    <t>ATI</t>
  </si>
  <si>
    <t>ATI US</t>
  </si>
  <si>
    <t>Axonics</t>
  </si>
  <si>
    <t>AXNX US</t>
  </si>
  <si>
    <t>AZEK</t>
  </si>
  <si>
    <t>AZEK US</t>
  </si>
  <si>
    <t>Badger Meter</t>
  </si>
  <si>
    <t>BMI US</t>
  </si>
  <si>
    <t>BellRing Brands</t>
  </si>
  <si>
    <t>BRBR US</t>
  </si>
  <si>
    <t>Blueprint Medicines</t>
  </si>
  <si>
    <t>BPMC US</t>
  </si>
  <si>
    <t>Braze 'A'</t>
  </si>
  <si>
    <t>BRZE US</t>
  </si>
  <si>
    <t>Carpenter Technology</t>
  </si>
  <si>
    <t>CRS US</t>
  </si>
  <si>
    <t>Casella Waste Systems</t>
  </si>
  <si>
    <t>CWST US</t>
  </si>
  <si>
    <t>Cava</t>
  </si>
  <si>
    <t>CAVA US</t>
  </si>
  <si>
    <t>Celestica</t>
  </si>
  <si>
    <t>CLS US</t>
  </si>
  <si>
    <t>Celsius</t>
  </si>
  <si>
    <t>CELH US</t>
  </si>
  <si>
    <t>Clean Harbors</t>
  </si>
  <si>
    <t>CLH US</t>
  </si>
  <si>
    <t>Cohen &amp; Steers</t>
  </si>
  <si>
    <t>CNS US</t>
  </si>
  <si>
    <t>Comfort Systems USA</t>
  </si>
  <si>
    <t>FIX US</t>
  </si>
  <si>
    <t>Credo Technology</t>
  </si>
  <si>
    <t>CRDO US</t>
  </si>
  <si>
    <t>Curtiss-Wright</t>
  </si>
  <si>
    <t>CW US</t>
  </si>
  <si>
    <t>CyberArk Software</t>
  </si>
  <si>
    <t>CYBR US</t>
  </si>
  <si>
    <t>Cytokinetics</t>
  </si>
  <si>
    <t>CYTK US</t>
  </si>
  <si>
    <t>DoubleVerify</t>
  </si>
  <si>
    <t>DV US</t>
  </si>
  <si>
    <t>Duolingo</t>
  </si>
  <si>
    <t>DUOL US</t>
  </si>
  <si>
    <t>Eagle Materials</t>
  </si>
  <si>
    <t>EXP US</t>
  </si>
  <si>
    <t>Element Solutions</t>
  </si>
  <si>
    <t>ESI US</t>
  </si>
  <si>
    <t>elf Beauty</t>
  </si>
  <si>
    <t>ELF US</t>
  </si>
  <si>
    <t>EMCOR</t>
  </si>
  <si>
    <t>EME US</t>
  </si>
  <si>
    <t>Encompass Health</t>
  </si>
  <si>
    <t>EHC US</t>
  </si>
  <si>
    <t>Endava ADR</t>
  </si>
  <si>
    <t>DAVA US</t>
  </si>
  <si>
    <t>Esab</t>
  </si>
  <si>
    <t>ESAB US</t>
  </si>
  <si>
    <t>Essent</t>
  </si>
  <si>
    <t>ESNT US</t>
  </si>
  <si>
    <t>Evercore</t>
  </si>
  <si>
    <t>EVR US</t>
  </si>
  <si>
    <t>Evolent Health 'A'</t>
  </si>
  <si>
    <t>EVH US</t>
  </si>
  <si>
    <t>Flywire</t>
  </si>
  <si>
    <t>FLYW US</t>
  </si>
  <si>
    <t>Freshworks 'A'</t>
  </si>
  <si>
    <t>FRSH US</t>
  </si>
  <si>
    <t>Gitlab 'A'</t>
  </si>
  <si>
    <t>GTLB US</t>
  </si>
  <si>
    <t>Glaukos</t>
  </si>
  <si>
    <t>GKOS US</t>
  </si>
  <si>
    <t>Guidewire Software</t>
  </si>
  <si>
    <t>GWRE US</t>
  </si>
  <si>
    <t>H&amp;E Equipment Services</t>
  </si>
  <si>
    <t>HEES US</t>
  </si>
  <si>
    <t>Haemonetics</t>
  </si>
  <si>
    <t>HAE US</t>
  </si>
  <si>
    <t>Halozyme Therapeutics</t>
  </si>
  <si>
    <t>HALO US</t>
  </si>
  <si>
    <t>Hamilton Lane 'A'</t>
  </si>
  <si>
    <t>HLNE US</t>
  </si>
  <si>
    <t>HealthEquity</t>
  </si>
  <si>
    <t>HQY US</t>
  </si>
  <si>
    <t>Hexcel</t>
  </si>
  <si>
    <t>HXL US</t>
  </si>
  <si>
    <t>Informatica 'A'</t>
  </si>
  <si>
    <t>INFA US</t>
  </si>
  <si>
    <t>Integer</t>
  </si>
  <si>
    <t>ITGR US</t>
  </si>
  <si>
    <t>Intra-Cellular Therapies</t>
  </si>
  <si>
    <t>ITCI US</t>
  </si>
  <si>
    <t>JFrog</t>
  </si>
  <si>
    <t>FROG US</t>
  </si>
  <si>
    <t>Kinsale Capital</t>
  </si>
  <si>
    <t>KNSL US</t>
  </si>
  <si>
    <t>Lantheus</t>
  </si>
  <si>
    <t>LNTH US</t>
  </si>
  <si>
    <t>Lattice Semiconductor</t>
  </si>
  <si>
    <t>LSCC US</t>
  </si>
  <si>
    <t>MACOM Technology Solutions</t>
  </si>
  <si>
    <t>MTSI US</t>
  </si>
  <si>
    <t>Matador Resources</t>
  </si>
  <si>
    <t>MTDR US</t>
  </si>
  <si>
    <t>Medpace</t>
  </si>
  <si>
    <t>MEDP US</t>
  </si>
  <si>
    <t>Merit Medical Systems</t>
  </si>
  <si>
    <t>MMSI US</t>
  </si>
  <si>
    <t>Meritage Homes 'C'</t>
  </si>
  <si>
    <t>MTH US</t>
  </si>
  <si>
    <t>Modine Manufacturing</t>
  </si>
  <si>
    <t>MOD US</t>
  </si>
  <si>
    <t>Mr Cooper</t>
  </si>
  <si>
    <t>COOP US</t>
  </si>
  <si>
    <t>NEXTracker 'A'</t>
  </si>
  <si>
    <t>NXT US</t>
  </si>
  <si>
    <t>Northern Oil and Gas</t>
  </si>
  <si>
    <t>NOG US</t>
  </si>
  <si>
    <t>Novanta</t>
  </si>
  <si>
    <t>NOVT US</t>
  </si>
  <si>
    <t>Ollies Bargain Outlet</t>
  </si>
  <si>
    <t>OLLI US</t>
  </si>
  <si>
    <t>On 'A'</t>
  </si>
  <si>
    <t>ONON US</t>
  </si>
  <si>
    <t>Onto Innovation</t>
  </si>
  <si>
    <t>ONTO US</t>
  </si>
  <si>
    <t>Parsons</t>
  </si>
  <si>
    <t>PSN US</t>
  </si>
  <si>
    <t>Privia Health</t>
  </si>
  <si>
    <t>PRVA US</t>
  </si>
  <si>
    <t>Progyny</t>
  </si>
  <si>
    <t>PGNY US</t>
  </si>
  <si>
    <t>RadNet</t>
  </si>
  <si>
    <t>RDNT US</t>
  </si>
  <si>
    <t>Rambus</t>
  </si>
  <si>
    <t>RMBS US</t>
  </si>
  <si>
    <t>Red Rock Resorts 'A'</t>
  </si>
  <si>
    <t>RRR US</t>
  </si>
  <si>
    <t>Remitly</t>
  </si>
  <si>
    <t>RELY US</t>
  </si>
  <si>
    <t>Repligen</t>
  </si>
  <si>
    <t>RGEN US</t>
  </si>
  <si>
    <t>Saia</t>
  </si>
  <si>
    <t>SAIA US</t>
  </si>
  <si>
    <t>Shake Shack 'A'</t>
  </si>
  <si>
    <t>SHAK US</t>
  </si>
  <si>
    <t>Shockwave Medical</t>
  </si>
  <si>
    <t>SWAV US</t>
  </si>
  <si>
    <t>Silicon Laboratories</t>
  </si>
  <si>
    <t>SLAB US</t>
  </si>
  <si>
    <t>Sprout Social 'A'</t>
  </si>
  <si>
    <t>SPT US</t>
  </si>
  <si>
    <t>SPS Commerce</t>
  </si>
  <si>
    <t>SPSC US</t>
  </si>
  <si>
    <t>Surgery Partners</t>
  </si>
  <si>
    <t>SGRY US</t>
  </si>
  <si>
    <t>Synaptics</t>
  </si>
  <si>
    <t>SYNA US</t>
  </si>
  <si>
    <t>Taylor Morrison Home</t>
  </si>
  <si>
    <t>TMHC US</t>
  </si>
  <si>
    <t>TechnipFMC</t>
  </si>
  <si>
    <t>FTI US</t>
  </si>
  <si>
    <t>Terreno Realty 'C'</t>
  </si>
  <si>
    <t>TRNO US</t>
  </si>
  <si>
    <t>Texas Roadhouse</t>
  </si>
  <si>
    <t>TXRH US</t>
  </si>
  <si>
    <t>TKO</t>
  </si>
  <si>
    <t>TKO US</t>
  </si>
  <si>
    <t>TopBuild</t>
  </si>
  <si>
    <t>BLD US</t>
  </si>
  <si>
    <t>TransMedics</t>
  </si>
  <si>
    <t>TMDX US</t>
  </si>
  <si>
    <t>Trex</t>
  </si>
  <si>
    <t>TREX US</t>
  </si>
  <si>
    <t>Ultragenyx Pharmaceutical</t>
  </si>
  <si>
    <t>RARE US</t>
  </si>
  <si>
    <t>Varonis Systems</t>
  </si>
  <si>
    <t>VRNS US</t>
  </si>
  <si>
    <t>Vertiv 'A'</t>
  </si>
  <si>
    <t>VRT US</t>
  </si>
  <si>
    <t>Weatherford</t>
  </si>
  <si>
    <t>WFRD US</t>
  </si>
  <si>
    <t>Wingstop</t>
  </si>
  <si>
    <t>WING US</t>
  </si>
  <si>
    <t>Workiva</t>
  </si>
  <si>
    <t>WK US</t>
  </si>
  <si>
    <t>-CASH-</t>
  </si>
  <si>
    <t>Unknown</t>
  </si>
  <si>
    <t>Stock</t>
  </si>
  <si>
    <t>base cost</t>
  </si>
  <si>
    <t>Russell 2k</t>
  </si>
  <si>
    <t>IWM</t>
  </si>
  <si>
    <t>Mkt Cap ($B)</t>
  </si>
  <si>
    <t>Base Cost</t>
  </si>
  <si>
    <t>LAST YEAR</t>
  </si>
  <si>
    <t>MSFT, TYL, NOW, INTU, ROP</t>
  </si>
  <si>
    <t>GOOG, META</t>
  </si>
  <si>
    <t>SOXX, LRCX, NVDA</t>
  </si>
  <si>
    <t>VTLO</t>
  </si>
  <si>
    <t>S&amp;P YTD</t>
  </si>
  <si>
    <t>DVD YTD</t>
  </si>
  <si>
    <t>VYM YTD</t>
  </si>
  <si>
    <t>check</t>
  </si>
  <si>
    <t>FEB.</t>
  </si>
  <si>
    <t>daily change</t>
  </si>
  <si>
    <t>PORT</t>
  </si>
  <si>
    <t>SCHD YTD</t>
  </si>
  <si>
    <t>SLB</t>
  </si>
  <si>
    <t>Amt Written</t>
  </si>
  <si>
    <t>ALGN US EQUITY</t>
  </si>
  <si>
    <t>PLNT US EQUITY</t>
  </si>
  <si>
    <t>BAC US EQUITY</t>
  </si>
  <si>
    <t>CVX US EQUITY</t>
  </si>
  <si>
    <t>POOL US EQUITY</t>
  </si>
  <si>
    <t>DHR US EQUITY</t>
  </si>
  <si>
    <t>INTU US EQUITY</t>
  </si>
  <si>
    <t>IDXX US EQUITY</t>
  </si>
  <si>
    <t>DOW YTD</t>
  </si>
  <si>
    <t>15 months</t>
  </si>
  <si>
    <t>From Bloomberg</t>
  </si>
  <si>
    <t>SNOW</t>
  </si>
  <si>
    <t>since inception 1/22/21</t>
  </si>
  <si>
    <t>updated</t>
  </si>
  <si>
    <t>date written</t>
  </si>
  <si>
    <t>MARCH</t>
  </si>
  <si>
    <t>days</t>
  </si>
  <si>
    <t>years</t>
  </si>
  <si>
    <t>annualized</t>
  </si>
  <si>
    <t>APRIL</t>
  </si>
  <si>
    <t>updated BVs April 9th</t>
  </si>
  <si>
    <t>DVD Port Today</t>
  </si>
  <si>
    <t>week:</t>
  </si>
  <si>
    <t>2025 EPS</t>
  </si>
  <si>
    <t>overall diff</t>
  </si>
  <si>
    <t>annualized return</t>
  </si>
  <si>
    <t>MEDPACE HOLDINGS INC MEDP</t>
  </si>
  <si>
    <t>MEDP</t>
  </si>
  <si>
    <t>COMFORT SYSTEMS USA INC FIX</t>
  </si>
  <si>
    <t>FIX</t>
  </si>
  <si>
    <t>USD CURRENCY CASH</t>
  </si>
  <si>
    <t>CLEAN HARBORS INC CLH</t>
  </si>
  <si>
    <t>CLH</t>
  </si>
  <si>
    <t>HAMILTON LANE INC HLNE</t>
  </si>
  <si>
    <t>HLNE</t>
  </si>
  <si>
    <t>DUOLINGO INC DUOL</t>
  </si>
  <si>
    <t>DUOL</t>
  </si>
  <si>
    <t>WINGSTOP INC WING</t>
  </si>
  <si>
    <t>WING</t>
  </si>
  <si>
    <t>ENCOMPASS HEALTH CORP EHC</t>
  </si>
  <si>
    <t>EHC</t>
  </si>
  <si>
    <t>EVERCORE INC EVR</t>
  </si>
  <si>
    <t>EVR</t>
  </si>
  <si>
    <t>CYBERARK SOFTWARE LTD CYBR</t>
  </si>
  <si>
    <t>CYBR</t>
  </si>
  <si>
    <t>EMCOR GROUP INC EME</t>
  </si>
  <si>
    <t>EME</t>
  </si>
  <si>
    <t>ONTO INNOVATION INC ONTO</t>
  </si>
  <si>
    <t>ONTO</t>
  </si>
  <si>
    <t>ELF BEAUTY INC ELF</t>
  </si>
  <si>
    <t>ELF</t>
  </si>
  <si>
    <t>CURTISS-WRIGHT CORP CW</t>
  </si>
  <si>
    <t>CW</t>
  </si>
  <si>
    <t>MODINE MANUFACTURING CO MOD</t>
  </si>
  <si>
    <t>MOD</t>
  </si>
  <si>
    <t>TEXAS ROADHOUSE INC TXRH</t>
  </si>
  <si>
    <t>TXRH</t>
  </si>
  <si>
    <t>ATI INC ATI</t>
  </si>
  <si>
    <t>ESAB CORP ESAB</t>
  </si>
  <si>
    <t>ESAB</t>
  </si>
  <si>
    <t>MACOM TECHNOLOGY SOLUTIONS HOLDINGS INC MTSI</t>
  </si>
  <si>
    <t>MTSI</t>
  </si>
  <si>
    <t>PARSONS CORP PSN</t>
  </si>
  <si>
    <t>PSN</t>
  </si>
  <si>
    <t>RED ROCK RESORTS INC RRR</t>
  </si>
  <si>
    <t>RRR</t>
  </si>
  <si>
    <t>SAIA INC SAIA</t>
  </si>
  <si>
    <t>SAIA</t>
  </si>
  <si>
    <t>IMPINJ INC PI</t>
  </si>
  <si>
    <t>PI</t>
  </si>
  <si>
    <t>WEATHERFORD INTERNATIONAL PLC WFRD</t>
  </si>
  <si>
    <t>WFRD</t>
  </si>
  <si>
    <t>CRANE CO CR</t>
  </si>
  <si>
    <t>CR</t>
  </si>
  <si>
    <t>ACADIA HEALTHCARE CO INC ACHC</t>
  </si>
  <si>
    <t>ACHC</t>
  </si>
  <si>
    <t>CASELLA WASTE SYSTEMS INC CWST</t>
  </si>
  <si>
    <t>CWST</t>
  </si>
  <si>
    <t>AAON INC AAON</t>
  </si>
  <si>
    <t>TOPBUILD CORP BLD</t>
  </si>
  <si>
    <t>BLD</t>
  </si>
  <si>
    <t>TECHNIPFMC PLC FTI</t>
  </si>
  <si>
    <t>FTI</t>
  </si>
  <si>
    <t>JFROG LTD FROG</t>
  </si>
  <si>
    <t>FROG</t>
  </si>
  <si>
    <t>INFORMATICA INC INFA</t>
  </si>
  <si>
    <t>INFA</t>
  </si>
  <si>
    <t>GUIDEWIRE SOFTWARE INC GWRE</t>
  </si>
  <si>
    <t>GWRE</t>
  </si>
  <si>
    <t>APPLIED INDUSTRIAL TECHNOLOGIES INC AIT</t>
  </si>
  <si>
    <t>AIT</t>
  </si>
  <si>
    <t>GITLAB INC GTLB</t>
  </si>
  <si>
    <t>GTLB</t>
  </si>
  <si>
    <t>NOVANTA INC NOVT</t>
  </si>
  <si>
    <t>NOVT</t>
  </si>
  <si>
    <t>CARPENTER TECHNOLOGY CORP CRS</t>
  </si>
  <si>
    <t>CRS</t>
  </si>
  <si>
    <t>ALTAIR ENGINEERING INC ALTR</t>
  </si>
  <si>
    <t>ALTR</t>
  </si>
  <si>
    <t>TAYLOR MORRISON HOME CORP TMHC</t>
  </si>
  <si>
    <t>TMHC</t>
  </si>
  <si>
    <t>H&amp;E EQUIPMENT SERVICES INC HEES</t>
  </si>
  <si>
    <t>HEES</t>
  </si>
  <si>
    <t>LATTICE SEMICONDUCTOR CORP LSCC</t>
  </si>
  <si>
    <t>LSCC</t>
  </si>
  <si>
    <t>VARONIS SYSTEMS INC VRNS</t>
  </si>
  <si>
    <t>VRNS</t>
  </si>
  <si>
    <t>HEALTHEQUITY INC HQY</t>
  </si>
  <si>
    <t>HQY</t>
  </si>
  <si>
    <t>EAGLE MATERIALS INC EXP</t>
  </si>
  <si>
    <t>EXP</t>
  </si>
  <si>
    <t>NORTHERN OIL &amp; GAS INC NOG</t>
  </si>
  <si>
    <t>NOG</t>
  </si>
  <si>
    <t>MATADOR RESOURCES CO MTDR</t>
  </si>
  <si>
    <t>MTDR</t>
  </si>
  <si>
    <t>REPLIGEN CORP RGEN</t>
  </si>
  <si>
    <t>RGEN</t>
  </si>
  <si>
    <t>NOVA LTD NVMI</t>
  </si>
  <si>
    <t>NVMI</t>
  </si>
  <si>
    <t>MR COOPER GROUP INC COOP</t>
  </si>
  <si>
    <t>COOP</t>
  </si>
  <si>
    <t>AZEK CO INC/THE AZEK</t>
  </si>
  <si>
    <t>CELESTICA INC CLS</t>
  </si>
  <si>
    <t>CLS</t>
  </si>
  <si>
    <t>BRAZE INC BRZE</t>
  </si>
  <si>
    <t>BRZE</t>
  </si>
  <si>
    <t>FEDERAL SIGNAL CORP FSS</t>
  </si>
  <si>
    <t>FSS</t>
  </si>
  <si>
    <t>SPS COMMERCE INC SPSC</t>
  </si>
  <si>
    <t>SPSC</t>
  </si>
  <si>
    <t>GLAUKOS CORP GKOS</t>
  </si>
  <si>
    <t>GKOS</t>
  </si>
  <si>
    <t>ELEMENT SOLUTIONS INC ESI</t>
  </si>
  <si>
    <t>ESI</t>
  </si>
  <si>
    <t>SHOCKWAVE MEDICAL INC SWAV</t>
  </si>
  <si>
    <t>SWAV</t>
  </si>
  <si>
    <t>SHAKE SHACK INC SHAK</t>
  </si>
  <si>
    <t>SHAK</t>
  </si>
  <si>
    <t>RADNET INC RDNT</t>
  </si>
  <si>
    <t>RDNT</t>
  </si>
  <si>
    <t>SPX TECHNOLOGIES INC SPXC</t>
  </si>
  <si>
    <t>SPXC</t>
  </si>
  <si>
    <t>BELLRING BRANDS INC BRBR</t>
  </si>
  <si>
    <t>BRBR</t>
  </si>
  <si>
    <t>INTEGER HOLDINGS CORP ITGR</t>
  </si>
  <si>
    <t>ITGR</t>
  </si>
  <si>
    <t>COHERENT CORP COHR</t>
  </si>
  <si>
    <t>COHR</t>
  </si>
  <si>
    <t>MERIT MEDICAL SYSTEMS INC MMSI</t>
  </si>
  <si>
    <t>MMSI</t>
  </si>
  <si>
    <t>SILICON LABORATORIES INC SLAB</t>
  </si>
  <si>
    <t>SLAB</t>
  </si>
  <si>
    <t>FRESHPET INC FRPT</t>
  </si>
  <si>
    <t>FRPT</t>
  </si>
  <si>
    <t>OLLIES BARGAIN OUTLET HOLDINGS INC OLLI</t>
  </si>
  <si>
    <t>OLLI</t>
  </si>
  <si>
    <t>RAMBUS INC RMBS</t>
  </si>
  <si>
    <t>RMBS</t>
  </si>
  <si>
    <t>SPROUT SOCIAL INC SPT</t>
  </si>
  <si>
    <t>TRANSMEDICS GROUP INC TMDX</t>
  </si>
  <si>
    <t>TMDX</t>
  </si>
  <si>
    <t>CONFLUENT INC CFLT</t>
  </si>
  <si>
    <t>CFLT</t>
  </si>
  <si>
    <t>ESSENT GROUP LTD ESNT</t>
  </si>
  <si>
    <t>ESNT</t>
  </si>
  <si>
    <t>KINSALE CAPITAL GROUP INC KNSL</t>
  </si>
  <si>
    <t>KNSL</t>
  </si>
  <si>
    <t>INTRA-CELLULAR THERAPIES INC ITCI</t>
  </si>
  <si>
    <t>ITCI</t>
  </si>
  <si>
    <t>TIDEWATER INC TDW</t>
  </si>
  <si>
    <t>TDW</t>
  </si>
  <si>
    <t>ALLEGRO MICROSYSTEMS INC ALGM</t>
  </si>
  <si>
    <t>ALGM</t>
  </si>
  <si>
    <t>SURGERY PARTNERS INC SGRY</t>
  </si>
  <si>
    <t>SGRY</t>
  </si>
  <si>
    <t>RXSIGHT INC RXST</t>
  </si>
  <si>
    <t>RXST</t>
  </si>
  <si>
    <t>CREDO TECHNOLOGY GROUP HOLDING LTD CRDO</t>
  </si>
  <si>
    <t>CRDO</t>
  </si>
  <si>
    <t>MERITAGE HOMES CORP MTH</t>
  </si>
  <si>
    <t>MTH</t>
  </si>
  <si>
    <t>CYTOKINETICS INC CYTK</t>
  </si>
  <si>
    <t>CYTK</t>
  </si>
  <si>
    <t>APPFOLIO INC APPF</t>
  </si>
  <si>
    <t>APPF</t>
  </si>
  <si>
    <t>NEXTRACKER INC NXT</t>
  </si>
  <si>
    <t>NXT</t>
  </si>
  <si>
    <t>CAVA GROUP INC CAVA</t>
  </si>
  <si>
    <t>CAVA</t>
  </si>
  <si>
    <t>BLUEPRINT MEDICINES CORP BPMC</t>
  </si>
  <si>
    <t>BPMC</t>
  </si>
  <si>
    <t>TREX CO INC TREX</t>
  </si>
  <si>
    <t>TWIST BIOSCIENCE CORP TWST</t>
  </si>
  <si>
    <t>TWST</t>
  </si>
  <si>
    <t>VONTIER CORP VNT</t>
  </si>
  <si>
    <t>VNT</t>
  </si>
  <si>
    <t>HALOZYME THERAPEUTICS INC HALO</t>
  </si>
  <si>
    <t>HALO</t>
  </si>
  <si>
    <t>TERRENO REALTY CORP TRNO</t>
  </si>
  <si>
    <t>TRNO</t>
  </si>
  <si>
    <t>INSPIRE MEDICAL SYSTEMS INC INSP</t>
  </si>
  <si>
    <t>INSP</t>
  </si>
  <si>
    <t>ASTERA LABS INC ALAB</t>
  </si>
  <si>
    <t>ALAB</t>
  </si>
  <si>
    <t>VAXCYTE INC PCVX</t>
  </si>
  <si>
    <t>PCVX</t>
  </si>
  <si>
    <t>SPRINGWORKS THERAPEUTICS INC SWTX</t>
  </si>
  <si>
    <t>SWTX</t>
  </si>
  <si>
    <t>LANTHEUS HOLDINGS INC LNTH</t>
  </si>
  <si>
    <t>LNTH</t>
  </si>
  <si>
    <t>IBOTTA INC IBTA</t>
  </si>
  <si>
    <t>IBTA</t>
  </si>
  <si>
    <t>RUBRIK INC RBRK</t>
  </si>
  <si>
    <t>RBRK</t>
  </si>
  <si>
    <t>EVOLENT HEALTH INC EVH</t>
  </si>
  <si>
    <t>EVH</t>
  </si>
  <si>
    <t>BRIGHTSPRING HEALTH SERVICES INC BTSG</t>
  </si>
  <si>
    <t>BTSG</t>
  </si>
  <si>
    <t>VERICEL CORP VCEL</t>
  </si>
  <si>
    <t>VCEL</t>
  </si>
  <si>
    <t>VIKING THERAPEUTICS INC VKTX</t>
  </si>
  <si>
    <t>VKTX</t>
  </si>
  <si>
    <t>ULTRAGENYX PHARMACEUTICAL INC RARE</t>
  </si>
  <si>
    <t>RARE</t>
  </si>
  <si>
    <t>KRYSTAL BIOTECH INC KRYS</t>
  </si>
  <si>
    <t>KRYS</t>
  </si>
  <si>
    <t>COHEN &amp; STEERS INC CNS</t>
  </si>
  <si>
    <t>CNS</t>
  </si>
  <si>
    <t>IRHYTHM TECHNOLOGIES INC IRTC</t>
  </si>
  <si>
    <t>IRTC</t>
  </si>
  <si>
    <t>PROGYNY INC PGNY</t>
  </si>
  <si>
    <t>PGNY</t>
  </si>
  <si>
    <t>LOAR HOLDINGS INC LOAR</t>
  </si>
  <si>
    <t>LOAR</t>
  </si>
  <si>
    <t>CASH SECURITY USD</t>
  </si>
  <si>
    <t>STIFUSD</t>
  </si>
  <si>
    <t>CELESTICA INC SUB VTG SHS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</si>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</sst>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0.000%"/>
    <numFmt numFmtId="168" formatCode="_(* #,##0.0_);_(* \(#,##0.0\);_(* &quot;-&quot;??_);_(@_)"/>
    <numFmt numFmtId="169" formatCode="mmmm\ d\,\ yyyy"/>
    <numFmt numFmtId="170" formatCode="0.0000"/>
    <numFmt numFmtId="171" formatCode="_(* #,##0.0000_);_(* \(#,##0.0000\);_(* &quot;-&quot;??_);_(@_)"/>
    <numFmt numFmtId="172" formatCode="_(&quot;$&quot;* #,##0.0000_);_(&quot;$&quot;* \(#,##0.0000\);_(&quot;$&quot;* &quot;-&quot;??_);_(@_)"/>
    <numFmt numFmtId="173" formatCode="[$-409]mmm\-yy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0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sz val="9"/>
      <color theme="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1"/>
      <color theme="2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Arial"/>
      <family val="2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0" tint="-0.249977111117893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BD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EF9F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66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8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164" fontId="0" fillId="0" borderId="0" xfId="1" applyNumberFormat="1" applyFont="1"/>
    <xf numFmtId="43" fontId="0" fillId="0" borderId="0" xfId="1" applyFont="1"/>
    <xf numFmtId="165" fontId="0" fillId="0" borderId="0" xfId="3" applyNumberFormat="1" applyFont="1" applyFill="1"/>
    <xf numFmtId="0" fontId="3" fillId="0" borderId="0" xfId="0" applyFont="1" applyAlignment="1">
      <alignment horizontal="center"/>
    </xf>
    <xf numFmtId="165" fontId="0" fillId="0" borderId="0" xfId="3" applyNumberFormat="1" applyFont="1"/>
    <xf numFmtId="2" fontId="0" fillId="0" borderId="0" xfId="0" applyNumberFormat="1"/>
    <xf numFmtId="43" fontId="0" fillId="0" borderId="0" xfId="0" applyNumberFormat="1"/>
    <xf numFmtId="43" fontId="2" fillId="0" borderId="0" xfId="0" applyNumberFormat="1" applyFont="1"/>
    <xf numFmtId="0" fontId="0" fillId="0" borderId="1" xfId="0" applyBorder="1"/>
    <xf numFmtId="0" fontId="0" fillId="0" borderId="3" xfId="0" applyBorder="1"/>
    <xf numFmtId="44" fontId="2" fillId="0" borderId="4" xfId="2" applyFont="1" applyBorder="1"/>
    <xf numFmtId="0" fontId="6" fillId="0" borderId="4" xfId="0" applyFont="1" applyBorder="1" applyAlignment="1">
      <alignment horizontal="center"/>
    </xf>
    <xf numFmtId="43" fontId="0" fillId="0" borderId="4" xfId="0" applyNumberFormat="1" applyBorder="1"/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10" fontId="2" fillId="0" borderId="0" xfId="3" applyNumberFormat="1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3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7" xfId="0" applyBorder="1"/>
    <xf numFmtId="164" fontId="0" fillId="0" borderId="0" xfId="1" applyNumberFormat="1" applyFont="1" applyBorder="1"/>
    <xf numFmtId="43" fontId="0" fillId="0" borderId="7" xfId="1" applyFont="1" applyBorder="1"/>
    <xf numFmtId="0" fontId="2" fillId="0" borderId="8" xfId="0" applyFont="1" applyBorder="1" applyAlignment="1">
      <alignment horizontal="center"/>
    </xf>
    <xf numFmtId="164" fontId="0" fillId="0" borderId="6" xfId="1" applyNumberFormat="1" applyFont="1" applyBorder="1"/>
    <xf numFmtId="2" fontId="0" fillId="0" borderId="6" xfId="0" applyNumberFormat="1" applyBorder="1"/>
    <xf numFmtId="0" fontId="0" fillId="0" borderId="6" xfId="0" applyBorder="1"/>
    <xf numFmtId="0" fontId="2" fillId="2" borderId="9" xfId="0" applyFont="1" applyFill="1" applyBorder="1" applyAlignment="1">
      <alignment horizontal="center" vertical="center"/>
    </xf>
    <xf numFmtId="43" fontId="0" fillId="0" borderId="5" xfId="1" applyFont="1" applyBorder="1"/>
    <xf numFmtId="165" fontId="0" fillId="0" borderId="0" xfId="3" applyNumberFormat="1" applyFont="1" applyFill="1" applyBorder="1"/>
    <xf numFmtId="43" fontId="0" fillId="0" borderId="5" xfId="1" applyFont="1" applyFill="1" applyBorder="1"/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43" fontId="0" fillId="0" borderId="8" xfId="1" applyFont="1" applyBorder="1"/>
    <xf numFmtId="0" fontId="0" fillId="0" borderId="10" xfId="0" applyBorder="1"/>
    <xf numFmtId="0" fontId="9" fillId="0" borderId="7" xfId="0" applyFont="1" applyBorder="1" applyAlignment="1">
      <alignment horizontal="center"/>
    </xf>
    <xf numFmtId="165" fontId="0" fillId="0" borderId="6" xfId="3" applyNumberFormat="1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4" fontId="0" fillId="0" borderId="0" xfId="0" applyNumberFormat="1"/>
    <xf numFmtId="43" fontId="0" fillId="0" borderId="7" xfId="1" applyFont="1" applyFill="1" applyBorder="1"/>
    <xf numFmtId="43" fontId="0" fillId="0" borderId="22" xfId="1" applyFont="1" applyBorder="1"/>
    <xf numFmtId="43" fontId="0" fillId="0" borderId="23" xfId="1" applyFont="1" applyBorder="1"/>
    <xf numFmtId="0" fontId="0" fillId="0" borderId="12" xfId="0" applyBorder="1"/>
    <xf numFmtId="0" fontId="0" fillId="0" borderId="9" xfId="0" applyBorder="1"/>
    <xf numFmtId="164" fontId="0" fillId="0" borderId="11" xfId="1" applyNumberFormat="1" applyFont="1" applyBorder="1"/>
    <xf numFmtId="165" fontId="3" fillId="7" borderId="0" xfId="3" applyNumberFormat="1" applyFont="1" applyFill="1" applyAlignment="1">
      <alignment horizontal="center"/>
    </xf>
    <xf numFmtId="14" fontId="0" fillId="7" borderId="0" xfId="0" applyNumberFormat="1" applyFill="1"/>
    <xf numFmtId="0" fontId="10" fillId="7" borderId="0" xfId="0" applyFont="1" applyFill="1" applyAlignment="1">
      <alignment horizontal="center"/>
    </xf>
    <xf numFmtId="20" fontId="10" fillId="7" borderId="0" xfId="0" applyNumberFormat="1" applyFont="1" applyFill="1" applyAlignment="1">
      <alignment horizontal="center"/>
    </xf>
    <xf numFmtId="0" fontId="0" fillId="9" borderId="12" xfId="0" applyFill="1" applyBorder="1"/>
    <xf numFmtId="0" fontId="0" fillId="9" borderId="11" xfId="0" applyFill="1" applyBorder="1"/>
    <xf numFmtId="0" fontId="0" fillId="2" borderId="11" xfId="0" applyFill="1" applyBorder="1"/>
    <xf numFmtId="0" fontId="4" fillId="10" borderId="4" xfId="0" applyFont="1" applyFill="1" applyBorder="1" applyAlignment="1">
      <alignment horizontal="center" vertical="center"/>
    </xf>
    <xf numFmtId="43" fontId="0" fillId="0" borderId="10" xfId="1" applyFont="1" applyBorder="1"/>
    <xf numFmtId="43" fontId="0" fillId="0" borderId="6" xfId="1" applyFont="1" applyBorder="1"/>
    <xf numFmtId="43" fontId="0" fillId="0" borderId="0" xfId="1" applyFont="1" applyBorder="1"/>
    <xf numFmtId="0" fontId="2" fillId="0" borderId="0" xfId="0" applyFont="1" applyAlignment="1">
      <alignment horizontal="center"/>
    </xf>
    <xf numFmtId="43" fontId="0" fillId="0" borderId="0" xfId="1" applyFont="1" applyFill="1"/>
    <xf numFmtId="0" fontId="2" fillId="2" borderId="4" xfId="0" applyFont="1" applyFill="1" applyBorder="1" applyAlignment="1">
      <alignment horizontal="center" vertical="center"/>
    </xf>
    <xf numFmtId="43" fontId="2" fillId="0" borderId="4" xfId="0" applyNumberFormat="1" applyFont="1" applyBorder="1"/>
    <xf numFmtId="0" fontId="3" fillId="11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/>
    </xf>
    <xf numFmtId="43" fontId="0" fillId="0" borderId="0" xfId="1" applyFont="1" applyFill="1" applyBorder="1"/>
    <xf numFmtId="10" fontId="3" fillId="0" borderId="0" xfId="3" applyNumberFormat="1" applyFont="1" applyFill="1" applyAlignment="1">
      <alignment horizontal="center"/>
    </xf>
    <xf numFmtId="10" fontId="0" fillId="0" borderId="0" xfId="3" applyNumberFormat="1" applyFont="1"/>
    <xf numFmtId="14" fontId="0" fillId="0" borderId="0" xfId="0" applyNumberFormat="1" applyAlignment="1">
      <alignment horizontal="center"/>
    </xf>
    <xf numFmtId="10" fontId="1" fillId="0" borderId="0" xfId="3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43" fontId="0" fillId="0" borderId="9" xfId="1" applyFont="1" applyBorder="1"/>
    <xf numFmtId="10" fontId="0" fillId="0" borderId="0" xfId="3" applyNumberFormat="1" applyFont="1" applyBorder="1"/>
    <xf numFmtId="0" fontId="3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2" fontId="0" fillId="2" borderId="0" xfId="0" applyNumberFormat="1" applyFill="1"/>
    <xf numFmtId="164" fontId="0" fillId="0" borderId="0" xfId="0" applyNumberFormat="1"/>
    <xf numFmtId="10" fontId="0" fillId="0" borderId="0" xfId="3" applyNumberFormat="1" applyFont="1" applyFill="1" applyAlignment="1">
      <alignment horizontal="center"/>
    </xf>
    <xf numFmtId="164" fontId="0" fillId="0" borderId="0" xfId="1" applyNumberFormat="1" applyFont="1" applyFill="1" applyBorder="1"/>
    <xf numFmtId="0" fontId="3" fillId="3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3" fillId="11" borderId="7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0" fontId="3" fillId="12" borderId="0" xfId="3" applyNumberFormat="1" applyFont="1" applyFill="1" applyAlignment="1">
      <alignment horizontal="center"/>
    </xf>
    <xf numFmtId="44" fontId="0" fillId="7" borderId="0" xfId="0" applyNumberFormat="1" applyFill="1"/>
    <xf numFmtId="2" fontId="12" fillId="0" borderId="11" xfId="0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0" fontId="12" fillId="0" borderId="7" xfId="3" applyNumberFormat="1" applyFont="1" applyFill="1" applyBorder="1" applyAlignment="1">
      <alignment horizontal="center" vertical="center"/>
    </xf>
    <xf numFmtId="2" fontId="12" fillId="0" borderId="6" xfId="0" applyNumberFormat="1" applyFont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164" fontId="0" fillId="0" borderId="6" xfId="1" applyNumberFormat="1" applyFont="1" applyFill="1" applyBorder="1"/>
    <xf numFmtId="10" fontId="3" fillId="15" borderId="0" xfId="3" applyNumberFormat="1" applyFont="1" applyFill="1" applyAlignment="1">
      <alignment horizontal="center"/>
    </xf>
    <xf numFmtId="9" fontId="0" fillId="0" borderId="0" xfId="3" applyFont="1"/>
    <xf numFmtId="2" fontId="0" fillId="7" borderId="0" xfId="0" applyNumberFormat="1" applyFill="1"/>
    <xf numFmtId="165" fontId="3" fillId="0" borderId="0" xfId="3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165" fontId="0" fillId="19" borderId="0" xfId="3" applyNumberFormat="1" applyFont="1" applyFill="1" applyBorder="1"/>
    <xf numFmtId="0" fontId="3" fillId="0" borderId="23" xfId="0" applyFont="1" applyBorder="1" applyAlignment="1">
      <alignment horizontal="center" vertical="center"/>
    </xf>
    <xf numFmtId="0" fontId="0" fillId="0" borderId="23" xfId="0" applyBorder="1"/>
    <xf numFmtId="0" fontId="3" fillId="0" borderId="22" xfId="0" applyFont="1" applyBorder="1" applyAlignment="1">
      <alignment horizontal="center" vertical="center"/>
    </xf>
    <xf numFmtId="10" fontId="12" fillId="0" borderId="0" xfId="3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10" fontId="12" fillId="0" borderId="11" xfId="3" applyNumberFormat="1" applyFont="1" applyFill="1" applyBorder="1" applyAlignment="1">
      <alignment horizontal="center" vertical="center"/>
    </xf>
    <xf numFmtId="10" fontId="12" fillId="0" borderId="6" xfId="3" applyNumberFormat="1" applyFont="1" applyFill="1" applyBorder="1" applyAlignment="1">
      <alignment horizontal="center" vertical="center"/>
    </xf>
    <xf numFmtId="0" fontId="0" fillId="7" borderId="21" xfId="0" applyFill="1" applyBorder="1"/>
    <xf numFmtId="0" fontId="0" fillId="0" borderId="22" xfId="0" applyBorder="1"/>
    <xf numFmtId="0" fontId="2" fillId="0" borderId="0" xfId="0" applyFont="1" applyAlignment="1">
      <alignment horizontal="center" vertical="center"/>
    </xf>
    <xf numFmtId="43" fontId="0" fillId="0" borderId="3" xfId="0" applyNumberFormat="1" applyBorder="1"/>
    <xf numFmtId="0" fontId="3" fillId="0" borderId="22" xfId="0" applyFont="1" applyBorder="1" applyAlignment="1">
      <alignment horizontal="center"/>
    </xf>
    <xf numFmtId="165" fontId="3" fillId="0" borderId="22" xfId="3" applyNumberFormat="1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8" fillId="0" borderId="3" xfId="2" applyFont="1" applyBorder="1"/>
    <xf numFmtId="44" fontId="8" fillId="0" borderId="4" xfId="2" applyFont="1" applyBorder="1"/>
    <xf numFmtId="0" fontId="0" fillId="0" borderId="0" xfId="0" applyAlignment="1">
      <alignment horizontal="left" vertical="center"/>
    </xf>
    <xf numFmtId="44" fontId="8" fillId="0" borderId="8" xfId="2" applyFont="1" applyBorder="1"/>
    <xf numFmtId="0" fontId="21" fillId="0" borderId="6" xfId="0" applyFont="1" applyBorder="1"/>
    <xf numFmtId="0" fontId="21" fillId="0" borderId="10" xfId="0" applyFont="1" applyBorder="1"/>
    <xf numFmtId="0" fontId="21" fillId="0" borderId="8" xfId="0" applyFont="1" applyBorder="1"/>
    <xf numFmtId="0" fontId="21" fillId="0" borderId="23" xfId="0" applyFont="1" applyBorder="1"/>
    <xf numFmtId="44" fontId="0" fillId="0" borderId="6" xfId="0" applyNumberForma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0" borderId="7" xfId="3" applyNumberFormat="1" applyFont="1" applyBorder="1" applyAlignment="1">
      <alignment horizontal="center" vertical="center"/>
    </xf>
    <xf numFmtId="165" fontId="8" fillId="0" borderId="10" xfId="3" applyNumberFormat="1" applyFont="1" applyBorder="1" applyAlignment="1">
      <alignment horizontal="center" vertical="center"/>
    </xf>
    <xf numFmtId="10" fontId="0" fillId="0" borderId="0" xfId="3" applyNumberFormat="1" applyFont="1" applyFill="1"/>
    <xf numFmtId="0" fontId="2" fillId="2" borderId="21" xfId="0" applyFont="1" applyFill="1" applyBorder="1" applyAlignment="1">
      <alignment horizontal="center" vertical="center"/>
    </xf>
    <xf numFmtId="43" fontId="0" fillId="0" borderId="22" xfId="1" applyFont="1" applyFill="1" applyBorder="1"/>
    <xf numFmtId="0" fontId="0" fillId="7" borderId="12" xfId="0" applyFill="1" applyBorder="1"/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0" fillId="0" borderId="22" xfId="0" applyNumberFormat="1" applyBorder="1"/>
    <xf numFmtId="164" fontId="0" fillId="0" borderId="4" xfId="0" applyNumberFormat="1" applyBorder="1"/>
    <xf numFmtId="10" fontId="0" fillId="0" borderId="0" xfId="0" applyNumberFormat="1"/>
    <xf numFmtId="10" fontId="0" fillId="13" borderId="0" xfId="3" applyNumberFormat="1" applyFont="1" applyFill="1"/>
    <xf numFmtId="0" fontId="2" fillId="13" borderId="11" xfId="0" applyFont="1" applyFill="1" applyBorder="1"/>
    <xf numFmtId="2" fontId="0" fillId="21" borderId="0" xfId="0" applyNumberFormat="1" applyFill="1"/>
    <xf numFmtId="10" fontId="0" fillId="20" borderId="0" xfId="3" applyNumberFormat="1" applyFont="1" applyFill="1" applyBorder="1"/>
    <xf numFmtId="0" fontId="2" fillId="0" borderId="0" xfId="0" applyFont="1"/>
    <xf numFmtId="10" fontId="0" fillId="0" borderId="0" xfId="3" applyNumberFormat="1" applyFont="1" applyFill="1" applyBorder="1"/>
    <xf numFmtId="10" fontId="0" fillId="14" borderId="0" xfId="3" applyNumberFormat="1" applyFont="1" applyFill="1" applyBorder="1"/>
    <xf numFmtId="10" fontId="8" fillId="0" borderId="4" xfId="3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0" borderId="5" xfId="0" applyNumberFormat="1" applyBorder="1"/>
    <xf numFmtId="165" fontId="0" fillId="0" borderId="5" xfId="3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22" xfId="0" applyNumberFormat="1" applyBorder="1"/>
    <xf numFmtId="0" fontId="2" fillId="13" borderId="1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43" fontId="0" fillId="0" borderId="21" xfId="0" applyNumberFormat="1" applyBorder="1"/>
    <xf numFmtId="10" fontId="0" fillId="20" borderId="0" xfId="3" applyNumberFormat="1" applyFont="1" applyFill="1"/>
    <xf numFmtId="10" fontId="0" fillId="0" borderId="6" xfId="3" applyNumberFormat="1" applyFont="1" applyFill="1" applyBorder="1"/>
    <xf numFmtId="10" fontId="0" fillId="14" borderId="0" xfId="3" applyNumberFormat="1" applyFont="1" applyFill="1"/>
    <xf numFmtId="10" fontId="0" fillId="0" borderId="1" xfId="3" applyNumberFormat="1" applyFont="1" applyBorder="1"/>
    <xf numFmtId="10" fontId="0" fillId="0" borderId="2" xfId="3" applyNumberFormat="1" applyFont="1" applyBorder="1"/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44" fontId="2" fillId="0" borderId="0" xfId="2" applyFont="1" applyBorder="1"/>
    <xf numFmtId="0" fontId="2" fillId="0" borderId="4" xfId="0" applyFont="1" applyBorder="1" applyAlignment="1">
      <alignment horizontal="center" vertical="center"/>
    </xf>
    <xf numFmtId="0" fontId="0" fillId="0" borderId="21" xfId="0" applyBorder="1"/>
    <xf numFmtId="10" fontId="0" fillId="0" borderId="0" xfId="3" applyNumberFormat="1" applyFont="1" applyBorder="1" applyAlignment="1">
      <alignment horizontal="right" vertical="center"/>
    </xf>
    <xf numFmtId="0" fontId="0" fillId="9" borderId="5" xfId="0" applyFill="1" applyBorder="1"/>
    <xf numFmtId="0" fontId="0" fillId="9" borderId="0" xfId="0" applyFill="1"/>
    <xf numFmtId="10" fontId="0" fillId="0" borderId="7" xfId="3" applyNumberFormat="1" applyFont="1" applyBorder="1"/>
    <xf numFmtId="0" fontId="24" fillId="7" borderId="4" xfId="0" applyFont="1" applyFill="1" applyBorder="1" applyAlignment="1">
      <alignment horizontal="center" vertical="center"/>
    </xf>
    <xf numFmtId="0" fontId="0" fillId="9" borderId="9" xfId="0" applyFill="1" applyBorder="1"/>
    <xf numFmtId="2" fontId="0" fillId="0" borderId="7" xfId="0" applyNumberFormat="1" applyBorder="1"/>
    <xf numFmtId="0" fontId="10" fillId="0" borderId="23" xfId="0" applyFont="1" applyBorder="1" applyAlignment="1">
      <alignment horizontal="center" vertical="center"/>
    </xf>
    <xf numFmtId="44" fontId="14" fillId="7" borderId="24" xfId="0" applyNumberFormat="1" applyFont="1" applyFill="1" applyBorder="1" applyAlignment="1">
      <alignment horizontal="center" vertical="center"/>
    </xf>
    <xf numFmtId="44" fontId="13" fillId="7" borderId="25" xfId="0" applyNumberFormat="1" applyFont="1" applyFill="1" applyBorder="1" applyAlignment="1">
      <alignment horizontal="center" vertical="center"/>
    </xf>
    <xf numFmtId="0" fontId="25" fillId="12" borderId="2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0" fillId="0" borderId="30" xfId="0" applyBorder="1"/>
    <xf numFmtId="43" fontId="0" fillId="0" borderId="16" xfId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17" borderId="31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0" fillId="0" borderId="31" xfId="0" applyBorder="1"/>
    <xf numFmtId="0" fontId="3" fillId="22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27" fillId="0" borderId="0" xfId="0" applyFont="1"/>
    <xf numFmtId="44" fontId="0" fillId="0" borderId="0" xfId="2" applyFont="1" applyBorder="1" applyAlignment="1">
      <alignment horizontal="center"/>
    </xf>
    <xf numFmtId="0" fontId="17" fillId="0" borderId="0" xfId="0" applyFont="1" applyAlignment="1">
      <alignment horizontal="right" vertical="center"/>
    </xf>
    <xf numFmtId="0" fontId="11" fillId="0" borderId="13" xfId="0" applyFont="1" applyBorder="1"/>
    <xf numFmtId="0" fontId="7" fillId="0" borderId="14" xfId="0" applyFont="1" applyBorder="1" applyAlignment="1">
      <alignment horizontal="center" vertical="center"/>
    </xf>
    <xf numFmtId="10" fontId="0" fillId="0" borderId="17" xfId="3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left"/>
    </xf>
    <xf numFmtId="165" fontId="0" fillId="0" borderId="7" xfId="3" applyNumberFormat="1" applyFont="1" applyBorder="1"/>
    <xf numFmtId="166" fontId="0" fillId="0" borderId="16" xfId="2" applyNumberFormat="1" applyFont="1" applyBorder="1"/>
    <xf numFmtId="0" fontId="28" fillId="0" borderId="17" xfId="0" applyFont="1" applyBorder="1" applyAlignment="1">
      <alignment horizontal="left"/>
    </xf>
    <xf numFmtId="2" fontId="0" fillId="0" borderId="13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10" fontId="1" fillId="0" borderId="39" xfId="3" applyNumberFormat="1" applyFont="1" applyBorder="1" applyAlignment="1">
      <alignment horizontal="center" vertical="center"/>
    </xf>
    <xf numFmtId="10" fontId="1" fillId="0" borderId="36" xfId="3" applyNumberFormat="1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16" fillId="0" borderId="36" xfId="0" applyNumberFormat="1" applyFont="1" applyBorder="1"/>
    <xf numFmtId="0" fontId="2" fillId="13" borderId="41" xfId="0" applyFont="1" applyFill="1" applyBorder="1" applyAlignment="1">
      <alignment horizontal="center" vertical="center"/>
    </xf>
    <xf numFmtId="2" fontId="0" fillId="16" borderId="0" xfId="0" applyNumberFormat="1" applyFill="1"/>
    <xf numFmtId="43" fontId="0" fillId="4" borderId="0" xfId="1" applyFont="1" applyFill="1" applyBorder="1"/>
    <xf numFmtId="0" fontId="2" fillId="17" borderId="5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0" fontId="0" fillId="0" borderId="10" xfId="3" applyNumberFormat="1" applyFont="1" applyBorder="1"/>
    <xf numFmtId="165" fontId="0" fillId="14" borderId="0" xfId="3" applyNumberFormat="1" applyFont="1" applyFill="1"/>
    <xf numFmtId="43" fontId="0" fillId="0" borderId="35" xfId="1" applyFont="1" applyBorder="1"/>
    <xf numFmtId="165" fontId="0" fillId="0" borderId="19" xfId="3" applyNumberFormat="1" applyFont="1" applyFill="1" applyBorder="1"/>
    <xf numFmtId="0" fontId="3" fillId="0" borderId="1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164" fontId="0" fillId="0" borderId="19" xfId="1" applyNumberFormat="1" applyFont="1" applyBorder="1"/>
    <xf numFmtId="2" fontId="0" fillId="0" borderId="19" xfId="0" applyNumberFormat="1" applyBorder="1"/>
    <xf numFmtId="14" fontId="0" fillId="0" borderId="0" xfId="1" applyNumberFormat="1" applyFont="1"/>
    <xf numFmtId="2" fontId="0" fillId="0" borderId="6" xfId="0" applyNumberFormat="1" applyBorder="1" applyAlignment="1">
      <alignment horizontal="center"/>
    </xf>
    <xf numFmtId="10" fontId="0" fillId="0" borderId="8" xfId="3" applyNumberFormat="1" applyFont="1" applyBorder="1"/>
    <xf numFmtId="44" fontId="0" fillId="0" borderId="10" xfId="0" applyNumberFormat="1" applyBorder="1"/>
    <xf numFmtId="0" fontId="2" fillId="0" borderId="9" xfId="0" applyFont="1" applyBorder="1" applyAlignment="1">
      <alignment horizontal="center" vertical="center"/>
    </xf>
    <xf numFmtId="166" fontId="0" fillId="0" borderId="12" xfId="2" applyNumberFormat="1" applyFont="1" applyBorder="1"/>
    <xf numFmtId="14" fontId="0" fillId="0" borderId="0" xfId="1" applyNumberFormat="1" applyFont="1" applyBorder="1"/>
    <xf numFmtId="10" fontId="2" fillId="0" borderId="0" xfId="3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0" fontId="2" fillId="0" borderId="7" xfId="3" applyNumberFormat="1" applyFont="1" applyFill="1" applyBorder="1" applyAlignment="1">
      <alignment horizontal="center"/>
    </xf>
    <xf numFmtId="10" fontId="0" fillId="0" borderId="5" xfId="0" applyNumberFormat="1" applyBorder="1"/>
    <xf numFmtId="2" fontId="0" fillId="0" borderId="10" xfId="0" applyNumberFormat="1" applyBorder="1" applyAlignment="1">
      <alignment horizontal="center"/>
    </xf>
    <xf numFmtId="10" fontId="0" fillId="0" borderId="4" xfId="0" applyNumberFormat="1" applyBorder="1"/>
    <xf numFmtId="10" fontId="0" fillId="3" borderId="0" xfId="3" applyNumberFormat="1" applyFont="1" applyFill="1"/>
    <xf numFmtId="43" fontId="0" fillId="13" borderId="5" xfId="1" applyFont="1" applyFill="1" applyBorder="1"/>
    <xf numFmtId="14" fontId="0" fillId="0" borderId="6" xfId="1" applyNumberFormat="1" applyFont="1" applyBorder="1"/>
    <xf numFmtId="13" fontId="0" fillId="0" borderId="0" xfId="1" applyNumberFormat="1" applyFont="1"/>
    <xf numFmtId="0" fontId="2" fillId="0" borderId="1" xfId="0" applyFont="1" applyBorder="1" applyAlignment="1">
      <alignment horizontal="center"/>
    </xf>
    <xf numFmtId="164" fontId="0" fillId="0" borderId="2" xfId="1" applyNumberFormat="1" applyFont="1" applyBorder="1"/>
    <xf numFmtId="2" fontId="0" fillId="0" borderId="2" xfId="0" applyNumberFormat="1" applyBorder="1"/>
    <xf numFmtId="2" fontId="12" fillId="0" borderId="2" xfId="0" applyNumberFormat="1" applyFont="1" applyBorder="1" applyAlignment="1">
      <alignment horizontal="center" vertical="center"/>
    </xf>
    <xf numFmtId="10" fontId="12" fillId="0" borderId="3" xfId="3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" fontId="0" fillId="0" borderId="12" xfId="0" applyNumberFormat="1" applyBorder="1"/>
    <xf numFmtId="44" fontId="0" fillId="0" borderId="9" xfId="2" applyFont="1" applyBorder="1"/>
    <xf numFmtId="43" fontId="0" fillId="0" borderId="10" xfId="1" applyFont="1" applyBorder="1" applyAlignment="1">
      <alignment horizontal="left"/>
    </xf>
    <xf numFmtId="43" fontId="0" fillId="0" borderId="0" xfId="1" applyFont="1" applyBorder="1" applyAlignment="1">
      <alignment horizontal="left"/>
    </xf>
    <xf numFmtId="10" fontId="0" fillId="0" borderId="4" xfId="3" applyNumberFormat="1" applyFont="1" applyBorder="1"/>
    <xf numFmtId="0" fontId="0" fillId="0" borderId="5" xfId="0" applyBorder="1" applyAlignment="1">
      <alignment horizontal="left"/>
    </xf>
    <xf numFmtId="165" fontId="21" fillId="0" borderId="0" xfId="3" applyNumberFormat="1" applyFont="1" applyBorder="1" applyAlignment="1">
      <alignment horizontal="center" vertical="center"/>
    </xf>
    <xf numFmtId="10" fontId="3" fillId="0" borderId="0" xfId="3" applyNumberFormat="1" applyFont="1" applyBorder="1"/>
    <xf numFmtId="0" fontId="0" fillId="0" borderId="7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" fontId="2" fillId="0" borderId="0" xfId="0" applyNumberFormat="1" applyFont="1"/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7" fontId="0" fillId="0" borderId="1" xfId="3" applyNumberFormat="1" applyFont="1" applyBorder="1"/>
    <xf numFmtId="167" fontId="0" fillId="0" borderId="3" xfId="3" applyNumberFormat="1" applyFont="1" applyBorder="1"/>
    <xf numFmtId="167" fontId="0" fillId="0" borderId="0" xfId="0" applyNumberFormat="1"/>
    <xf numFmtId="0" fontId="0" fillId="0" borderId="7" xfId="0" applyBorder="1" applyAlignment="1">
      <alignment horizontal="center"/>
    </xf>
    <xf numFmtId="0" fontId="0" fillId="17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9" fillId="0" borderId="0" xfId="0" applyFont="1" applyAlignment="1">
      <alignment horizontal="center"/>
    </xf>
    <xf numFmtId="10" fontId="29" fillId="0" borderId="0" xfId="3" applyNumberFormat="1" applyFont="1" applyBorder="1" applyAlignment="1">
      <alignment horizontal="center"/>
    </xf>
    <xf numFmtId="10" fontId="11" fillId="3" borderId="21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6" fontId="0" fillId="13" borderId="12" xfId="2" applyNumberFormat="1" applyFont="1" applyFill="1" applyBorder="1"/>
    <xf numFmtId="0" fontId="24" fillId="7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0" fillId="23" borderId="12" xfId="0" applyFill="1" applyBorder="1"/>
    <xf numFmtId="0" fontId="0" fillId="23" borderId="9" xfId="0" applyFill="1" applyBorder="1"/>
    <xf numFmtId="0" fontId="24" fillId="23" borderId="8" xfId="0" applyFont="1" applyFill="1" applyBorder="1" applyAlignment="1">
      <alignment horizontal="center" vertical="center"/>
    </xf>
    <xf numFmtId="0" fontId="24" fillId="23" borderId="10" xfId="0" applyFont="1" applyFill="1" applyBorder="1" applyAlignment="1">
      <alignment horizontal="center" vertical="center"/>
    </xf>
    <xf numFmtId="0" fontId="8" fillId="23" borderId="11" xfId="0" applyFont="1" applyFill="1" applyBorder="1" applyAlignment="1">
      <alignment horizontal="center" vertical="center"/>
    </xf>
    <xf numFmtId="0" fontId="8" fillId="23" borderId="6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0" fillId="9" borderId="2" xfId="0" applyFill="1" applyBorder="1"/>
    <xf numFmtId="0" fontId="8" fillId="0" borderId="4" xfId="0" applyFont="1" applyBorder="1" applyAlignment="1">
      <alignment horizontal="center" vertical="center"/>
    </xf>
    <xf numFmtId="165" fontId="0" fillId="0" borderId="22" xfId="3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/>
    <xf numFmtId="44" fontId="31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44" fontId="33" fillId="0" borderId="0" xfId="0" applyNumberFormat="1" applyFont="1" applyAlignment="1">
      <alignment horizontal="center" vertical="center"/>
    </xf>
    <xf numFmtId="165" fontId="0" fillId="0" borderId="0" xfId="3" applyNumberFormat="1" applyFont="1" applyBorder="1" applyAlignment="1">
      <alignment horizontal="center" vertical="center"/>
    </xf>
    <xf numFmtId="0" fontId="4" fillId="10" borderId="8" xfId="0" applyFont="1" applyFill="1" applyBorder="1" applyAlignment="1">
      <alignment horizontal="right" vertical="center"/>
    </xf>
    <xf numFmtId="2" fontId="0" fillId="0" borderId="22" xfId="0" applyNumberFormat="1" applyBorder="1"/>
    <xf numFmtId="2" fontId="0" fillId="0" borderId="23" xfId="0" applyNumberFormat="1" applyBorder="1"/>
    <xf numFmtId="0" fontId="4" fillId="0" borderId="4" xfId="0" applyFont="1" applyBorder="1" applyAlignment="1">
      <alignment horizontal="center" vertical="center"/>
    </xf>
    <xf numFmtId="164" fontId="0" fillId="0" borderId="21" xfId="0" applyNumberFormat="1" applyBorder="1"/>
    <xf numFmtId="164" fontId="0" fillId="0" borderId="23" xfId="0" applyNumberFormat="1" applyBorder="1"/>
    <xf numFmtId="164" fontId="0" fillId="0" borderId="7" xfId="0" applyNumberFormat="1" applyBorder="1"/>
    <xf numFmtId="165" fontId="3" fillId="0" borderId="22" xfId="3" applyNumberFormat="1" applyFont="1" applyBorder="1" applyAlignment="1">
      <alignment horizontal="center"/>
    </xf>
    <xf numFmtId="165" fontId="3" fillId="0" borderId="0" xfId="3" applyNumberFormat="1" applyFont="1" applyBorder="1" applyAlignment="1">
      <alignment horizontal="center"/>
    </xf>
    <xf numFmtId="10" fontId="3" fillId="5" borderId="0" xfId="3" applyNumberFormat="1" applyFont="1" applyFill="1" applyAlignment="1">
      <alignment horizontal="center"/>
    </xf>
    <xf numFmtId="10" fontId="0" fillId="0" borderId="6" xfId="0" applyNumberFormat="1" applyBorder="1"/>
    <xf numFmtId="10" fontId="0" fillId="0" borderId="8" xfId="0" applyNumberFormat="1" applyBorder="1"/>
    <xf numFmtId="10" fontId="2" fillId="0" borderId="6" xfId="3" applyNumberFormat="1" applyFont="1" applyFill="1" applyBorder="1" applyAlignment="1">
      <alignment horizontal="center"/>
    </xf>
    <xf numFmtId="10" fontId="2" fillId="0" borderId="10" xfId="3" applyNumberFormat="1" applyFont="1" applyFill="1" applyBorder="1" applyAlignment="1">
      <alignment horizontal="center"/>
    </xf>
    <xf numFmtId="10" fontId="2" fillId="0" borderId="9" xfId="3" applyNumberFormat="1" applyFont="1" applyFill="1" applyBorder="1" applyAlignment="1">
      <alignment horizontal="center"/>
    </xf>
    <xf numFmtId="43" fontId="0" fillId="13" borderId="0" xfId="1" applyFont="1" applyFill="1" applyBorder="1"/>
    <xf numFmtId="0" fontId="2" fillId="0" borderId="12" xfId="0" applyFont="1" applyBorder="1" applyAlignment="1">
      <alignment horizontal="center"/>
    </xf>
    <xf numFmtId="0" fontId="2" fillId="13" borderId="0" xfId="0" applyFont="1" applyFill="1" applyAlignment="1">
      <alignment horizontal="center"/>
    </xf>
    <xf numFmtId="165" fontId="0" fillId="0" borderId="21" xfId="3" applyNumberFormat="1" applyFont="1" applyBorder="1" applyAlignment="1">
      <alignment horizontal="center" vertical="center"/>
    </xf>
    <xf numFmtId="164" fontId="0" fillId="0" borderId="11" xfId="1" applyNumberFormat="1" applyFont="1" applyFill="1" applyBorder="1"/>
    <xf numFmtId="2" fontId="0" fillId="0" borderId="11" xfId="0" applyNumberFormat="1" applyBorder="1"/>
    <xf numFmtId="164" fontId="0" fillId="0" borderId="6" xfId="0" applyNumberFormat="1" applyBorder="1"/>
    <xf numFmtId="165" fontId="3" fillId="0" borderId="5" xfId="3" applyNumberFormat="1" applyFont="1" applyBorder="1" applyAlignment="1">
      <alignment horizontal="center"/>
    </xf>
    <xf numFmtId="164" fontId="0" fillId="0" borderId="5" xfId="1" applyNumberFormat="1" applyFont="1" applyBorder="1"/>
    <xf numFmtId="0" fontId="3" fillId="0" borderId="12" xfId="0" applyFont="1" applyBorder="1" applyAlignment="1">
      <alignment horizontal="center" vertical="center"/>
    </xf>
    <xf numFmtId="10" fontId="0" fillId="0" borderId="9" xfId="3" applyNumberFormat="1" applyFont="1" applyBorder="1" applyAlignment="1">
      <alignment horizontal="center"/>
    </xf>
    <xf numFmtId="10" fontId="0" fillId="0" borderId="7" xfId="3" applyNumberFormat="1" applyFont="1" applyBorder="1" applyAlignment="1">
      <alignment horizontal="center"/>
    </xf>
    <xf numFmtId="165" fontId="0" fillId="0" borderId="6" xfId="3" applyNumberFormat="1" applyFont="1" applyBorder="1"/>
    <xf numFmtId="165" fontId="0" fillId="8" borderId="0" xfId="3" applyNumberFormat="1" applyFont="1" applyFill="1"/>
    <xf numFmtId="0" fontId="2" fillId="13" borderId="0" xfId="0" applyFont="1" applyFill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0" fillId="6" borderId="5" xfId="0" applyFill="1" applyBorder="1"/>
    <xf numFmtId="164" fontId="0" fillId="6" borderId="7" xfId="0" applyNumberFormat="1" applyFill="1" applyBorder="1"/>
    <xf numFmtId="166" fontId="8" fillId="6" borderId="4" xfId="2" applyNumberFormat="1" applyFont="1" applyFill="1" applyBorder="1" applyAlignment="1">
      <alignment horizontal="center" vertical="center"/>
    </xf>
    <xf numFmtId="0" fontId="0" fillId="6" borderId="7" xfId="0" applyFill="1" applyBorder="1"/>
    <xf numFmtId="164" fontId="0" fillId="0" borderId="2" xfId="0" applyNumberFormat="1" applyBorder="1"/>
    <xf numFmtId="168" fontId="0" fillId="0" borderId="2" xfId="1" applyNumberFormat="1" applyFont="1" applyBorder="1"/>
    <xf numFmtId="165" fontId="0" fillId="0" borderId="0" xfId="3" applyNumberFormat="1" applyFont="1" applyBorder="1"/>
    <xf numFmtId="164" fontId="8" fillId="0" borderId="0" xfId="0" applyNumberFormat="1" applyFont="1" applyAlignment="1">
      <alignment horizontal="center" vertical="center"/>
    </xf>
    <xf numFmtId="43" fontId="0" fillId="0" borderId="6" xfId="0" applyNumberFormat="1" applyBorder="1"/>
    <xf numFmtId="0" fontId="8" fillId="13" borderId="4" xfId="0" applyFont="1" applyFill="1" applyBorder="1" applyAlignment="1">
      <alignment horizontal="center" vertical="center"/>
    </xf>
    <xf numFmtId="166" fontId="8" fillId="0" borderId="4" xfId="2" applyNumberFormat="1" applyFont="1" applyBorder="1"/>
    <xf numFmtId="0" fontId="0" fillId="6" borderId="2" xfId="0" applyFill="1" applyBorder="1"/>
    <xf numFmtId="164" fontId="0" fillId="6" borderId="3" xfId="0" applyNumberFormat="1" applyFill="1" applyBorder="1"/>
    <xf numFmtId="166" fontId="11" fillId="6" borderId="23" xfId="2" applyNumberFormat="1" applyFont="1" applyFill="1" applyBorder="1" applyAlignment="1">
      <alignment horizontal="center" vertical="center"/>
    </xf>
    <xf numFmtId="165" fontId="0" fillId="0" borderId="4" xfId="0" applyNumberFormat="1" applyBorder="1"/>
    <xf numFmtId="0" fontId="37" fillId="0" borderId="0" xfId="0" applyFont="1"/>
    <xf numFmtId="165" fontId="36" fillId="0" borderId="0" xfId="3" applyNumberFormat="1" applyFont="1" applyBorder="1"/>
    <xf numFmtId="44" fontId="8" fillId="12" borderId="4" xfId="2" applyFont="1" applyFill="1" applyBorder="1"/>
    <xf numFmtId="164" fontId="8" fillId="0" borderId="4" xfId="1" applyNumberFormat="1" applyFont="1" applyBorder="1"/>
    <xf numFmtId="10" fontId="0" fillId="6" borderId="4" xfId="3" applyNumberFormat="1" applyFont="1" applyFill="1" applyBorder="1"/>
    <xf numFmtId="165" fontId="0" fillId="6" borderId="4" xfId="3" applyNumberFormat="1" applyFont="1" applyFill="1" applyBorder="1"/>
    <xf numFmtId="164" fontId="8" fillId="0" borderId="0" xfId="1" applyNumberFormat="1" applyFont="1" applyBorder="1"/>
    <xf numFmtId="0" fontId="27" fillId="0" borderId="0" xfId="0" applyFont="1" applyAlignment="1">
      <alignment horizontal="center" vertical="center"/>
    </xf>
    <xf numFmtId="0" fontId="34" fillId="0" borderId="0" xfId="0" applyFont="1"/>
    <xf numFmtId="169" fontId="0" fillId="0" borderId="0" xfId="0" applyNumberFormat="1"/>
    <xf numFmtId="0" fontId="36" fillId="0" borderId="0" xfId="0" applyFont="1" applyAlignment="1">
      <alignment horizontal="right"/>
    </xf>
    <xf numFmtId="0" fontId="36" fillId="0" borderId="0" xfId="0" applyFont="1"/>
    <xf numFmtId="0" fontId="35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37" fillId="0" borderId="0" xfId="0" applyFont="1" applyAlignment="1">
      <alignment horizontal="right"/>
    </xf>
    <xf numFmtId="165" fontId="36" fillId="0" borderId="0" xfId="0" applyNumberFormat="1" applyFont="1"/>
    <xf numFmtId="165" fontId="0" fillId="0" borderId="0" xfId="3" applyNumberFormat="1" applyFont="1" applyBorder="1" applyAlignment="1">
      <alignment horizontal="right"/>
    </xf>
    <xf numFmtId="165" fontId="37" fillId="0" borderId="0" xfId="3" applyNumberFormat="1" applyFont="1" applyBorder="1"/>
    <xf numFmtId="9" fontId="0" fillId="0" borderId="0" xfId="3" applyFont="1" applyBorder="1"/>
    <xf numFmtId="10" fontId="36" fillId="0" borderId="0" xfId="0" applyNumberFormat="1" applyFont="1"/>
    <xf numFmtId="9" fontId="0" fillId="0" borderId="0" xfId="0" applyNumberFormat="1"/>
    <xf numFmtId="165" fontId="17" fillId="0" borderId="0" xfId="3" applyNumberFormat="1" applyFont="1" applyBorder="1"/>
    <xf numFmtId="44" fontId="0" fillId="0" borderId="0" xfId="0" applyNumberFormat="1" applyAlignment="1">
      <alignment horizontal="right"/>
    </xf>
    <xf numFmtId="0" fontId="0" fillId="0" borderId="14" xfId="0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0" fillId="0" borderId="15" xfId="0" applyBorder="1"/>
    <xf numFmtId="44" fontId="0" fillId="0" borderId="16" xfId="0" applyNumberFormat="1" applyBorder="1"/>
    <xf numFmtId="44" fontId="22" fillId="15" borderId="33" xfId="2" applyFont="1" applyFill="1" applyBorder="1"/>
    <xf numFmtId="2" fontId="0" fillId="0" borderId="16" xfId="0" applyNumberFormat="1" applyBorder="1"/>
    <xf numFmtId="44" fontId="8" fillId="12" borderId="33" xfId="2" applyFont="1" applyFill="1" applyBorder="1"/>
    <xf numFmtId="0" fontId="35" fillId="0" borderId="16" xfId="0" applyFont="1" applyBorder="1"/>
    <xf numFmtId="0" fontId="0" fillId="0" borderId="16" xfId="0" applyBorder="1" applyAlignment="1">
      <alignment horizontal="right"/>
    </xf>
    <xf numFmtId="0" fontId="35" fillId="0" borderId="16" xfId="0" applyFon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164" fontId="8" fillId="0" borderId="19" xfId="1" applyNumberFormat="1" applyFont="1" applyBorder="1"/>
    <xf numFmtId="0" fontId="37" fillId="0" borderId="19" xfId="0" applyFont="1" applyBorder="1"/>
    <xf numFmtId="0" fontId="2" fillId="2" borderId="0" xfId="0" applyFont="1" applyFill="1" applyAlignment="1">
      <alignment horizontal="center"/>
    </xf>
    <xf numFmtId="164" fontId="0" fillId="2" borderId="0" xfId="1" applyNumberFormat="1" applyFont="1" applyFill="1" applyBorder="1"/>
    <xf numFmtId="165" fontId="3" fillId="2" borderId="0" xfId="3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0" borderId="11" xfId="0" applyNumberFormat="1" applyBorder="1"/>
    <xf numFmtId="164" fontId="0" fillId="0" borderId="22" xfId="1" applyNumberFormat="1" applyFont="1" applyBorder="1"/>
    <xf numFmtId="164" fontId="0" fillId="0" borderId="0" xfId="0" applyNumberFormat="1" applyAlignment="1">
      <alignment horizontal="center" vertical="center"/>
    </xf>
    <xf numFmtId="43" fontId="0" fillId="2" borderId="0" xfId="1" applyFont="1" applyFill="1" applyBorder="1"/>
    <xf numFmtId="14" fontId="0" fillId="0" borderId="11" xfId="1" applyNumberFormat="1" applyFont="1" applyBorder="1"/>
    <xf numFmtId="0" fontId="2" fillId="0" borderId="22" xfId="0" applyFont="1" applyBorder="1" applyAlignment="1">
      <alignment horizontal="center"/>
    </xf>
    <xf numFmtId="10" fontId="0" fillId="0" borderId="7" xfId="0" applyNumberFormat="1" applyBorder="1"/>
    <xf numFmtId="10" fontId="0" fillId="0" borderId="19" xfId="0" applyNumberFormat="1" applyBorder="1"/>
    <xf numFmtId="10" fontId="0" fillId="0" borderId="35" xfId="0" applyNumberFormat="1" applyBorder="1"/>
    <xf numFmtId="14" fontId="0" fillId="0" borderId="19" xfId="1" applyNumberFormat="1" applyFont="1" applyBorder="1"/>
    <xf numFmtId="10" fontId="2" fillId="0" borderId="19" xfId="3" applyNumberFormat="1" applyFont="1" applyFill="1" applyBorder="1" applyAlignment="1">
      <alignment horizontal="center"/>
    </xf>
    <xf numFmtId="10" fontId="2" fillId="0" borderId="32" xfId="3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0" fillId="19" borderId="0" xfId="1" applyFont="1" applyFill="1" applyBorder="1"/>
    <xf numFmtId="164" fontId="0" fillId="2" borderId="0" xfId="0" applyNumberForma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0" fillId="2" borderId="0" xfId="0" applyFill="1"/>
    <xf numFmtId="0" fontId="38" fillId="7" borderId="0" xfId="0" applyFont="1" applyFill="1"/>
    <xf numFmtId="0" fontId="3" fillId="0" borderId="11" xfId="0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/>
    </xf>
    <xf numFmtId="43" fontId="0" fillId="0" borderId="21" xfId="1" applyFont="1" applyBorder="1"/>
    <xf numFmtId="10" fontId="3" fillId="0" borderId="0" xfId="3" applyNumberFormat="1" applyFont="1" applyFill="1" applyBorder="1" applyAlignment="1">
      <alignment horizontal="center"/>
    </xf>
    <xf numFmtId="10" fontId="3" fillId="0" borderId="0" xfId="3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0" fontId="3" fillId="0" borderId="6" xfId="3" applyNumberFormat="1" applyFont="1" applyFill="1" applyBorder="1" applyAlignment="1">
      <alignment horizontal="center"/>
    </xf>
    <xf numFmtId="10" fontId="3" fillId="0" borderId="6" xfId="3" applyNumberFormat="1" applyFont="1" applyBorder="1" applyAlignment="1">
      <alignment horizontal="center"/>
    </xf>
    <xf numFmtId="43" fontId="0" fillId="0" borderId="4" xfId="1" applyFont="1" applyBorder="1"/>
    <xf numFmtId="0" fontId="3" fillId="0" borderId="21" xfId="0" applyFont="1" applyBorder="1" applyAlignment="1">
      <alignment horizontal="center" vertical="center"/>
    </xf>
    <xf numFmtId="0" fontId="2" fillId="13" borderId="5" xfId="0" applyFont="1" applyFill="1" applyBorder="1" applyAlignment="1">
      <alignment horizontal="center"/>
    </xf>
    <xf numFmtId="0" fontId="2" fillId="26" borderId="12" xfId="0" applyFont="1" applyFill="1" applyBorder="1" applyAlignment="1">
      <alignment horizontal="center"/>
    </xf>
    <xf numFmtId="164" fontId="0" fillId="26" borderId="11" xfId="1" applyNumberFormat="1" applyFont="1" applyFill="1" applyBorder="1"/>
    <xf numFmtId="2" fontId="0" fillId="26" borderId="11" xfId="0" applyNumberFormat="1" applyFill="1" applyBorder="1"/>
    <xf numFmtId="0" fontId="0" fillId="26" borderId="11" xfId="0" applyFill="1" applyBorder="1"/>
    <xf numFmtId="0" fontId="0" fillId="26" borderId="11" xfId="0" applyFill="1" applyBorder="1" applyAlignment="1">
      <alignment horizontal="center"/>
    </xf>
    <xf numFmtId="0" fontId="0" fillId="26" borderId="9" xfId="0" applyFill="1" applyBorder="1"/>
    <xf numFmtId="0" fontId="2" fillId="26" borderId="5" xfId="0" applyFont="1" applyFill="1" applyBorder="1" applyAlignment="1">
      <alignment horizontal="center"/>
    </xf>
    <xf numFmtId="164" fontId="0" fillId="26" borderId="0" xfId="1" applyNumberFormat="1" applyFont="1" applyFill="1" applyBorder="1"/>
    <xf numFmtId="2" fontId="0" fillId="26" borderId="0" xfId="0" applyNumberFormat="1" applyFill="1"/>
    <xf numFmtId="43" fontId="0" fillId="26" borderId="0" xfId="0" applyNumberFormat="1" applyFill="1"/>
    <xf numFmtId="165" fontId="3" fillId="26" borderId="0" xfId="3" applyNumberFormat="1" applyFont="1" applyFill="1" applyBorder="1" applyAlignment="1">
      <alignment horizontal="center"/>
    </xf>
    <xf numFmtId="164" fontId="0" fillId="26" borderId="0" xfId="0" applyNumberFormat="1" applyFill="1"/>
    <xf numFmtId="10" fontId="0" fillId="26" borderId="0" xfId="3" applyNumberFormat="1" applyFont="1" applyFill="1" applyBorder="1"/>
    <xf numFmtId="0" fontId="0" fillId="26" borderId="7" xfId="0" applyFill="1" applyBorder="1"/>
    <xf numFmtId="0" fontId="0" fillId="26" borderId="5" xfId="0" applyFill="1" applyBorder="1"/>
    <xf numFmtId="0" fontId="0" fillId="26" borderId="0" xfId="0" applyFill="1"/>
    <xf numFmtId="0" fontId="0" fillId="26" borderId="8" xfId="0" applyFill="1" applyBorder="1"/>
    <xf numFmtId="0" fontId="0" fillId="26" borderId="6" xfId="0" applyFill="1" applyBorder="1"/>
    <xf numFmtId="0" fontId="0" fillId="26" borderId="10" xfId="0" applyFill="1" applyBorder="1"/>
    <xf numFmtId="0" fontId="2" fillId="13" borderId="0" xfId="0" applyFont="1" applyFill="1" applyAlignment="1">
      <alignment horizontal="left" vertical="center"/>
    </xf>
    <xf numFmtId="44" fontId="12" fillId="12" borderId="21" xfId="2" applyFont="1" applyFill="1" applyBorder="1"/>
    <xf numFmtId="0" fontId="0" fillId="6" borderId="1" xfId="0" applyFill="1" applyBorder="1"/>
    <xf numFmtId="0" fontId="11" fillId="12" borderId="23" xfId="0" applyFont="1" applyFill="1" applyBorder="1" applyAlignment="1">
      <alignment horizontal="center" vertical="center"/>
    </xf>
    <xf numFmtId="170" fontId="40" fillId="27" borderId="0" xfId="0" applyNumberFormat="1" applyFont="1" applyFill="1"/>
    <xf numFmtId="164" fontId="40" fillId="27" borderId="11" xfId="0" applyNumberFormat="1" applyFont="1" applyFill="1" applyBorder="1"/>
    <xf numFmtId="14" fontId="0" fillId="0" borderId="0" xfId="0" applyNumberFormat="1"/>
    <xf numFmtId="44" fontId="41" fillId="0" borderId="6" xfId="0" applyNumberFormat="1" applyFont="1" applyBorder="1"/>
    <xf numFmtId="0" fontId="8" fillId="12" borderId="2" xfId="0" applyFont="1" applyFill="1" applyBorder="1"/>
    <xf numFmtId="164" fontId="8" fillId="12" borderId="2" xfId="0" applyNumberFormat="1" applyFont="1" applyFill="1" applyBorder="1"/>
    <xf numFmtId="0" fontId="0" fillId="12" borderId="0" xfId="0" applyFill="1"/>
    <xf numFmtId="10" fontId="8" fillId="12" borderId="0" xfId="3" applyNumberFormat="1" applyFont="1" applyFill="1"/>
    <xf numFmtId="0" fontId="2" fillId="0" borderId="6" xfId="0" applyFont="1" applyBorder="1"/>
    <xf numFmtId="0" fontId="2" fillId="28" borderId="0" xfId="0" applyFont="1" applyFill="1"/>
    <xf numFmtId="0" fontId="2" fillId="21" borderId="0" xfId="0" applyFont="1" applyFill="1"/>
    <xf numFmtId="0" fontId="2" fillId="20" borderId="5" xfId="0" applyFont="1" applyFill="1" applyBorder="1" applyAlignment="1">
      <alignment horizontal="center"/>
    </xf>
    <xf numFmtId="10" fontId="0" fillId="0" borderId="10" xfId="0" applyNumberFormat="1" applyBorder="1"/>
    <xf numFmtId="164" fontId="0" fillId="0" borderId="1" xfId="0" applyNumberFormat="1" applyBorder="1"/>
    <xf numFmtId="164" fontId="0" fillId="9" borderId="0" xfId="0" applyNumberFormat="1" applyFill="1"/>
    <xf numFmtId="0" fontId="2" fillId="9" borderId="0" xfId="0" applyFont="1" applyFill="1" applyAlignment="1">
      <alignment horizontal="center"/>
    </xf>
    <xf numFmtId="164" fontId="0" fillId="9" borderId="0" xfId="1" applyNumberFormat="1" applyFont="1" applyFill="1" applyBorder="1"/>
    <xf numFmtId="2" fontId="0" fillId="9" borderId="0" xfId="0" applyNumberFormat="1" applyFill="1"/>
    <xf numFmtId="165" fontId="3" fillId="9" borderId="0" xfId="3" applyNumberFormat="1" applyFont="1" applyFill="1" applyBorder="1" applyAlignment="1">
      <alignment horizontal="center"/>
    </xf>
    <xf numFmtId="2" fontId="0" fillId="9" borderId="0" xfId="0" applyNumberFormat="1" applyFill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5" fontId="8" fillId="0" borderId="0" xfId="3" applyNumberFormat="1" applyFont="1" applyAlignment="1">
      <alignment horizontal="right"/>
    </xf>
    <xf numFmtId="2" fontId="0" fillId="0" borderId="8" xfId="0" applyNumberFormat="1" applyBorder="1"/>
    <xf numFmtId="14" fontId="0" fillId="0" borderId="6" xfId="0" applyNumberFormat="1" applyBorder="1"/>
    <xf numFmtId="0" fontId="4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0" fillId="6" borderId="1" xfId="3" applyNumberFormat="1" applyFont="1" applyFill="1" applyBorder="1"/>
    <xf numFmtId="0" fontId="8" fillId="24" borderId="12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4" borderId="5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39" fillId="0" borderId="5" xfId="0" applyFont="1" applyBorder="1" applyAlignment="1">
      <alignment horizontal="center" vertical="top"/>
    </xf>
    <xf numFmtId="165" fontId="0" fillId="6" borderId="5" xfId="3" applyNumberFormat="1" applyFont="1" applyFill="1" applyBorder="1"/>
    <xf numFmtId="165" fontId="21" fillId="0" borderId="0" xfId="3" applyNumberFormat="1" applyFont="1" applyAlignment="1">
      <alignment horizontal="right"/>
    </xf>
    <xf numFmtId="0" fontId="0" fillId="19" borderId="0" xfId="0" applyFill="1"/>
    <xf numFmtId="2" fontId="0" fillId="19" borderId="0" xfId="0" applyNumberFormat="1" applyFill="1"/>
    <xf numFmtId="0" fontId="2" fillId="29" borderId="0" xfId="0" applyFont="1" applyFill="1"/>
    <xf numFmtId="43" fontId="0" fillId="0" borderId="7" xfId="0" applyNumberFormat="1" applyBorder="1"/>
    <xf numFmtId="0" fontId="2" fillId="0" borderId="6" xfId="0" applyFont="1" applyBorder="1" applyAlignment="1">
      <alignment horizontal="right"/>
    </xf>
    <xf numFmtId="165" fontId="0" fillId="25" borderId="0" xfId="3" applyNumberFormat="1" applyFont="1" applyFill="1"/>
    <xf numFmtId="0" fontId="22" fillId="9" borderId="4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1" fillId="8" borderId="41" xfId="0" applyFont="1" applyFill="1" applyBorder="1" applyAlignment="1">
      <alignment horizontal="center" vertical="center"/>
    </xf>
    <xf numFmtId="165" fontId="0" fillId="0" borderId="21" xfId="3" applyNumberFormat="1" applyFont="1" applyBorder="1"/>
    <xf numFmtId="165" fontId="0" fillId="0" borderId="22" xfId="3" applyNumberFormat="1" applyFont="1" applyBorder="1"/>
    <xf numFmtId="165" fontId="0" fillId="0" borderId="23" xfId="3" applyNumberFormat="1" applyFont="1" applyBorder="1"/>
    <xf numFmtId="171" fontId="0" fillId="0" borderId="0" xfId="0" applyNumberFormat="1"/>
    <xf numFmtId="165" fontId="0" fillId="0" borderId="0" xfId="3" applyNumberFormat="1" applyFont="1" applyAlignment="1">
      <alignment horizontal="center"/>
    </xf>
    <xf numFmtId="10" fontId="0" fillId="0" borderId="21" xfId="3" applyNumberFormat="1" applyFont="1" applyBorder="1" applyAlignment="1">
      <alignment horizontal="center"/>
    </xf>
    <xf numFmtId="10" fontId="0" fillId="0" borderId="22" xfId="3" applyNumberFormat="1" applyFont="1" applyBorder="1" applyAlignment="1">
      <alignment horizontal="center"/>
    </xf>
    <xf numFmtId="0" fontId="2" fillId="15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0" fillId="13" borderId="0" xfId="0" applyNumberFormat="1" applyFill="1"/>
    <xf numFmtId="10" fontId="0" fillId="0" borderId="21" xfId="3" applyNumberFormat="1" applyFont="1" applyBorder="1" applyAlignment="1">
      <alignment horizontal="center" vertical="center"/>
    </xf>
    <xf numFmtId="10" fontId="0" fillId="0" borderId="22" xfId="3" applyNumberFormat="1" applyFont="1" applyBorder="1" applyAlignment="1">
      <alignment horizontal="center" vertical="center"/>
    </xf>
    <xf numFmtId="10" fontId="0" fillId="0" borderId="23" xfId="3" applyNumberFormat="1" applyFont="1" applyBorder="1" applyAlignment="1">
      <alignment horizontal="center" vertical="center"/>
    </xf>
    <xf numFmtId="9" fontId="1" fillId="0" borderId="0" xfId="3" applyFont="1"/>
    <xf numFmtId="165" fontId="1" fillId="0" borderId="0" xfId="3" applyNumberFormat="1" applyFont="1"/>
    <xf numFmtId="165" fontId="1" fillId="0" borderId="0" xfId="3" applyNumberFormat="1" applyFont="1" applyAlignment="1">
      <alignment horizontal="right"/>
    </xf>
    <xf numFmtId="164" fontId="0" fillId="13" borderId="4" xfId="0" applyNumberFormat="1" applyFill="1" applyBorder="1" applyAlignment="1">
      <alignment vertical="center"/>
    </xf>
    <xf numFmtId="44" fontId="0" fillId="0" borderId="0" xfId="2" applyFont="1"/>
    <xf numFmtId="10" fontId="3" fillId="13" borderId="0" xfId="3" applyNumberFormat="1" applyFont="1" applyFill="1" applyAlignment="1">
      <alignment horizontal="center"/>
    </xf>
    <xf numFmtId="10" fontId="3" fillId="15" borderId="0" xfId="3" applyNumberFormat="1" applyFont="1" applyFill="1" applyBorder="1" applyAlignment="1">
      <alignment horizontal="center"/>
    </xf>
    <xf numFmtId="10" fontId="3" fillId="0" borderId="7" xfId="3" applyNumberFormat="1" applyFont="1" applyBorder="1" applyAlignment="1">
      <alignment horizontal="center"/>
    </xf>
    <xf numFmtId="10" fontId="0" fillId="0" borderId="22" xfId="3" applyNumberFormat="1" applyFont="1" applyFill="1" applyBorder="1" applyAlignment="1">
      <alignment horizontal="center"/>
    </xf>
    <xf numFmtId="165" fontId="0" fillId="0" borderId="22" xfId="3" applyNumberFormat="1" applyFont="1" applyFill="1" applyBorder="1" applyAlignment="1">
      <alignment horizontal="center" vertical="center"/>
    </xf>
    <xf numFmtId="166" fontId="0" fillId="0" borderId="0" xfId="0" applyNumberFormat="1"/>
    <xf numFmtId="0" fontId="21" fillId="0" borderId="0" xfId="0" applyFont="1"/>
    <xf numFmtId="43" fontId="8" fillId="0" borderId="0" xfId="0" applyNumberFormat="1" applyFont="1"/>
    <xf numFmtId="165" fontId="8" fillId="0" borderId="0" xfId="3" applyNumberFormat="1" applyFont="1" applyFill="1" applyAlignment="1">
      <alignment horizontal="right"/>
    </xf>
    <xf numFmtId="0" fontId="8" fillId="0" borderId="0" xfId="0" applyFont="1" applyAlignment="1">
      <alignment horizontal="right"/>
    </xf>
    <xf numFmtId="10" fontId="0" fillId="0" borderId="0" xfId="3" applyNumberFormat="1" applyFont="1" applyBorder="1" applyAlignment="1">
      <alignment horizontal="center" vertical="center"/>
    </xf>
    <xf numFmtId="0" fontId="29" fillId="0" borderId="5" xfId="0" applyFont="1" applyBorder="1" applyAlignment="1">
      <alignment horizontal="center"/>
    </xf>
    <xf numFmtId="165" fontId="29" fillId="15" borderId="7" xfId="3" applyNumberFormat="1" applyFont="1" applyFill="1" applyBorder="1" applyAlignment="1">
      <alignment horizontal="center"/>
    </xf>
    <xf numFmtId="0" fontId="24" fillId="7" borderId="3" xfId="0" applyFont="1" applyFill="1" applyBorder="1" applyAlignment="1">
      <alignment horizontal="center" vertical="center"/>
    </xf>
    <xf numFmtId="164" fontId="0" fillId="26" borderId="7" xfId="0" applyNumberFormat="1" applyFill="1" applyBorder="1"/>
    <xf numFmtId="164" fontId="0" fillId="0" borderId="0" xfId="1" applyNumberFormat="1" applyFont="1" applyFill="1"/>
    <xf numFmtId="14" fontId="0" fillId="0" borderId="11" xfId="0" applyNumberFormat="1" applyBorder="1"/>
    <xf numFmtId="2" fontId="0" fillId="29" borderId="22" xfId="0" applyNumberFormat="1" applyFill="1" applyBorder="1"/>
    <xf numFmtId="0" fontId="0" fillId="6" borderId="42" xfId="0" applyFill="1" applyBorder="1"/>
    <xf numFmtId="0" fontId="0" fillId="6" borderId="14" xfId="0" applyFill="1" applyBorder="1"/>
    <xf numFmtId="0" fontId="0" fillId="6" borderId="43" xfId="0" applyFill="1" applyBorder="1"/>
    <xf numFmtId="0" fontId="0" fillId="6" borderId="0" xfId="0" applyFill="1"/>
    <xf numFmtId="0" fontId="16" fillId="6" borderId="0" xfId="0" applyFont="1" applyFill="1" applyAlignment="1">
      <alignment horizontal="right" vertical="center"/>
    </xf>
    <xf numFmtId="0" fontId="8" fillId="6" borderId="0" xfId="0" applyFont="1" applyFill="1" applyAlignment="1">
      <alignment horizontal="right" vertical="center"/>
    </xf>
    <xf numFmtId="166" fontId="0" fillId="6" borderId="0" xfId="0" applyNumberFormat="1" applyFill="1"/>
    <xf numFmtId="0" fontId="0" fillId="6" borderId="35" xfId="0" applyFill="1" applyBorder="1"/>
    <xf numFmtId="0" fontId="0" fillId="6" borderId="19" xfId="0" applyFill="1" applyBorder="1"/>
    <xf numFmtId="165" fontId="0" fillId="6" borderId="19" xfId="3" applyNumberFormat="1" applyFont="1" applyFill="1" applyBorder="1"/>
    <xf numFmtId="9" fontId="13" fillId="12" borderId="46" xfId="0" applyNumberFormat="1" applyFont="1" applyFill="1" applyBorder="1"/>
    <xf numFmtId="0" fontId="2" fillId="6" borderId="47" xfId="0" applyFont="1" applyFill="1" applyBorder="1" applyAlignment="1">
      <alignment horizontal="center" vertical="center"/>
    </xf>
    <xf numFmtId="164" fontId="2" fillId="13" borderId="45" xfId="0" applyNumberFormat="1" applyFont="1" applyFill="1" applyBorder="1"/>
    <xf numFmtId="0" fontId="0" fillId="7" borderId="13" xfId="0" applyFill="1" applyBorder="1"/>
    <xf numFmtId="0" fontId="3" fillId="7" borderId="14" xfId="0" applyFont="1" applyFill="1" applyBorder="1" applyAlignment="1">
      <alignment horizontal="center" vertical="center"/>
    </xf>
    <xf numFmtId="0" fontId="0" fillId="7" borderId="16" xfId="0" applyFill="1" applyBorder="1"/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18" xfId="0" applyFill="1" applyBorder="1"/>
    <xf numFmtId="0" fontId="0" fillId="7" borderId="19" xfId="0" applyFill="1" applyBorder="1"/>
    <xf numFmtId="166" fontId="42" fillId="7" borderId="38" xfId="2" applyNumberFormat="1" applyFont="1" applyFill="1" applyBorder="1" applyAlignment="1">
      <alignment horizontal="center"/>
    </xf>
    <xf numFmtId="166" fontId="0" fillId="7" borderId="31" xfId="2" applyNumberFormat="1" applyFont="1" applyFill="1" applyBorder="1" applyAlignment="1">
      <alignment horizontal="center"/>
    </xf>
    <xf numFmtId="165" fontId="2" fillId="7" borderId="29" xfId="3" applyNumberFormat="1" applyFont="1" applyFill="1" applyBorder="1" applyAlignment="1">
      <alignment horizontal="center" vertical="top"/>
    </xf>
    <xf numFmtId="0" fontId="0" fillId="7" borderId="17" xfId="0" applyFill="1" applyBorder="1"/>
    <xf numFmtId="0" fontId="17" fillId="7" borderId="20" xfId="0" applyFont="1" applyFill="1" applyBorder="1" applyAlignment="1">
      <alignment horizontal="center" vertical="center"/>
    </xf>
    <xf numFmtId="172" fontId="0" fillId="0" borderId="0" xfId="2" applyNumberFormat="1" applyFont="1"/>
    <xf numFmtId="0" fontId="8" fillId="0" borderId="5" xfId="0" applyFont="1" applyBorder="1" applyAlignment="1">
      <alignment horizontal="center"/>
    </xf>
    <xf numFmtId="164" fontId="21" fillId="0" borderId="0" xfId="1" applyNumberFormat="1" applyFont="1" applyBorder="1"/>
    <xf numFmtId="2" fontId="21" fillId="0" borderId="0" xfId="0" applyNumberFormat="1" applyFont="1"/>
    <xf numFmtId="164" fontId="21" fillId="0" borderId="0" xfId="1" applyNumberFormat="1" applyFont="1" applyFill="1" applyBorder="1"/>
    <xf numFmtId="2" fontId="21" fillId="0" borderId="6" xfId="0" applyNumberFormat="1" applyFont="1" applyBorder="1"/>
    <xf numFmtId="43" fontId="21" fillId="0" borderId="22" xfId="1" applyFont="1" applyBorder="1"/>
    <xf numFmtId="43" fontId="21" fillId="0" borderId="23" xfId="1" applyFont="1" applyBorder="1"/>
    <xf numFmtId="43" fontId="21" fillId="0" borderId="22" xfId="1" applyFont="1" applyFill="1" applyBorder="1"/>
    <xf numFmtId="165" fontId="21" fillId="0" borderId="0" xfId="3" applyNumberFormat="1" applyFont="1" applyFill="1" applyBorder="1"/>
    <xf numFmtId="165" fontId="0" fillId="0" borderId="7" xfId="3" applyNumberFormat="1" applyFont="1" applyFill="1" applyBorder="1"/>
    <xf numFmtId="165" fontId="36" fillId="0" borderId="6" xfId="3" applyNumberFormat="1" applyFont="1" applyBorder="1"/>
    <xf numFmtId="165" fontId="36" fillId="0" borderId="0" xfId="3" applyNumberFormat="1" applyFont="1"/>
    <xf numFmtId="165" fontId="2" fillId="29" borderId="4" xfId="3" applyNumberFormat="1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165" fontId="2" fillId="14" borderId="4" xfId="3" applyNumberFormat="1" applyFont="1" applyFill="1" applyBorder="1" applyAlignment="1">
      <alignment horizontal="center" vertical="center"/>
    </xf>
    <xf numFmtId="44" fontId="8" fillId="12" borderId="23" xfId="2" applyFont="1" applyFill="1" applyBorder="1"/>
    <xf numFmtId="10" fontId="0" fillId="6" borderId="23" xfId="3" applyNumberFormat="1" applyFont="1" applyFill="1" applyBorder="1"/>
    <xf numFmtId="0" fontId="0" fillId="0" borderId="6" xfId="0" applyBorder="1" applyAlignment="1">
      <alignment horizontal="right"/>
    </xf>
    <xf numFmtId="44" fontId="8" fillId="12" borderId="28" xfId="2" applyFont="1" applyFill="1" applyBorder="1"/>
    <xf numFmtId="0" fontId="0" fillId="0" borderId="34" xfId="0" applyBorder="1"/>
    <xf numFmtId="165" fontId="0" fillId="0" borderId="6" xfId="0" applyNumberFormat="1" applyBorder="1"/>
    <xf numFmtId="0" fontId="0" fillId="7" borderId="11" xfId="0" applyFill="1" applyBorder="1"/>
    <xf numFmtId="164" fontId="12" fillId="0" borderId="7" xfId="0" applyNumberFormat="1" applyFont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0" fillId="7" borderId="6" xfId="0" applyFill="1" applyBorder="1"/>
    <xf numFmtId="165" fontId="2" fillId="0" borderId="0" xfId="3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8" borderId="4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44" fillId="0" borderId="5" xfId="0" applyFont="1" applyBorder="1" applyAlignment="1">
      <alignment horizontal="center"/>
    </xf>
    <xf numFmtId="44" fontId="0" fillId="0" borderId="5" xfId="2" applyFont="1" applyBorder="1"/>
    <xf numFmtId="43" fontId="0" fillId="0" borderId="0" xfId="1" applyFont="1" applyBorder="1" applyAlignment="1">
      <alignment horizontal="center"/>
    </xf>
    <xf numFmtId="43" fontId="0" fillId="0" borderId="7" xfId="0" applyNumberFormat="1" applyBorder="1" applyAlignment="1">
      <alignment horizontal="center"/>
    </xf>
    <xf numFmtId="0" fontId="44" fillId="0" borderId="7" xfId="0" applyFont="1" applyBorder="1" applyAlignment="1">
      <alignment horizontal="left"/>
    </xf>
    <xf numFmtId="44" fontId="0" fillId="0" borderId="0" xfId="2" applyFont="1" applyFill="1" applyBorder="1" applyAlignment="1"/>
    <xf numFmtId="0" fontId="0" fillId="20" borderId="0" xfId="0" applyFill="1" applyAlignment="1">
      <alignment horizontal="center"/>
    </xf>
    <xf numFmtId="0" fontId="0" fillId="20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17" fontId="0" fillId="3" borderId="0" xfId="0" applyNumberFormat="1" applyFill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Fill="1" applyAlignment="1">
      <alignment horizontal="center"/>
    </xf>
    <xf numFmtId="43" fontId="0" fillId="13" borderId="0" xfId="1" applyFont="1" applyFill="1" applyAlignment="1">
      <alignment horizontal="center"/>
    </xf>
    <xf numFmtId="43" fontId="0" fillId="13" borderId="5" xfId="1" applyFont="1" applyFill="1" applyBorder="1" applyAlignment="1">
      <alignment horizontal="center"/>
    </xf>
    <xf numFmtId="0" fontId="0" fillId="21" borderId="0" xfId="0" applyFill="1" applyAlignment="1">
      <alignment horizontal="left"/>
    </xf>
    <xf numFmtId="43" fontId="0" fillId="13" borderId="0" xfId="1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44" fillId="0" borderId="7" xfId="0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7" fontId="0" fillId="0" borderId="0" xfId="3" applyNumberFormat="1" applyFont="1" applyAlignment="1">
      <alignment horizontal="center"/>
    </xf>
    <xf numFmtId="0" fontId="0" fillId="0" borderId="12" xfId="0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22" borderId="5" xfId="0" applyNumberFormat="1" applyFill="1" applyBorder="1" applyAlignment="1">
      <alignment horizontal="center"/>
    </xf>
    <xf numFmtId="10" fontId="0" fillId="0" borderId="0" xfId="3" applyNumberFormat="1" applyFont="1" applyAlignment="1">
      <alignment horizontal="center"/>
    </xf>
    <xf numFmtId="43" fontId="0" fillId="13" borderId="0" xfId="1" applyFont="1" applyFill="1"/>
    <xf numFmtId="0" fontId="37" fillId="0" borderId="0" xfId="0" applyFont="1" applyAlignment="1">
      <alignment horizontal="left"/>
    </xf>
    <xf numFmtId="0" fontId="37" fillId="0" borderId="5" xfId="0" applyFont="1" applyBorder="1" applyAlignment="1">
      <alignment horizontal="center"/>
    </xf>
    <xf numFmtId="0" fontId="37" fillId="0" borderId="0" xfId="0" applyFont="1" applyAlignment="1">
      <alignment horizontal="center"/>
    </xf>
    <xf numFmtId="43" fontId="0" fillId="0" borderId="5" xfId="1" applyFont="1" applyBorder="1" applyAlignment="1">
      <alignment horizontal="center"/>
    </xf>
    <xf numFmtId="44" fontId="1" fillId="0" borderId="4" xfId="2" applyFont="1" applyBorder="1"/>
    <xf numFmtId="44" fontId="1" fillId="0" borderId="4" xfId="2" applyFont="1" applyFill="1" applyBorder="1"/>
    <xf numFmtId="43" fontId="0" fillId="18" borderId="0" xfId="1" applyFont="1" applyFill="1" applyAlignment="1">
      <alignment horizontal="center"/>
    </xf>
    <xf numFmtId="43" fontId="0" fillId="18" borderId="5" xfId="1" applyFont="1" applyFill="1" applyBorder="1" applyAlignment="1">
      <alignment horizontal="center"/>
    </xf>
    <xf numFmtId="43" fontId="0" fillId="18" borderId="0" xfId="1" applyFont="1" applyFill="1" applyBorder="1" applyAlignment="1">
      <alignment horizontal="center"/>
    </xf>
    <xf numFmtId="166" fontId="1" fillId="0" borderId="4" xfId="2" applyNumberFormat="1" applyFont="1" applyFill="1" applyBorder="1"/>
    <xf numFmtId="43" fontId="0" fillId="0" borderId="0" xfId="0" applyNumberFormat="1" applyAlignment="1">
      <alignment horizontal="center"/>
    </xf>
    <xf numFmtId="43" fontId="0" fillId="0" borderId="4" xfId="0" applyNumberFormat="1" applyBorder="1" applyAlignment="1">
      <alignment horizontal="center"/>
    </xf>
    <xf numFmtId="10" fontId="0" fillId="0" borderId="5" xfId="3" applyNumberFormat="1" applyFont="1" applyBorder="1" applyAlignment="1">
      <alignment horizontal="center"/>
    </xf>
    <xf numFmtId="167" fontId="0" fillId="0" borderId="7" xfId="3" applyNumberFormat="1" applyFont="1" applyBorder="1" applyAlignment="1">
      <alignment horizontal="center"/>
    </xf>
    <xf numFmtId="167" fontId="0" fillId="0" borderId="0" xfId="3" applyNumberFormat="1" applyFont="1" applyBorder="1" applyAlignment="1">
      <alignment horizontal="center"/>
    </xf>
    <xf numFmtId="43" fontId="45" fillId="0" borderId="7" xfId="0" applyNumberFormat="1" applyFont="1" applyBorder="1" applyAlignment="1">
      <alignment horizontal="center"/>
    </xf>
    <xf numFmtId="164" fontId="0" fillId="0" borderId="21" xfId="1" applyNumberFormat="1" applyFont="1" applyBorder="1"/>
    <xf numFmtId="164" fontId="0" fillId="0" borderId="21" xfId="1" applyNumberFormat="1" applyFont="1" applyBorder="1" applyAlignment="1">
      <alignment horizontal="center"/>
    </xf>
    <xf numFmtId="43" fontId="0" fillId="0" borderId="5" xfId="0" applyNumberFormat="1" applyBorder="1" applyAlignment="1">
      <alignment horizontal="center"/>
    </xf>
    <xf numFmtId="43" fontId="0" fillId="23" borderId="21" xfId="0" applyNumberFormat="1" applyFill="1" applyBorder="1" applyAlignment="1">
      <alignment horizontal="center"/>
    </xf>
    <xf numFmtId="10" fontId="0" fillId="0" borderId="23" xfId="3" applyNumberFormat="1" applyFont="1" applyBorder="1"/>
    <xf numFmtId="43" fontId="0" fillId="0" borderId="3" xfId="0" applyNumberFormat="1" applyBorder="1" applyAlignment="1">
      <alignment horizontal="center"/>
    </xf>
    <xf numFmtId="43" fontId="0" fillId="0" borderId="5" xfId="3" applyNumberFormat="1" applyFont="1" applyBorder="1" applyAlignment="1">
      <alignment horizontal="center"/>
    </xf>
    <xf numFmtId="0" fontId="0" fillId="23" borderId="23" xfId="0" applyFill="1" applyBorder="1" applyAlignment="1">
      <alignment horizontal="center"/>
    </xf>
    <xf numFmtId="43" fontId="0" fillId="30" borderId="12" xfId="3" applyNumberFormat="1" applyFont="1" applyFill="1" applyBorder="1" applyAlignment="1">
      <alignment horizontal="center"/>
    </xf>
    <xf numFmtId="10" fontId="0" fillId="30" borderId="9" xfId="3" applyNumberFormat="1" applyFont="1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43" fontId="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30" borderId="8" xfId="0" applyNumberFormat="1" applyFill="1" applyBorder="1" applyAlignment="1">
      <alignment horizontal="center"/>
    </xf>
    <xf numFmtId="43" fontId="0" fillId="30" borderId="10" xfId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10" xfId="1" applyFont="1" applyBorder="1" applyAlignment="1">
      <alignment horizontal="center"/>
    </xf>
    <xf numFmtId="10" fontId="0" fillId="23" borderId="23" xfId="3" applyNumberFormat="1" applyFont="1" applyFill="1" applyBorder="1"/>
    <xf numFmtId="0" fontId="17" fillId="0" borderId="0" xfId="0" applyFont="1" applyAlignment="1">
      <alignment horizontal="center"/>
    </xf>
    <xf numFmtId="0" fontId="17" fillId="0" borderId="7" xfId="0" applyFont="1" applyBorder="1" applyAlignment="1">
      <alignment horizontal="center"/>
    </xf>
    <xf numFmtId="43" fontId="0" fillId="18" borderId="0" xfId="0" applyNumberFormat="1" applyFill="1"/>
    <xf numFmtId="0" fontId="0" fillId="18" borderId="0" xfId="0" applyFill="1"/>
    <xf numFmtId="14" fontId="0" fillId="0" borderId="0" xfId="0" applyNumberFormat="1" applyAlignment="1">
      <alignment horizontal="right"/>
    </xf>
    <xf numFmtId="0" fontId="17" fillId="0" borderId="0" xfId="0" applyFont="1"/>
    <xf numFmtId="10" fontId="0" fillId="0" borderId="4" xfId="3" applyNumberFormat="1" applyFont="1" applyFill="1" applyBorder="1" applyAlignment="1">
      <alignment horizontal="center" vertical="center"/>
    </xf>
    <xf numFmtId="10" fontId="0" fillId="0" borderId="9" xfId="3" applyNumberFormat="1" applyFont="1" applyFill="1" applyBorder="1" applyAlignment="1">
      <alignment vertical="center"/>
    </xf>
    <xf numFmtId="16" fontId="0" fillId="0" borderId="5" xfId="0" applyNumberFormat="1" applyBorder="1"/>
    <xf numFmtId="0" fontId="0" fillId="0" borderId="7" xfId="0" applyBorder="1" applyAlignment="1">
      <alignment vertical="center"/>
    </xf>
    <xf numFmtId="16" fontId="0" fillId="0" borderId="8" xfId="0" applyNumberFormat="1" applyBorder="1"/>
    <xf numFmtId="0" fontId="0" fillId="0" borderId="10" xfId="0" applyBorder="1" applyAlignment="1">
      <alignment vertical="center"/>
    </xf>
    <xf numFmtId="165" fontId="0" fillId="0" borderId="0" xfId="0" applyNumberFormat="1" applyAlignment="1">
      <alignment horizontal="center" vertical="center"/>
    </xf>
    <xf numFmtId="166" fontId="0" fillId="0" borderId="7" xfId="0" applyNumberFormat="1" applyBorder="1"/>
    <xf numFmtId="0" fontId="17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166" fontId="0" fillId="0" borderId="10" xfId="0" applyNumberFormat="1" applyBorder="1" applyAlignment="1">
      <alignment horizontal="center"/>
    </xf>
    <xf numFmtId="17" fontId="8" fillId="3" borderId="4" xfId="0" applyNumberFormat="1" applyFont="1" applyFill="1" applyBorder="1" applyAlignment="1">
      <alignment horizontal="center"/>
    </xf>
    <xf numFmtId="14" fontId="0" fillId="0" borderId="2" xfId="0" applyNumberFormat="1" applyBorder="1"/>
    <xf numFmtId="165" fontId="1" fillId="0" borderId="11" xfId="3" applyNumberFormat="1" applyFont="1" applyBorder="1" applyAlignment="1">
      <alignment horizontal="right"/>
    </xf>
    <xf numFmtId="43" fontId="0" fillId="0" borderId="9" xfId="1" applyFont="1" applyFill="1" applyBorder="1"/>
    <xf numFmtId="165" fontId="1" fillId="0" borderId="6" xfId="3" applyNumberFormat="1" applyFont="1" applyBorder="1" applyAlignment="1">
      <alignment horizontal="right"/>
    </xf>
    <xf numFmtId="43" fontId="0" fillId="0" borderId="10" xfId="1" applyFont="1" applyFill="1" applyBorder="1"/>
    <xf numFmtId="0" fontId="3" fillId="0" borderId="22" xfId="0" applyFont="1" applyBorder="1" applyAlignment="1">
      <alignment vertical="center"/>
    </xf>
    <xf numFmtId="1" fontId="14" fillId="7" borderId="22" xfId="0" applyNumberFormat="1" applyFont="1" applyFill="1" applyBorder="1" applyAlignment="1">
      <alignment vertical="center"/>
    </xf>
    <xf numFmtId="0" fontId="25" fillId="12" borderId="6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43" fontId="2" fillId="0" borderId="17" xfId="0" applyNumberFormat="1" applyFont="1" applyBorder="1"/>
    <xf numFmtId="43" fontId="2" fillId="0" borderId="16" xfId="0" applyNumberFormat="1" applyFont="1" applyBorder="1"/>
    <xf numFmtId="43" fontId="2" fillId="0" borderId="9" xfId="0" applyNumberFormat="1" applyFont="1" applyBorder="1"/>
    <xf numFmtId="43" fontId="2" fillId="0" borderId="30" xfId="0" applyNumberFormat="1" applyFont="1" applyBorder="1"/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8" fillId="0" borderId="24" xfId="0" applyFont="1" applyBorder="1" applyAlignment="1">
      <alignment horizontal="left"/>
    </xf>
    <xf numFmtId="0" fontId="0" fillId="0" borderId="25" xfId="0" applyBorder="1"/>
    <xf numFmtId="0" fontId="8" fillId="0" borderId="50" xfId="0" applyFont="1" applyBorder="1" applyAlignment="1">
      <alignment horizontal="center" vertical="center"/>
    </xf>
    <xf numFmtId="0" fontId="28" fillId="0" borderId="40" xfId="0" applyFont="1" applyBorder="1" applyAlignment="1">
      <alignment horizontal="left"/>
    </xf>
    <xf numFmtId="0" fontId="0" fillId="0" borderId="33" xfId="0" applyBorder="1"/>
    <xf numFmtId="0" fontId="12" fillId="0" borderId="22" xfId="0" applyFont="1" applyBorder="1" applyAlignment="1">
      <alignment horizontal="center" vertical="center"/>
    </xf>
    <xf numFmtId="0" fontId="0" fillId="8" borderId="0" xfId="0" applyFill="1"/>
    <xf numFmtId="1" fontId="14" fillId="7" borderId="25" xfId="0" applyNumberFormat="1" applyFont="1" applyFill="1" applyBorder="1" applyAlignment="1">
      <alignment vertical="center"/>
    </xf>
    <xf numFmtId="43" fontId="0" fillId="13" borderId="16" xfId="1" applyFont="1" applyFill="1" applyBorder="1" applyAlignment="1">
      <alignment horizontal="center" vertical="center"/>
    </xf>
    <xf numFmtId="10" fontId="12" fillId="0" borderId="10" xfId="3" applyNumberFormat="1" applyFont="1" applyFill="1" applyBorder="1" applyAlignment="1">
      <alignment horizontal="center" vertical="center"/>
    </xf>
    <xf numFmtId="44" fontId="1" fillId="0" borderId="0" xfId="2" applyFont="1" applyFill="1" applyBorder="1"/>
    <xf numFmtId="173" fontId="2" fillId="3" borderId="4" xfId="0" applyNumberFormat="1" applyFont="1" applyFill="1" applyBorder="1" applyAlignment="1">
      <alignment horizontal="center"/>
    </xf>
    <xf numFmtId="43" fontId="21" fillId="0" borderId="0" xfId="1" applyFont="1" applyFill="1" applyBorder="1"/>
    <xf numFmtId="0" fontId="2" fillId="0" borderId="23" xfId="0" applyFon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3" fontId="0" fillId="0" borderId="7" xfId="1" applyNumberFormat="1" applyFont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165" fontId="21" fillId="0" borderId="7" xfId="3" applyNumberFormat="1" applyFont="1" applyFill="1" applyBorder="1"/>
    <xf numFmtId="165" fontId="21" fillId="0" borderId="10" xfId="3" applyNumberFormat="1" applyFont="1" applyFill="1" applyBorder="1"/>
    <xf numFmtId="0" fontId="0" fillId="0" borderId="11" xfId="0" applyBorder="1" applyAlignment="1">
      <alignment horizontal="left" vertical="center"/>
    </xf>
    <xf numFmtId="2" fontId="21" fillId="0" borderId="11" xfId="0" applyNumberFormat="1" applyFont="1" applyBorder="1"/>
    <xf numFmtId="0" fontId="0" fillId="0" borderId="6" xfId="0" applyBorder="1" applyAlignment="1">
      <alignment horizontal="left" vertical="center"/>
    </xf>
    <xf numFmtId="165" fontId="0" fillId="0" borderId="5" xfId="3" applyNumberFormat="1" applyFont="1" applyBorder="1"/>
    <xf numFmtId="0" fontId="8" fillId="21" borderId="5" xfId="0" applyFont="1" applyFill="1" applyBorder="1" applyAlignment="1">
      <alignment horizontal="center"/>
    </xf>
    <xf numFmtId="164" fontId="21" fillId="0" borderId="6" xfId="1" applyNumberFormat="1" applyFont="1" applyFill="1" applyBorder="1"/>
    <xf numFmtId="0" fontId="8" fillId="24" borderId="21" xfId="0" applyFont="1" applyFill="1" applyBorder="1" applyAlignment="1">
      <alignment horizontal="center" vertical="center"/>
    </xf>
    <xf numFmtId="0" fontId="8" fillId="24" borderId="2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7" fontId="0" fillId="0" borderId="0" xfId="3" applyNumberFormat="1" applyFont="1"/>
    <xf numFmtId="9" fontId="0" fillId="0" borderId="0" xfId="3" applyFont="1" applyAlignment="1">
      <alignment horizontal="center" vertical="center"/>
    </xf>
    <xf numFmtId="167" fontId="0" fillId="0" borderId="0" xfId="3" applyNumberFormat="1" applyFont="1" applyAlignment="1">
      <alignment horizontal="center" vertical="center"/>
    </xf>
    <xf numFmtId="165" fontId="21" fillId="0" borderId="0" xfId="3" applyNumberFormat="1" applyFont="1" applyFill="1" applyBorder="1" applyAlignment="1">
      <alignment horizontal="center" vertical="center"/>
    </xf>
    <xf numFmtId="44" fontId="2" fillId="0" borderId="0" xfId="2" applyFont="1" applyFill="1" applyBorder="1"/>
    <xf numFmtId="10" fontId="3" fillId="12" borderId="0" xfId="3" applyNumberFormat="1" applyFont="1" applyFill="1" applyBorder="1" applyAlignment="1">
      <alignment horizontal="center"/>
    </xf>
    <xf numFmtId="10" fontId="3" fillId="0" borderId="11" xfId="3" applyNumberFormat="1" applyFont="1" applyBorder="1" applyAlignment="1">
      <alignment horizontal="center"/>
    </xf>
    <xf numFmtId="2" fontId="0" fillId="13" borderId="5" xfId="0" applyNumberFormat="1" applyFill="1" applyBorder="1"/>
    <xf numFmtId="44" fontId="0" fillId="0" borderId="0" xfId="2" applyFont="1" applyBorder="1"/>
    <xf numFmtId="0" fontId="2" fillId="2" borderId="12" xfId="0" applyFont="1" applyFill="1" applyBorder="1" applyAlignment="1">
      <alignment horizontal="center" vertical="center"/>
    </xf>
    <xf numFmtId="44" fontId="2" fillId="0" borderId="1" xfId="2" applyFont="1" applyBorder="1"/>
    <xf numFmtId="166" fontId="0" fillId="13" borderId="0" xfId="2" applyNumberFormat="1" applyFont="1" applyFill="1" applyBorder="1"/>
    <xf numFmtId="0" fontId="9" fillId="0" borderId="22" xfId="0" applyFont="1" applyBorder="1" applyAlignment="1">
      <alignment horizontal="center"/>
    </xf>
    <xf numFmtId="44" fontId="47" fillId="0" borderId="6" xfId="0" applyNumberFormat="1" applyFont="1" applyBorder="1" applyAlignment="1">
      <alignment horizontal="center" vertical="center"/>
    </xf>
    <xf numFmtId="167" fontId="0" fillId="0" borderId="0" xfId="3" applyNumberFormat="1" applyFont="1" applyBorder="1"/>
    <xf numFmtId="10" fontId="0" fillId="0" borderId="0" xfId="3" applyNumberFormat="1" applyFont="1" applyBorder="1" applyAlignment="1">
      <alignment horizontal="center"/>
    </xf>
    <xf numFmtId="167" fontId="3" fillId="0" borderId="0" xfId="3" applyNumberFormat="1" applyFont="1" applyBorder="1"/>
    <xf numFmtId="10" fontId="8" fillId="13" borderId="4" xfId="3" applyNumberFormat="1" applyFont="1" applyFill="1" applyBorder="1" applyAlignment="1">
      <alignment horizontal="center" vertical="center"/>
    </xf>
    <xf numFmtId="164" fontId="0" fillId="0" borderId="5" xfId="0" applyNumberFormat="1" applyBorder="1"/>
    <xf numFmtId="165" fontId="0" fillId="0" borderId="10" xfId="3" applyNumberFormat="1" applyFont="1" applyFill="1" applyBorder="1"/>
    <xf numFmtId="0" fontId="48" fillId="31" borderId="51" xfId="0" applyFont="1" applyFill="1" applyBorder="1" applyAlignment="1">
      <alignment horizontal="left" vertical="top" wrapText="1"/>
    </xf>
    <xf numFmtId="0" fontId="48" fillId="31" borderId="52" xfId="0" applyFont="1" applyFill="1" applyBorder="1" applyAlignment="1">
      <alignment horizontal="left" vertical="top" wrapText="1"/>
    </xf>
    <xf numFmtId="14" fontId="49" fillId="32" borderId="53" xfId="0" applyNumberFormat="1" applyFont="1" applyFill="1" applyBorder="1" applyAlignment="1">
      <alignment horizontal="left" vertical="top" wrapText="1"/>
    </xf>
    <xf numFmtId="0" fontId="49" fillId="32" borderId="53" xfId="0" applyFont="1" applyFill="1" applyBorder="1" applyAlignment="1">
      <alignment horizontal="left" vertical="top" wrapText="1"/>
    </xf>
    <xf numFmtId="4" fontId="49" fillId="32" borderId="53" xfId="0" applyNumberFormat="1" applyFont="1" applyFill="1" applyBorder="1" applyAlignment="1">
      <alignment horizontal="right" vertical="top" wrapText="1"/>
    </xf>
    <xf numFmtId="4" fontId="49" fillId="32" borderId="54" xfId="0" applyNumberFormat="1" applyFont="1" applyFill="1" applyBorder="1" applyAlignment="1">
      <alignment horizontal="right" vertical="top" wrapText="1"/>
    </xf>
    <xf numFmtId="44" fontId="0" fillId="7" borderId="6" xfId="0" applyNumberFormat="1" applyFill="1" applyBorder="1"/>
    <xf numFmtId="0" fontId="17" fillId="7" borderId="0" xfId="0" applyFont="1" applyFill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166" fontId="21" fillId="0" borderId="7" xfId="1" applyNumberFormat="1" applyFont="1" applyBorder="1"/>
    <xf numFmtId="166" fontId="21" fillId="0" borderId="22" xfId="1" applyNumberFormat="1" applyFont="1" applyBorder="1"/>
    <xf numFmtId="2" fontId="3" fillId="3" borderId="22" xfId="0" applyNumberFormat="1" applyFont="1" applyFill="1" applyBorder="1" applyAlignment="1">
      <alignment horizontal="center" vertical="center"/>
    </xf>
    <xf numFmtId="10" fontId="3" fillId="3" borderId="0" xfId="3" applyNumberFormat="1" applyFont="1" applyFill="1" applyAlignment="1">
      <alignment horizontal="center"/>
    </xf>
    <xf numFmtId="3" fontId="0" fillId="0" borderId="10" xfId="1" applyNumberFormat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3" fillId="32" borderId="53" xfId="0" applyFont="1" applyFill="1" applyBorder="1" applyAlignment="1">
      <alignment horizontal="left" vertical="center"/>
    </xf>
    <xf numFmtId="0" fontId="0" fillId="0" borderId="53" xfId="0" applyBorder="1"/>
    <xf numFmtId="0" fontId="3" fillId="32" borderId="0" xfId="0" applyFont="1" applyFill="1" applyAlignment="1">
      <alignment horizontal="left" vertical="center"/>
    </xf>
    <xf numFmtId="44" fontId="3" fillId="7" borderId="6" xfId="0" applyNumberFormat="1" applyFont="1" applyFill="1" applyBorder="1"/>
    <xf numFmtId="0" fontId="51" fillId="32" borderId="53" xfId="0" applyFont="1" applyFill="1" applyBorder="1" applyAlignment="1">
      <alignment horizontal="left" vertical="top" wrapText="1"/>
    </xf>
    <xf numFmtId="0" fontId="12" fillId="3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167" fontId="0" fillId="0" borderId="4" xfId="0" applyNumberFormat="1" applyBorder="1"/>
    <xf numFmtId="0" fontId="38" fillId="7" borderId="0" xfId="0" applyFont="1" applyFill="1" applyAlignment="1">
      <alignment horizontal="center" vertical="center"/>
    </xf>
    <xf numFmtId="0" fontId="51" fillId="32" borderId="55" xfId="0" applyFont="1" applyFill="1" applyBorder="1" applyAlignment="1">
      <alignment horizontal="left" vertical="top" wrapText="1"/>
    </xf>
    <xf numFmtId="16" fontId="0" fillId="0" borderId="0" xfId="0" applyNumberFormat="1"/>
    <xf numFmtId="10" fontId="0" fillId="16" borderId="0" xfId="3" applyNumberFormat="1" applyFont="1" applyFill="1"/>
    <xf numFmtId="0" fontId="2" fillId="16" borderId="5" xfId="0" applyFont="1" applyFill="1" applyBorder="1" applyAlignment="1">
      <alignment horizontal="center"/>
    </xf>
    <xf numFmtId="1" fontId="22" fillId="12" borderId="41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0" fontId="2" fillId="0" borderId="21" xfId="3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10" fontId="2" fillId="0" borderId="22" xfId="3" applyNumberFormat="1" applyFont="1" applyFill="1" applyBorder="1" applyAlignment="1">
      <alignment horizontal="center"/>
    </xf>
    <xf numFmtId="10" fontId="2" fillId="0" borderId="4" xfId="3" applyNumberFormat="1" applyFont="1" applyFill="1" applyBorder="1" applyAlignment="1">
      <alignment horizontal="center" vertical="center"/>
    </xf>
    <xf numFmtId="44" fontId="2" fillId="13" borderId="4" xfId="2" applyFont="1" applyFill="1" applyBorder="1"/>
    <xf numFmtId="166" fontId="0" fillId="0" borderId="12" xfId="2" applyNumberFormat="1" applyFont="1" applyFill="1" applyBorder="1"/>
    <xf numFmtId="164" fontId="0" fillId="0" borderId="7" xfId="1" applyNumberFormat="1" applyFont="1" applyFill="1" applyBorder="1"/>
    <xf numFmtId="10" fontId="0" fillId="0" borderId="0" xfId="3" applyNumberFormat="1" applyFont="1" applyAlignment="1">
      <alignment horizontal="center" vertical="center"/>
    </xf>
    <xf numFmtId="166" fontId="0" fillId="0" borderId="0" xfId="2" applyNumberFormat="1" applyFont="1"/>
    <xf numFmtId="10" fontId="2" fillId="0" borderId="3" xfId="3" applyNumberFormat="1" applyFont="1" applyFill="1" applyBorder="1" applyAlignment="1">
      <alignment horizontal="center" vertical="center"/>
    </xf>
    <xf numFmtId="10" fontId="2" fillId="0" borderId="7" xfId="3" applyNumberFormat="1" applyFont="1" applyFill="1" applyBorder="1" applyAlignment="1">
      <alignment horizontal="right"/>
    </xf>
    <xf numFmtId="168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0" fontId="3" fillId="0" borderId="21" xfId="3" applyNumberFormat="1" applyFont="1" applyBorder="1" applyAlignment="1">
      <alignment horizontal="center"/>
    </xf>
    <xf numFmtId="10" fontId="3" fillId="0" borderId="22" xfId="3" applyNumberFormat="1" applyFont="1" applyBorder="1" applyAlignment="1">
      <alignment horizontal="center"/>
    </xf>
    <xf numFmtId="10" fontId="3" fillId="0" borderId="23" xfId="3" applyNumberFormat="1" applyFont="1" applyBorder="1" applyAlignment="1">
      <alignment horizontal="center"/>
    </xf>
    <xf numFmtId="173" fontId="2" fillId="13" borderId="4" xfId="0" applyNumberFormat="1" applyFont="1" applyFill="1" applyBorder="1" applyAlignment="1">
      <alignment horizontal="center"/>
    </xf>
    <xf numFmtId="164" fontId="0" fillId="13" borderId="21" xfId="1" applyNumberFormat="1" applyFont="1" applyFill="1" applyBorder="1" applyAlignment="1">
      <alignment horizontal="center"/>
    </xf>
    <xf numFmtId="164" fontId="0" fillId="13" borderId="22" xfId="1" applyNumberFormat="1" applyFont="1" applyFill="1" applyBorder="1"/>
    <xf numFmtId="164" fontId="0" fillId="13" borderId="0" xfId="1" applyNumberFormat="1" applyFont="1" applyFill="1" applyBorder="1" applyAlignment="1">
      <alignment horizontal="center"/>
    </xf>
    <xf numFmtId="0" fontId="8" fillId="21" borderId="0" xfId="0" applyFont="1" applyFill="1" applyAlignment="1">
      <alignment horizontal="left" vertical="center"/>
    </xf>
    <xf numFmtId="0" fontId="16" fillId="0" borderId="0" xfId="0" applyFont="1"/>
    <xf numFmtId="0" fontId="0" fillId="33" borderId="1" xfId="0" applyFill="1" applyBorder="1"/>
    <xf numFmtId="16" fontId="0" fillId="33" borderId="3" xfId="0" applyNumberFormat="1" applyFill="1" applyBorder="1"/>
    <xf numFmtId="165" fontId="2" fillId="0" borderId="2" xfId="3" applyNumberFormat="1" applyFont="1" applyFill="1" applyBorder="1" applyAlignment="1">
      <alignment horizontal="center"/>
    </xf>
    <xf numFmtId="165" fontId="2" fillId="0" borderId="4" xfId="3" applyNumberFormat="1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164" fontId="0" fillId="0" borderId="21" xfId="1" applyNumberFormat="1" applyFont="1" applyFill="1" applyBorder="1" applyAlignment="1">
      <alignment horizontal="center"/>
    </xf>
    <xf numFmtId="164" fontId="0" fillId="0" borderId="22" xfId="1" applyNumberFormat="1" applyFont="1" applyFill="1" applyBorder="1"/>
    <xf numFmtId="166" fontId="1" fillId="13" borderId="4" xfId="2" applyNumberFormat="1" applyFont="1" applyFill="1" applyBorder="1"/>
    <xf numFmtId="10" fontId="3" fillId="15" borderId="11" xfId="3" applyNumberFormat="1" applyFont="1" applyFill="1" applyBorder="1" applyAlignment="1">
      <alignment horizontal="center"/>
    </xf>
    <xf numFmtId="164" fontId="21" fillId="0" borderId="22" xfId="1" applyNumberFormat="1" applyFont="1" applyBorder="1"/>
    <xf numFmtId="164" fontId="21" fillId="0" borderId="23" xfId="1" applyNumberFormat="1" applyFont="1" applyBorder="1"/>
    <xf numFmtId="166" fontId="0" fillId="0" borderId="0" xfId="2" applyNumberFormat="1" applyFont="1" applyFill="1" applyBorder="1"/>
    <xf numFmtId="0" fontId="8" fillId="19" borderId="0" xfId="0" applyFont="1" applyFill="1"/>
    <xf numFmtId="43" fontId="0" fillId="19" borderId="0" xfId="1" applyFont="1" applyFill="1"/>
    <xf numFmtId="10" fontId="22" fillId="29" borderId="4" xfId="3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13" borderId="0" xfId="1" applyNumberFormat="1" applyFont="1" applyFill="1"/>
    <xf numFmtId="0" fontId="16" fillId="21" borderId="0" xfId="0" applyFont="1" applyFill="1"/>
    <xf numFmtId="165" fontId="0" fillId="0" borderId="11" xfId="0" applyNumberForma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165" fontId="0" fillId="0" borderId="6" xfId="3" applyNumberFormat="1" applyFont="1" applyBorder="1" applyAlignment="1">
      <alignment horizontal="center" vertical="center"/>
    </xf>
    <xf numFmtId="0" fontId="39" fillId="0" borderId="6" xfId="0" applyFont="1" applyBorder="1" applyAlignment="1">
      <alignment horizontal="left" vertical="center"/>
    </xf>
    <xf numFmtId="0" fontId="0" fillId="7" borderId="22" xfId="0" applyFill="1" applyBorder="1" applyAlignment="1">
      <alignment horizontal="center" vertical="center"/>
    </xf>
    <xf numFmtId="10" fontId="0" fillId="7" borderId="4" xfId="0" applyNumberFormat="1" applyFill="1" applyBorder="1" applyAlignment="1">
      <alignment horizontal="center" vertical="center"/>
    </xf>
    <xf numFmtId="0" fontId="0" fillId="7" borderId="22" xfId="0" applyFill="1" applyBorder="1"/>
    <xf numFmtId="0" fontId="0" fillId="7" borderId="23" xfId="0" applyFill="1" applyBorder="1"/>
    <xf numFmtId="167" fontId="0" fillId="0" borderId="4" xfId="3" applyNumberFormat="1" applyFont="1" applyBorder="1"/>
    <xf numFmtId="0" fontId="52" fillId="9" borderId="41" xfId="0" applyFont="1" applyFill="1" applyBorder="1" applyAlignment="1">
      <alignment horizontal="center" vertical="center"/>
    </xf>
    <xf numFmtId="165" fontId="0" fillId="8" borderId="4" xfId="3" applyNumberFormat="1" applyFont="1" applyFill="1" applyBorder="1"/>
    <xf numFmtId="165" fontId="0" fillId="0" borderId="4" xfId="3" applyNumberFormat="1" applyFont="1" applyBorder="1"/>
    <xf numFmtId="165" fontId="0" fillId="14" borderId="4" xfId="3" applyNumberFormat="1" applyFont="1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6" fontId="21" fillId="0" borderId="21" xfId="1" applyNumberFormat="1" applyFont="1" applyBorder="1"/>
    <xf numFmtId="164" fontId="0" fillId="29" borderId="0" xfId="1" applyNumberFormat="1" applyFont="1" applyFill="1" applyBorder="1"/>
    <xf numFmtId="0" fontId="2" fillId="34" borderId="5" xfId="0" applyFont="1" applyFill="1" applyBorder="1" applyAlignment="1">
      <alignment horizontal="center"/>
    </xf>
    <xf numFmtId="4" fontId="49" fillId="29" borderId="53" xfId="0" applyNumberFormat="1" applyFont="1" applyFill="1" applyBorder="1" applyAlignment="1">
      <alignment horizontal="right" vertical="top" wrapText="1"/>
    </xf>
    <xf numFmtId="0" fontId="49" fillId="29" borderId="53" xfId="0" applyFont="1" applyFill="1" applyBorder="1" applyAlignment="1">
      <alignment horizontal="left" vertical="top" wrapText="1"/>
    </xf>
    <xf numFmtId="4" fontId="0" fillId="0" borderId="0" xfId="0" applyNumberFormat="1"/>
    <xf numFmtId="165" fontId="0" fillId="14" borderId="0" xfId="3" applyNumberFormat="1" applyFont="1" applyFill="1" applyBorder="1"/>
    <xf numFmtId="165" fontId="0" fillId="8" borderId="0" xfId="3" applyNumberFormat="1" applyFont="1" applyFill="1" applyBorder="1"/>
    <xf numFmtId="10" fontId="0" fillId="16" borderId="0" xfId="3" applyNumberFormat="1" applyFont="1" applyFill="1" applyBorder="1"/>
    <xf numFmtId="165" fontId="0" fillId="14" borderId="23" xfId="3" applyNumberFormat="1" applyFont="1" applyFill="1" applyBorder="1"/>
    <xf numFmtId="43" fontId="0" fillId="29" borderId="22" xfId="1" applyFont="1" applyFill="1" applyBorder="1"/>
    <xf numFmtId="43" fontId="0" fillId="35" borderId="22" xfId="1" applyFont="1" applyFill="1" applyBorder="1"/>
    <xf numFmtId="169" fontId="0" fillId="25" borderId="1" xfId="0" applyNumberFormat="1" applyFill="1" applyBorder="1" applyAlignment="1">
      <alignment horizontal="center"/>
    </xf>
    <xf numFmtId="169" fontId="0" fillId="25" borderId="2" xfId="0" applyNumberFormat="1" applyFill="1" applyBorder="1" applyAlignment="1">
      <alignment horizontal="center"/>
    </xf>
    <xf numFmtId="169" fontId="0" fillId="25" borderId="3" xfId="0" applyNumberForma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2" xfId="0" applyFont="1" applyFill="1" applyBorder="1" applyAlignment="1">
      <alignment horizontal="center"/>
    </xf>
    <xf numFmtId="0" fontId="34" fillId="25" borderId="3" xfId="0" applyFont="1" applyFill="1" applyBorder="1" applyAlignment="1">
      <alignment horizontal="center"/>
    </xf>
    <xf numFmtId="0" fontId="34" fillId="6" borderId="1" xfId="0" applyFont="1" applyFill="1" applyBorder="1" applyAlignment="1">
      <alignment horizontal="center"/>
    </xf>
    <xf numFmtId="0" fontId="34" fillId="6" borderId="2" xfId="0" applyFont="1" applyFill="1" applyBorder="1" applyAlignment="1">
      <alignment horizontal="center"/>
    </xf>
    <xf numFmtId="0" fontId="34" fillId="6" borderId="3" xfId="0" applyFont="1" applyFill="1" applyBorder="1" applyAlignment="1">
      <alignment horizontal="center"/>
    </xf>
    <xf numFmtId="169" fontId="0" fillId="6" borderId="1" xfId="0" applyNumberFormat="1" applyFill="1" applyBorder="1" applyAlignment="1">
      <alignment horizontal="center"/>
    </xf>
    <xf numFmtId="169" fontId="0" fillId="6" borderId="2" xfId="0" applyNumberFormat="1" applyFill="1" applyBorder="1" applyAlignment="1">
      <alignment horizontal="center"/>
    </xf>
    <xf numFmtId="169" fontId="0" fillId="6" borderId="3" xfId="0" applyNumberFormat="1" applyFill="1" applyBorder="1" applyAlignment="1">
      <alignment horizontal="center"/>
    </xf>
    <xf numFmtId="0" fontId="34" fillId="17" borderId="1" xfId="0" applyFont="1" applyFill="1" applyBorder="1" applyAlignment="1">
      <alignment horizontal="center"/>
    </xf>
    <xf numFmtId="0" fontId="34" fillId="17" borderId="2" xfId="0" applyFont="1" applyFill="1" applyBorder="1" applyAlignment="1">
      <alignment horizontal="center"/>
    </xf>
    <xf numFmtId="0" fontId="34" fillId="17" borderId="3" xfId="0" applyFont="1" applyFill="1" applyBorder="1" applyAlignment="1">
      <alignment horizontal="center"/>
    </xf>
    <xf numFmtId="169" fontId="0" fillId="17" borderId="1" xfId="0" applyNumberFormat="1" applyFill="1" applyBorder="1" applyAlignment="1">
      <alignment horizontal="center"/>
    </xf>
    <xf numFmtId="169" fontId="0" fillId="17" borderId="2" xfId="0" applyNumberFormat="1" applyFill="1" applyBorder="1" applyAlignment="1">
      <alignment horizontal="center"/>
    </xf>
    <xf numFmtId="169" fontId="0" fillId="17" borderId="3" xfId="0" applyNumberFormat="1" applyFill="1" applyBorder="1" applyAlignment="1">
      <alignment horizontal="center"/>
    </xf>
    <xf numFmtId="0" fontId="8" fillId="24" borderId="21" xfId="0" applyFont="1" applyFill="1" applyBorder="1" applyAlignment="1">
      <alignment horizontal="center" vertical="center"/>
    </xf>
    <xf numFmtId="0" fontId="8" fillId="24" borderId="2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2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14" fillId="6" borderId="24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25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1" fillId="0" borderId="48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3" fillId="15" borderId="26" xfId="0" applyFont="1" applyFill="1" applyBorder="1" applyAlignment="1">
      <alignment horizontal="center" vertical="center"/>
    </xf>
    <xf numFmtId="0" fontId="23" fillId="15" borderId="25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10" fontId="21" fillId="0" borderId="12" xfId="0" applyNumberFormat="1" applyFont="1" applyBorder="1" applyAlignment="1">
      <alignment horizontal="center" vertical="center"/>
    </xf>
    <xf numFmtId="10" fontId="21" fillId="0" borderId="8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43" fontId="0" fillId="0" borderId="1" xfId="1" applyFont="1" applyFill="1" applyBorder="1" applyAlignment="1">
      <alignment horizontal="center"/>
    </xf>
    <xf numFmtId="43" fontId="0" fillId="0" borderId="3" xfId="1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3" fillId="15" borderId="24" xfId="0" applyFont="1" applyFill="1" applyBorder="1" applyAlignment="1">
      <alignment horizontal="center" vertical="center"/>
    </xf>
    <xf numFmtId="1" fontId="14" fillId="7" borderId="24" xfId="0" applyNumberFormat="1" applyFont="1" applyFill="1" applyBorder="1" applyAlignment="1">
      <alignment horizontal="center" vertical="center"/>
    </xf>
    <xf numFmtId="1" fontId="14" fillId="7" borderId="25" xfId="0" applyNumberFormat="1" applyFont="1" applyFill="1" applyBorder="1" applyAlignment="1">
      <alignment horizontal="center" vertical="center"/>
    </xf>
    <xf numFmtId="1" fontId="14" fillId="7" borderId="26" xfId="0" applyNumberFormat="1" applyFont="1" applyFill="1" applyBorder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0" fillId="0" borderId="9" xfId="0" applyFont="1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 vertical="center"/>
    </xf>
    <xf numFmtId="0" fontId="14" fillId="18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166" fontId="11" fillId="6" borderId="1" xfId="2" applyNumberFormat="1" applyFont="1" applyFill="1" applyBorder="1" applyAlignment="1">
      <alignment horizontal="center" vertical="center"/>
    </xf>
    <xf numFmtId="166" fontId="11" fillId="6" borderId="2" xfId="2" applyNumberFormat="1" applyFont="1" applyFill="1" applyBorder="1" applyAlignment="1">
      <alignment horizontal="center" vertical="center"/>
    </xf>
    <xf numFmtId="166" fontId="11" fillId="6" borderId="3" xfId="2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6" fontId="0" fillId="6" borderId="44" xfId="2" applyNumberFormat="1" applyFont="1" applyFill="1" applyBorder="1" applyAlignment="1">
      <alignment horizontal="center" vertical="center"/>
    </xf>
    <xf numFmtId="166" fontId="0" fillId="6" borderId="45" xfId="2" applyNumberFormat="1" applyFont="1" applyFill="1" applyBorder="1" applyAlignment="1">
      <alignment horizontal="center" vertical="center"/>
    </xf>
    <xf numFmtId="0" fontId="23" fillId="6" borderId="12" xfId="0" applyFont="1" applyFill="1" applyBorder="1" applyAlignment="1">
      <alignment horizontal="center" vertical="center"/>
    </xf>
    <xf numFmtId="0" fontId="23" fillId="6" borderId="11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24" borderId="23" xfId="0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44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0" xfId="0" applyNumberFormat="1" applyFill="1" applyBorder="1"/>
    <xf numFmtId="2" fontId="0" fillId="0" borderId="5" xfId="0" applyNumberFormat="1" applyFill="1" applyBorder="1"/>
    <xf numFmtId="2" fontId="0" fillId="0" borderId="0" xfId="0" applyNumberFormat="1" applyBorder="1"/>
    <xf numFmtId="2" fontId="1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13" borderId="9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2" borderId="12" xfId="0" applyFill="1" applyBorder="1"/>
    <xf numFmtId="164" fontId="0" fillId="2" borderId="11" xfId="1" applyNumberFormat="1" applyFont="1" applyFill="1" applyBorder="1"/>
    <xf numFmtId="2" fontId="0" fillId="2" borderId="11" xfId="0" applyNumberFormat="1" applyFill="1" applyBorder="1"/>
    <xf numFmtId="164" fontId="0" fillId="2" borderId="11" xfId="0" applyNumberFormat="1" applyFill="1" applyBorder="1"/>
    <xf numFmtId="14" fontId="0" fillId="2" borderId="11" xfId="0" applyNumberFormat="1" applyFill="1" applyBorder="1"/>
    <xf numFmtId="165" fontId="8" fillId="2" borderId="11" xfId="3" applyNumberFormat="1" applyFont="1" applyFill="1" applyBorder="1" applyAlignment="1">
      <alignment horizontal="right"/>
    </xf>
    <xf numFmtId="43" fontId="0" fillId="2" borderId="11" xfId="1" applyFont="1" applyFill="1" applyBorder="1"/>
    <xf numFmtId="165" fontId="0" fillId="2" borderId="11" xfId="3" applyNumberFormat="1" applyFont="1" applyFill="1" applyBorder="1"/>
    <xf numFmtId="0" fontId="0" fillId="2" borderId="5" xfId="0" applyFill="1" applyBorder="1"/>
    <xf numFmtId="0" fontId="0" fillId="2" borderId="0" xfId="0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14" fontId="0" fillId="2" borderId="0" xfId="0" applyNumberFormat="1" applyFill="1" applyBorder="1"/>
    <xf numFmtId="165" fontId="8" fillId="2" borderId="0" xfId="3" applyNumberFormat="1" applyFont="1" applyFill="1" applyBorder="1" applyAlignment="1">
      <alignment horizontal="right"/>
    </xf>
    <xf numFmtId="165" fontId="0" fillId="2" borderId="0" xfId="3" applyNumberFormat="1" applyFont="1" applyFill="1" applyBorder="1"/>
    <xf numFmtId="165" fontId="1" fillId="2" borderId="0" xfId="3" applyNumberFormat="1" applyFont="1" applyFill="1" applyBorder="1" applyAlignment="1">
      <alignment horizontal="right"/>
    </xf>
    <xf numFmtId="0" fontId="0" fillId="2" borderId="8" xfId="0" applyFill="1" applyBorder="1"/>
    <xf numFmtId="0" fontId="0" fillId="2" borderId="6" xfId="0" applyFill="1" applyBorder="1"/>
    <xf numFmtId="164" fontId="0" fillId="2" borderId="6" xfId="1" applyNumberFormat="1" applyFont="1" applyFill="1" applyBorder="1"/>
    <xf numFmtId="2" fontId="0" fillId="2" borderId="6" xfId="0" applyNumberFormat="1" applyFill="1" applyBorder="1"/>
    <xf numFmtId="164" fontId="0" fillId="2" borderId="6" xfId="0" applyNumberFormat="1" applyFill="1" applyBorder="1"/>
    <xf numFmtId="14" fontId="0" fillId="2" borderId="6" xfId="0" applyNumberFormat="1" applyFill="1" applyBorder="1"/>
    <xf numFmtId="165" fontId="1" fillId="2" borderId="6" xfId="3" applyNumberFormat="1" applyFont="1" applyFill="1" applyBorder="1" applyAlignment="1">
      <alignment horizontal="right"/>
    </xf>
    <xf numFmtId="43" fontId="0" fillId="2" borderId="4" xfId="0" applyNumberFormat="1" applyFill="1" applyBorder="1"/>
    <xf numFmtId="0" fontId="8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10" xfId="0" applyFill="1" applyBorder="1"/>
    <xf numFmtId="165" fontId="8" fillId="2" borderId="6" xfId="3" applyNumberFormat="1" applyFont="1" applyFill="1" applyBorder="1" applyAlignment="1">
      <alignment horizontal="right"/>
    </xf>
    <xf numFmtId="43" fontId="0" fillId="2" borderId="4" xfId="1" applyFont="1" applyFill="1" applyBorder="1"/>
    <xf numFmtId="165" fontId="0" fillId="2" borderId="6" xfId="3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9966"/>
      <color rgb="FF9EF9FE"/>
      <color rgb="FFFF7C80"/>
      <color rgb="FFF2BDB4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Data...4209475051</v>
        <stp/>
        <stp>BDP|16021571412709993151</stp>
        <tr r="K51" s="29"/>
      </tp>
      <tp t="s">
        <v>#N/A Requesting Data...4170244759</v>
        <stp/>
        <stp>BDP|12992245642846019866</stp>
        <tr r="E18" s="18"/>
        <tr r="H102" s="19"/>
        <tr r="H12" s="19"/>
        <tr r="I15" s="17"/>
        <tr r="G135" s="23"/>
        <tr r="G217" s="23"/>
        <tr r="H26" s="22"/>
        <tr r="E19" s="12"/>
      </tp>
      <tp t="s">
        <v>#N/A Requesting Data...4061029513</v>
        <stp/>
        <stp>BDP|16923810065475701732</stp>
        <tr r="AM19" s="17"/>
      </tp>
      <tp t="s">
        <v>#N/A Requesting Data...4279820097</v>
        <stp/>
        <stp>BDP|11811434802757830890</stp>
        <tr r="Q25" s="29"/>
      </tp>
      <tp t="s">
        <v>#N/A Requesting Data...3997873989</v>
        <stp/>
        <stp>BDP|10467283054145762873</stp>
        <tr r="AD10" s="12"/>
      </tp>
      <tp t="s">
        <v>#N/A Requesting Data...4168529177</v>
        <stp/>
        <stp>BDP|15959587633810904903</stp>
        <tr r="F32" s="10"/>
      </tp>
      <tp t="s">
        <v>#N/A Requesting Data...2603673090</v>
        <stp/>
        <stp>BDP|17580936878543055051</stp>
        <tr r="H8" s="9"/>
        <tr r="F16" s="10"/>
        <tr r="G7" s="15"/>
      </tp>
      <tp t="s">
        <v>#N/A Requesting Data...4030730956</v>
        <stp/>
        <stp>BDP|15445687044869795440</stp>
        <tr r="J101" s="29"/>
      </tp>
      <tp t="s">
        <v>#N/A Requesting Data...3852279007</v>
        <stp/>
        <stp>BDP|15240419736860821866</stp>
        <tr r="H16" s="9"/>
        <tr r="F24" s="10"/>
        <tr r="G13" s="15"/>
      </tp>
      <tp t="s">
        <v>#N/A Requesting Data...4026698683</v>
        <stp/>
        <stp>BDP|12310503710209023585</stp>
        <tr r="B26" s="12"/>
      </tp>
      <tp t="s">
        <v>#N/A Requesting Data...4150511873</v>
        <stp/>
        <stp>BDP|17909215170010682847</stp>
        <tr r="AN38" s="17"/>
      </tp>
      <tp t="s">
        <v>#N/A Requesting Data...4080162941</v>
        <stp/>
        <stp>BDP|12691592112025164917</stp>
        <tr r="X139" s="17"/>
      </tp>
      <tp t="s">
        <v>#N/A Requesting Data...4187498999</v>
        <stp/>
        <stp>BDP|17337531686224302488</stp>
        <tr r="AH20" s="12"/>
      </tp>
      <tp t="s">
        <v>#N/A Requesting Data...4291611119</v>
        <stp/>
        <stp>BDP|10033588896853332506</stp>
        <tr r="AN9" s="17"/>
      </tp>
      <tp t="s">
        <v>#N/A Requesting Data...4011196628</v>
        <stp/>
        <stp>BDP|10410751105528275599</stp>
        <tr r="B24" s="17"/>
        <tr r="C28" s="22"/>
        <tr r="X23" s="12"/>
      </tp>
      <tp t="s">
        <v>#N/A Requesting Data...3510951977</v>
        <stp/>
        <stp>BDP|15353778790031330090</stp>
        <tr r="AC33" s="9"/>
        <tr r="W27" s="14"/>
        <tr r="W16" s="13"/>
        <tr r="Z36" s="15"/>
      </tp>
      <tp t="s">
        <v>#N/A Requesting Data...4084922963</v>
        <stp/>
        <stp>BDP|12228178985579737890</stp>
        <tr r="L9" s="22"/>
        <tr r="I8" s="12"/>
      </tp>
      <tp t="s">
        <v>#N/A Requesting Data...4100027940</v>
        <stp/>
        <stp>BDP|13432447682234802147</stp>
        <tr r="K63" s="29"/>
      </tp>
      <tp t="s">
        <v>#N/A Requesting Data...4182176542</v>
        <stp/>
        <stp>BDP|17265173134707516853</stp>
        <tr r="AB14" s="19"/>
        <tr r="AJ31" s="17"/>
        <tr r="Y26" s="30"/>
      </tp>
      <tp t="s">
        <v>#N/A Requesting Data...3071327593</v>
        <stp/>
        <stp>BDP|12181389780331990204</stp>
        <tr r="AA51" s="12"/>
      </tp>
      <tp t="s">
        <v>#N/A Requesting Data...4227498031</v>
        <stp/>
        <stp>BDP|13504918835295161601</stp>
        <tr r="J7" s="27"/>
      </tp>
      <tp t="s">
        <v>#N/A Requesting Data...3489238896</v>
        <stp/>
        <stp>BDP|15263730181918749879</stp>
        <tr r="I18" s="9"/>
      </tp>
      <tp t="s">
        <v>#N/A Requesting Data...2851368779</v>
        <stp/>
        <stp>BDP|14355954692368701634</stp>
        <tr r="I44" s="9"/>
      </tp>
      <tp t="s">
        <v>#N/A Requesting Data...4149896574</v>
        <stp/>
        <stp>BDP|18151901273199756555</stp>
        <tr r="P86" s="9"/>
      </tp>
      <tp t="s">
        <v>#N/A Requesting Data...4259399082</v>
        <stp/>
        <stp>BDP|12673178086296079743</stp>
        <tr r="AH27" s="12"/>
      </tp>
      <tp t="s">
        <v>#N/A Requesting Data...4266479583</v>
        <stp/>
        <stp>BDP|13109513960009142324</stp>
        <tr r="Q28" s="29"/>
      </tp>
      <tp t="s">
        <v>#N/A Requesting Data...4102703844</v>
        <stp/>
        <stp>BDP|12346235763009860586</stp>
        <tr r="AE35" s="12"/>
      </tp>
      <tp t="s">
        <v>#N/A Requesting Data...4108248067</v>
        <stp/>
        <stp>BDP|10238857923365371540</stp>
        <tr r="C15" s="29"/>
      </tp>
      <tp t="s">
        <v>#N/A Requesting Data...3870057802</v>
        <stp/>
        <stp>BDP|16374526083725840488</stp>
        <tr r="AM7" s="17"/>
        <tr r="W25" s="14"/>
        <tr r="W27" s="13"/>
      </tp>
      <tp t="s">
        <v>#N/A Requesting Data...4158814468</v>
        <stp/>
        <stp>BDP|11170939266711710514</stp>
        <tr r="B88" s="29"/>
      </tp>
      <tp t="s">
        <v>#N/A Requesting Data...3905283120</v>
        <stp/>
        <stp>BDP|10651221047324396853</stp>
        <tr r="AI52" s="12"/>
      </tp>
      <tp t="s">
        <v>#N/A Requesting Data...3298787437</v>
        <stp/>
        <stp>BDP|17179462244564578934</stp>
        <tr r="AD57" s="9"/>
        <tr r="X66" s="14"/>
        <tr r="X66" s="13"/>
        <tr r="AA54" s="15"/>
      </tp>
      <tp t="s">
        <v>#N/A Requesting Data...864998885</v>
        <stp/>
        <stp>BDP|11890062088042616159</stp>
        <tr r="AH25" s="12"/>
      </tp>
      <tp t="s">
        <v>#N/A Requesting Data...3596212080</v>
        <stp/>
        <stp>BDP|10082000748819875751</stp>
        <tr r="C9" s="29"/>
      </tp>
      <tp t="s">
        <v>#N/A Requesting Data...4217616546</v>
        <stp/>
        <stp>BDP|12448651284797832184</stp>
        <tr r="AH38" s="12"/>
      </tp>
      <tp t="s">
        <v>#N/A Requesting Data...3773890495</v>
        <stp/>
        <stp>BDP|14707945579816603698</stp>
        <tr r="AC21" s="9"/>
        <tr r="W29" s="14"/>
        <tr r="W10" s="13"/>
        <tr r="Z21" s="15"/>
      </tp>
      <tp t="s">
        <v>#N/A Requesting Data...3083232035</v>
        <stp/>
        <stp>BDP|11579963322147068758</stp>
        <tr r="J55" s="12"/>
      </tp>
      <tp t="s">
        <v>#N/A Requesting Data...3471004760</v>
        <stp/>
        <stp>BDP|15548758444455690968</stp>
        <tr r="X23" s="22"/>
      </tp>
      <tp t="s">
        <v>#N/A Requesting Data...4117880479</v>
        <stp/>
        <stp>BDP|12238227314802499943</stp>
        <tr r="K78" s="29"/>
      </tp>
      <tp t="s">
        <v>#N/A Requesting Data...4192829802</v>
        <stp/>
        <stp>BDP|11348407277628027039</stp>
        <tr r="AH54" s="12"/>
      </tp>
      <tp t="s">
        <v>#N/A Requesting Data...3616664831</v>
        <stp/>
        <stp>BDP|14102535480580285375</stp>
        <tr r="F9" s="18"/>
        <tr r="I35" s="19"/>
        <tr r="I95" s="19"/>
        <tr r="J7" s="17"/>
        <tr r="I20" s="30"/>
      </tp>
      <tp t="s">
        <v>#N/A Requesting Data...3338509848</v>
        <stp/>
        <stp>BDP|16931937302475628091</stp>
        <tr r="AD14" s="12"/>
      </tp>
      <tp t="s">
        <v>#N/A Requesting Data...3730660808</v>
        <stp/>
        <stp>BDP|12227598579888251270</stp>
        <tr r="T52" s="12"/>
      </tp>
      <tp t="s">
        <v>#N/A Requesting Data...3345182155</v>
        <stp/>
        <stp>BDP|17633343933195216845</stp>
        <tr r="Y28" s="12"/>
      </tp>
      <tp t="s">
        <v>#N/A Requesting Data...4096107217</v>
        <stp/>
        <stp>BDP|16996959900963314693</stp>
        <tr r="AN5" s="17"/>
        <tr r="X9" s="14"/>
        <tr r="X22" s="13"/>
      </tp>
      <tp t="s">
        <v>#N/A Requesting Data...4269190615</v>
        <stp/>
        <stp>BDP|16545113375363253959</stp>
        <tr r="H12" s="9"/>
        <tr r="F10" s="10"/>
        <tr r="G20" s="15"/>
      </tp>
      <tp t="s">
        <v>#N/A Requesting Data...3201590139</v>
        <stp/>
        <stp>BDP|12830543307598376419</stp>
        <tr r="L40" s="29"/>
      </tp>
      <tp t="s">
        <v>#N/A Requesting Data...3438358902</v>
        <stp/>
        <stp>BDP|15345395931549386715</stp>
        <tr r="B50" s="12"/>
      </tp>
      <tp t="s">
        <v>#N/A Requesting Data...2310336379</v>
        <stp/>
        <stp>BDP|17998436952389345420</stp>
        <tr r="AE10" s="12"/>
      </tp>
      <tp t="s">
        <v>#N/A Requesting Data...1567352617</v>
        <stp/>
        <stp>BDP|15118416120911176984</stp>
        <tr r="Q98" s="29"/>
      </tp>
      <tp t="s">
        <v>#N/A Requesting Data...3357476510</v>
        <stp/>
        <stp>BDP|15645948410047288197</stp>
        <tr r="G37" s="18"/>
        <tr r="J121" s="19"/>
        <tr r="J31" s="19"/>
        <tr r="K34" s="17"/>
        <tr r="J36" s="30"/>
      </tp>
      <tp t="s">
        <v>#N/A Requesting Data...3239455688</v>
        <stp/>
        <stp>BDP|18412114948214201264</stp>
        <tr r="B39" s="12"/>
      </tp>
      <tp t="s">
        <v>#N/A Requesting Data...2803929639</v>
        <stp/>
        <stp>BDP|13354425494424740199</stp>
        <tr r="G9" s="9"/>
        <tr r="G212" s="23"/>
        <tr r="G60" s="23"/>
        <tr r="T19" s="22"/>
        <tr r="E14" s="10"/>
        <tr r="F10" s="15"/>
      </tp>
      <tp t="s">
        <v>#N/A Requesting Data...815684079</v>
        <stp/>
        <stp>BDP|18445117245153353586</stp>
        <tr r="J80" s="29"/>
      </tp>
      <tp t="s">
        <v>#N/A Requesting Data...1486043014</v>
        <stp/>
        <stp>BDP|14892943513365442214</stp>
        <tr r="X130" s="17"/>
      </tp>
      <tp t="s">
        <v>#N/A Requesting Data...145144128</v>
        <stp/>
        <stp>BDP|12920540975228584374</stp>
        <tr r="E28" s="18"/>
        <tr r="H13" s="19"/>
        <tr r="H119" s="19"/>
        <tr r="I25" s="17"/>
        <tr r="G139" s="23"/>
        <tr r="G223" s="23"/>
        <tr r="H43" s="22"/>
        <tr r="E31" s="12"/>
      </tp>
      <tp t="s">
        <v>#N/A Requesting Data...3643447160</v>
        <stp/>
        <stp>BDP|11265291814441603832</stp>
        <tr r="Y40" s="9"/>
        <tr r="R44" s="14"/>
        <tr r="R50" s="13"/>
        <tr r="U29" s="15"/>
      </tp>
      <tp t="s">
        <v>#N/A Requesting Data...3613176644</v>
        <stp/>
        <stp>BDP|13743394922128759113</stp>
        <tr r="C12" s="29"/>
      </tp>
      <tp t="s">
        <v>#N/A Requesting Data...1340369585</v>
        <stp/>
        <stp>BDP|10910913319965351688</stp>
        <tr r="K85" s="29"/>
      </tp>
      <tp t="s">
        <v>#N/A Requesting Data...2615068288</v>
        <stp/>
        <stp>BDP|13597526297711393594</stp>
        <tr r="L43" s="29"/>
      </tp>
      <tp t="s">
        <v>#N/A Requesting Data...928712072</v>
        <stp/>
        <stp>BDP|16638498480239652844</stp>
        <tr r="Y137" s="17"/>
      </tp>
      <tp t="s">
        <v>#N/A Requesting Data...4111447573</v>
        <stp/>
        <stp>BDP|16606850058106264649</stp>
        <tr r="AH53" s="12"/>
      </tp>
      <tp t="s">
        <v>#N/A Requesting Data...4076858909</v>
        <stp/>
        <stp>BDP|15851030004376141833</stp>
        <tr r="AC42" s="9"/>
        <tr r="W54" s="14"/>
        <tr r="W29" s="13"/>
        <tr r="Z23" s="15"/>
      </tp>
      <tp t="s">
        <v>#N/A Requesting Data...2720867150</v>
        <stp/>
        <stp>BDP|12886172182881723169</stp>
        <tr r="G21" s="9"/>
        <tr r="G170" s="23"/>
        <tr r="G22" s="23"/>
        <tr r="T30" s="22"/>
        <tr r="E23" s="10"/>
        <tr r="F21" s="15"/>
      </tp>
      <tp t="s">
        <v>#N/A Requesting Data...1214250109</v>
        <stp/>
        <stp>BDP|17284697388125475782</stp>
        <tr r="L37" s="22"/>
        <tr r="I36" s="12"/>
      </tp>
      <tp t="s">
        <v>#N/A Requesting Data...3779010101</v>
        <stp/>
        <stp>BDP|14287892431637741327</stp>
        <tr r="H20" s="9"/>
        <tr r="F15" s="10"/>
        <tr r="G15" s="15"/>
      </tp>
      <tp t="s">
        <v>#N/A Requesting Data...4287074810</v>
        <stp/>
        <stp>BDP|16516118646411982946</stp>
        <tr r="H144" s="22"/>
      </tp>
      <tp t="s">
        <v>#N/A Requesting Data...3514853693</v>
        <stp/>
        <stp>BDP|15479338535839861756</stp>
        <tr r="G12" s="9"/>
        <tr r="P10" s="23"/>
        <tr r="P155" s="23"/>
        <tr r="T17" s="22"/>
        <tr r="E10" s="10"/>
        <tr r="F20" s="15"/>
      </tp>
      <tp t="s">
        <v>#N/A Requesting Data...1642909687</v>
        <stp/>
        <stp>BDP|14679083912909522776</stp>
        <tr r="J35" s="29"/>
      </tp>
      <tp t="s">
        <v>#N/A Requesting Data...2489133479</v>
        <stp/>
        <stp>BDP|11142652199843437679</stp>
        <tr r="J8" s="27"/>
      </tp>
      <tp t="s">
        <v>#N/A Requesting Data...2566252766</v>
        <stp/>
        <stp>BDP|11688217759608618592</stp>
        <tr r="J60" s="29"/>
      </tp>
      <tp t="s">
        <v>#N/A Requesting Data...2544753288</v>
        <stp/>
        <stp>BDP|13654422801435126956</stp>
        <tr r="AD24" s="12"/>
      </tp>
      <tp t="s">
        <v>#N/A Requesting Data...3931459978</v>
        <stp/>
        <stp>BDP|11045753192342012660</stp>
        <tr r="I25" s="12"/>
      </tp>
      <tp t="s">
        <v>#N/A Requesting Data...1079502760</v>
        <stp/>
        <stp>BDP|14781253985254035170</stp>
        <tr r="C103" s="29"/>
      </tp>
      <tp t="s">
        <v>#N/A Requesting Data...3150655288</v>
        <stp/>
        <stp>BDP|15034235161169083329</stp>
        <tr r="X19" s="22"/>
      </tp>
      <tp t="s">
        <v>#N/A Requesting Data...2401813449</v>
        <stp/>
        <stp>BDP|16045571497006473778</stp>
        <tr r="AN42" s="17"/>
      </tp>
      <tp t="s">
        <v>#N/A Requesting Data...3688330032</v>
        <stp/>
        <stp>BDP|18147598600094276293</stp>
        <tr r="G43" s="9"/>
        <tr r="P199" s="23"/>
        <tr r="P48" s="23"/>
        <tr r="F40" s="15"/>
      </tp>
      <tp t="s">
        <v>#N/A Requesting Data...4011144070</v>
        <stp/>
        <stp>BDP|15123064396320127738</stp>
        <tr r="B33" s="17"/>
        <tr r="C32" s="22"/>
      </tp>
      <tp t="s">
        <v>#N/A Requesting Data...1428232780</v>
        <stp/>
        <stp>BDP|17391877069202688081</stp>
        <tr r="B15" s="17"/>
        <tr r="C26" s="22"/>
      </tp>
      <tp t="s">
        <v>#N/A Requesting Data...3129103847</v>
        <stp/>
        <stp>BDP|18437748572507534456</stp>
        <tr r="Z8" s="9"/>
        <tr r="S15" s="14"/>
        <tr r="S38" s="13"/>
        <tr r="V7" s="15"/>
      </tp>
      <tp t="s">
        <v>#N/A Requesting Data...736999288</v>
        <stp/>
        <stp>BDP|10593964343073226505</stp>
        <tr r="AH10" s="12"/>
      </tp>
      <tp t="s">
        <v>#N/A Requesting Data...2411813399</v>
        <stp/>
        <stp>BDP|11806919825342933370</stp>
        <tr r="T5" s="12"/>
      </tp>
      <tp t="s">
        <v>#N/A Requesting Data...672544292</v>
        <stp/>
        <stp>BDP|16089306607248560606</stp>
        <tr r="K9" s="29"/>
      </tp>
      <tp t="s">
        <v>#N/A Requesting Data...4156136054</v>
        <stp/>
        <stp>BDP|13874993555386613205</stp>
        <tr r="Q92" s="29"/>
      </tp>
      <tp t="s">
        <v>#N/A Requesting Data...1621990559</v>
        <stp/>
        <stp>BDP|12176930462790755629</stp>
        <tr r="AI8" s="12"/>
      </tp>
      <tp t="s">
        <v>#N/A Requesting Data...3149008499</v>
        <stp/>
        <stp>BDP|17132978722776692164</stp>
        <tr r="L78" s="29"/>
      </tp>
      <tp t="s">
        <v>#N/A Requesting Data...588761067</v>
        <stp/>
        <stp>BDP|14313742672587471851</stp>
        <tr r="AE8" s="12"/>
      </tp>
      <tp t="s">
        <v>#N/A Requesting Data...1822524890</v>
        <stp/>
        <stp>BDP|12571907167274763214</stp>
        <tr r="K27" s="29"/>
      </tp>
      <tp t="s">
        <v>#N/A Requesting Data...3057362815</v>
        <stp/>
        <stp>BDP|17296374069800319987</stp>
        <tr r="AI9" s="12"/>
      </tp>
      <tp t="s">
        <v>#N/A Requesting Data...3716840809</v>
        <stp/>
        <stp>BDP|15686086589492584454</stp>
        <tr r="L99" s="29"/>
      </tp>
      <tp t="s">
        <v>#N/A Requesting Data...674699539</v>
        <stp/>
        <stp>BDP|12081392797034033782</stp>
        <tr r="E44" s="18"/>
        <tr r="H128" s="19"/>
        <tr r="H33" s="19"/>
        <tr r="I41" s="17"/>
        <tr r="P134" s="23"/>
        <tr r="P216" s="23"/>
        <tr r="E41" s="12"/>
      </tp>
      <tp t="s">
        <v>#N/A Requesting Data...3129535603</v>
        <stp/>
        <stp>BDP|10246108742009560738</stp>
        <tr r="J29" s="29"/>
      </tp>
      <tp t="s">
        <v>#N/A Requesting Data...1829729567</v>
        <stp/>
        <stp>BDP|13418750181194700312</stp>
        <tr r="Q5" s="29"/>
      </tp>
      <tp t="s">
        <v>#N/A Requesting Data...3636946193</v>
        <stp/>
        <stp>BDP|17989991179841621068</stp>
        <tr r="AD14" s="9"/>
        <tr r="X16" s="14"/>
        <tr r="X34" s="13"/>
        <tr r="AA35" s="15"/>
      </tp>
      <tp t="s">
        <v>#N/A Requesting Data...747408251</v>
        <stp/>
        <stp>BDP|12747228566856977839</stp>
        <tr r="T18" s="12"/>
      </tp>
      <tp t="s">
        <v>#N/A Requesting Data...1688483387</v>
        <stp/>
        <stp>BDP|17338116857718526397</stp>
        <tr r="Q9" s="29"/>
      </tp>
      <tp t="s">
        <v>#N/A Requesting Data...4277928583</v>
        <stp/>
        <stp>BDP|14376040980566682290</stp>
        <tr r="B4" s="17"/>
        <tr r="C6" s="22"/>
        <tr r="X4" s="12"/>
      </tp>
      <tp t="s">
        <v>#N/A Requesting Data...2016267830</v>
        <stp/>
        <stp>BDP|10460197076767474973</stp>
        <tr r="J94" s="29"/>
      </tp>
      <tp t="s">
        <v>#N/A Requesting Data...3430523234</v>
        <stp/>
        <stp>BDP|13460364147664540880</stp>
        <tr r="H61" s="9"/>
        <tr r="F57" s="10"/>
        <tr r="G49" s="15"/>
      </tp>
      <tp t="s">
        <v>#N/A Requesting Data...2131942610</v>
        <stp/>
        <stp>BDP|11174699333654348832</stp>
        <tr r="G20" s="18"/>
        <tr r="J109" s="19"/>
        <tr r="J25" s="19"/>
        <tr r="K17" s="17"/>
        <tr r="J31" s="30"/>
      </tp>
      <tp t="s">
        <v>#N/A Requesting Data...4147292839</v>
        <stp/>
        <stp>BDP|18410108191278658083</stp>
        <tr r="AD45" s="9"/>
      </tp>
      <tp t="s">
        <v>#N/A Requesting Data...3964093435</v>
        <stp/>
        <stp>BDP|10735281826788049032</stp>
        <tr r="O48" s="22"/>
      </tp>
      <tp t="s">
        <v>#N/A Requesting Data...3936514351</v>
        <stp/>
        <stp>BDP|16991008981587436165</stp>
        <tr r="C70" s="29"/>
      </tp>
      <tp t="s">
        <v>#N/A Requesting Data...2097760355</v>
        <stp/>
        <stp>BDP|10216479999254355158</stp>
        <tr r="AN31" s="17"/>
      </tp>
      <tp t="s">
        <v>#N/A Requesting Data...2390396919</v>
        <stp/>
        <stp>BDP|17875813830625766142</stp>
        <tr r="B38" s="12"/>
      </tp>
      <tp t="s">
        <v>#N/A Requesting Data...2706167102</v>
        <stp/>
        <stp>BDP|13473101127898932070</stp>
        <tr r="J96" s="29"/>
      </tp>
      <tp t="s">
        <v>#N/A Requesting Data...3862389917</v>
        <stp/>
        <stp>BDP|13423810277511857574</stp>
        <tr r="Z30" s="9"/>
        <tr r="S37" s="14"/>
        <tr r="S37" s="13"/>
        <tr r="V24" s="15"/>
      </tp>
      <tp t="s">
        <v>#N/A Requesting Data...2991067312</v>
        <stp/>
        <stp>BDP|15680178450598592185</stp>
        <tr r="H37" s="9"/>
        <tr r="F41" s="10"/>
        <tr r="G12" s="15"/>
      </tp>
      <tp t="s">
        <v>#N/A Requesting Data...3340702060</v>
        <stp/>
        <stp>BDP|13895457889531950613</stp>
        <tr r="K99" s="29"/>
      </tp>
      <tp t="s">
        <v>#N/A Requesting Data...2828735088</v>
        <stp/>
        <stp>BDP|13885358602551738947</stp>
        <tr r="F10" s="18"/>
        <tr r="I20" s="19"/>
        <tr r="I92" s="19"/>
        <tr r="J6" s="17"/>
        <tr r="F25" s="10"/>
        <tr r="I40" s="30"/>
      </tp>
      <tp t="s">
        <v>#N/A Requesting Data...1704801956</v>
        <stp/>
        <stp>BDP|11316843709957905684</stp>
        <tr r="AN36" s="17"/>
      </tp>
      <tp t="s">
        <v>#N/A Requesting Data...3299746678</v>
        <stp/>
        <stp>BDP|18007480652628301969</stp>
        <tr r="AA57" s="12"/>
      </tp>
      <tp t="s">
        <v>#N/A Requesting Data...1345484812</v>
        <stp/>
        <stp>BDP|13182423690400828643</stp>
        <tr r="J5" s="27"/>
      </tp>
      <tp t="s">
        <v>#N/A Requesting Data...3353677653</v>
        <stp/>
        <stp>BDP|12537784434578020671</stp>
        <tr r="AC16" s="9"/>
        <tr r="W26" s="14"/>
        <tr r="W21" s="13"/>
        <tr r="Z13" s="15"/>
      </tp>
      <tp t="s">
        <v>#N/A Requesting Data...3121747510</v>
        <stp/>
        <stp>BDP|12183125068528370596</stp>
        <tr r="Q66" s="29"/>
      </tp>
      <tp t="s">
        <v>#N/A Requesting Data...4166329494</v>
        <stp/>
        <stp>BDP|12627889060236981269</stp>
        <tr r="G34" s="18"/>
        <tr r="J114" s="19"/>
        <tr r="J7" s="19"/>
        <tr r="K29" s="17"/>
        <tr r="J15" s="30"/>
      </tp>
      <tp t="s">
        <v>#N/A N/A</v>
        <stp/>
        <stp>BDP|13295563383622163474</stp>
        <tr r="AD44" s="9"/>
      </tp>
      <tp t="s">
        <v>#N/A Requesting Data...3111274181</v>
        <stp/>
        <stp>BDP|18362926381662561343</stp>
        <tr r="B10" s="12"/>
      </tp>
      <tp t="s">
        <v>#N/A Requesting Data...1920653831</v>
        <stp/>
        <stp>BDP|11767912096949885097</stp>
        <tr r="AH4" s="12"/>
      </tp>
      <tp t="s">
        <v>#N/A Requesting Data...1734540366</v>
        <stp/>
        <stp>BDP|18133020826851526302</stp>
        <tr r="AA28" s="12"/>
      </tp>
      <tp t="s">
        <v>#N/A Requesting Data...4000520946</v>
        <stp/>
        <stp>BDP|15482283492126757094</stp>
        <tr r="I53" s="12"/>
      </tp>
      <tp t="s">
        <v>#N/A Requesting Data...4243558634</v>
        <stp/>
        <stp>BDP|10623332270635605937</stp>
        <tr r="AC46" s="9"/>
        <tr r="W31" s="14"/>
        <tr r="W49" s="13"/>
      </tp>
      <tp t="s">
        <v>#N/A Requesting Data...1775555079</v>
        <stp/>
        <stp>BDP|14074109161029493253</stp>
        <tr r="Q15" s="29"/>
      </tp>
      <tp t="s">
        <v>#N/A Requesting Data...3748550269</v>
        <stp/>
        <stp>BDP|13081402214258020673</stp>
        <tr r="G15" s="9"/>
        <tr r="G214" s="23"/>
        <tr r="G62" s="23"/>
        <tr r="T28" s="22"/>
        <tr r="E21" s="10"/>
        <tr r="F34" s="15"/>
      </tp>
      <tp t="s">
        <v>#N/A Requesting Data...2867915545</v>
        <stp/>
        <stp>BDP|11212997448430320438</stp>
        <tr r="L6" s="29"/>
      </tp>
      <tp t="s">
        <v>#N/A Requesting Data...1131362525</v>
        <stp/>
        <stp>BDP|13723011292547665518</stp>
        <tr r="B7" s="12"/>
      </tp>
      <tp t="s">
        <v>#N/A Requesting Data...3082961008</v>
        <stp/>
        <stp>BDP|11429112011871466833</stp>
        <tr r="Y8" s="9"/>
        <tr r="R15" s="14"/>
        <tr r="R38" s="13"/>
        <tr r="U7" s="15"/>
      </tp>
      <tp t="s">
        <v>#N/A Requesting Data...2139742964</v>
        <stp/>
        <stp>BDP|15781244465040563907</stp>
        <tr r="AE14" s="12"/>
      </tp>
      <tp t="s">
        <v>#N/A Requesting Data...2982919684</v>
        <stp/>
        <stp>BDP|10108835764603475518</stp>
        <tr r="AG24" s="12"/>
      </tp>
      <tp t="s">
        <v>#N/A Requesting Data...1424914717</v>
        <stp/>
        <stp>BDP|11591515474473237818</stp>
        <tr r="C97" s="29"/>
      </tp>
      <tp t="s">
        <v>#N/A Requesting Data...4148176060</v>
        <stp/>
        <stp>BDP|12103838448856802012</stp>
        <tr r="Z29" s="9"/>
        <tr r="S41" s="14"/>
        <tr r="S42" s="13"/>
        <tr r="V11" s="15"/>
      </tp>
      <tp t="s">
        <v>#N/A N/A</v>
        <stp/>
        <stp>BDP|11455745634288644511</stp>
        <tr r="AD17" s="9"/>
      </tp>
      <tp t="s">
        <v>#N/A Requesting Data...3380480441</v>
        <stp/>
        <stp>BDP|12763559761269996092</stp>
        <tr r="B7" s="17"/>
        <tr r="C9" s="22"/>
        <tr r="X8" s="12"/>
      </tp>
      <tp t="s">
        <v>#N/A Requesting Data...1125696304</v>
        <stp/>
        <stp>BDP|18217160691910646809</stp>
        <tr r="G41" s="18"/>
        <tr r="J124" s="19"/>
        <tr r="J34" s="19"/>
        <tr r="K39" s="17"/>
        <tr r="J11" s="30"/>
      </tp>
      <tp t="s">
        <v>#N/A Requesting Data...4093029711</v>
        <stp/>
        <stp>BDP|14615174972148536253</stp>
        <tr r="H12" s="27"/>
      </tp>
      <tp t="s">
        <v>#N/A Requesting Data...3048004144</v>
        <stp/>
        <stp>BDP|11482352284211372344</stp>
        <tr r="L25" s="29"/>
      </tp>
      <tp t="s">
        <v>#N/A Requesting Data...3823026923</v>
        <stp/>
        <stp>BDP|15332941856577778641</stp>
        <tr r="H60" s="9"/>
        <tr r="F62" s="10"/>
        <tr r="G47" s="15"/>
      </tp>
      <tp t="s">
        <v>#N/A Requesting Data...1955026175</v>
        <stp/>
        <stp>BDP|11257854301863704238</stp>
        <tr r="K40" s="29"/>
      </tp>
      <tp t="s">
        <v>#N/A Requesting Data...4289065309</v>
        <stp/>
        <stp>BDP|15665853257269378957</stp>
        <tr r="R32" s="13"/>
        <tr r="R48" s="14"/>
      </tp>
      <tp t="s">
        <v>#N/A Requesting Data...3734901736</v>
        <stp/>
        <stp>BDP|10503074495461641030</stp>
        <tr r="AD34" s="12"/>
      </tp>
      <tp t="s">
        <v>#N/A Requesting Data...2596287930</v>
        <stp/>
        <stp>BDP|15689607886952489114</stp>
        <tr r="K62" s="29"/>
      </tp>
      <tp t="s">
        <v>#N/A Requesting Data...2335958475</v>
        <stp/>
        <stp>BDP|10300822754665691062</stp>
        <tr r="C82" s="29"/>
      </tp>
      <tp t="s">
        <v>#N/A Requesting Data...2911186514</v>
        <stp/>
        <stp>BDP|15397821541193513206</stp>
        <tr r="AE24" s="12"/>
      </tp>
      <tp t="s">
        <v>#N/A Requesting Data...3594823283</v>
        <stp/>
        <stp>BDP|13161561522854824880</stp>
        <tr r="K89" s="29"/>
      </tp>
      <tp t="s">
        <v>#N/A Requesting Data...1729393614</v>
        <stp/>
        <stp>BDP|16894096662730246840</stp>
        <tr r="J56" s="29"/>
      </tp>
      <tp t="s">
        <v>#N/A Requesting Data...1881083659</v>
        <stp/>
        <stp>BDP|14849569441159882420</stp>
        <tr r="AG6" s="12"/>
      </tp>
      <tp t="s">
        <v>#N/A Requesting Data...2486674436</v>
        <stp/>
        <stp>BDP|18300839741764264841</stp>
        <tr r="AN27" s="17"/>
      </tp>
      <tp t="s">
        <v>#N/A Requesting Data...3864159989</v>
        <stp/>
        <stp>BDP|13670260703950690922</stp>
        <tr r="I10" s="9"/>
        <tr r="G9" s="10"/>
        <tr r="H32" s="15"/>
      </tp>
      <tp t="s">
        <v>#N/A Requesting Data...1872140833</v>
        <stp/>
        <stp>BDP|15187155594337127276</stp>
        <tr r="P82" s="9"/>
      </tp>
      <tp t="s">
        <v>#N/A Requesting Data...3797137035</v>
        <stp/>
        <stp>BDP|11232825821252107169</stp>
        <tr r="I33" s="9"/>
        <tr r="G26" s="10"/>
        <tr r="H36" s="15"/>
      </tp>
      <tp t="s">
        <v>#N/A Requesting Data...705626533</v>
        <stp/>
        <stp>BDP|12801112417182850805</stp>
        <tr r="K34" s="29"/>
      </tp>
      <tp t="s">
        <v>#N/A Requesting Data...929224787</v>
        <stp/>
        <stp>BDP|17609740534628712372</stp>
        <tr r="AI33" s="12"/>
      </tp>
      <tp t="s">
        <v>#N/A Requesting Data...1724542275</v>
        <stp/>
        <stp>BDP|15210405806629031024</stp>
        <tr r="J47" s="29"/>
      </tp>
      <tp t="s">
        <v>#N/A Requesting Data...572270976</v>
        <stp/>
        <stp>BDP|16181201473913394986</stp>
        <tr r="C58" s="29"/>
      </tp>
      <tp t="s">
        <v>#N/A Requesting Data...1486597690</v>
        <stp/>
        <stp>BDP|17575701038649329373</stp>
        <tr r="J11" s="27"/>
      </tp>
      <tp t="s">
        <v>#N/A Requesting Data...615171497</v>
        <stp/>
        <stp>BDP|16838278302715464825</stp>
        <tr r="J100" s="29"/>
      </tp>
      <tp t="s">
        <v>#N/A Requesting Data...3985297225</v>
        <stp/>
        <stp>BDP|17067085852258577348</stp>
        <tr r="H62" s="9"/>
        <tr r="F59" s="10"/>
        <tr r="G52" s="15"/>
      </tp>
      <tp t="s">
        <v>#N/A Requesting Data...3124025840</v>
        <stp/>
        <stp>BDP|12223511851839866218</stp>
        <tr r="AB29" s="19"/>
        <tr r="AJ12" s="17"/>
        <tr r="Y37" s="30"/>
      </tp>
      <tp t="s">
        <v>#N/A Requesting Data...4146025209</v>
        <stp/>
        <stp>BDP|10157980130784075721</stp>
        <tr r="W23" s="13"/>
        <tr r="W21" s="14"/>
      </tp>
      <tp t="s">
        <v>#N/A Requesting Data...3608852091</v>
        <stp/>
        <stp>BDP|17661727817968977076</stp>
        <tr r="AN35" s="17"/>
      </tp>
      <tp t="s">
        <v>#N/A Requesting Data...2060831513</v>
        <stp/>
        <stp>BDP|18145581846545125530</stp>
        <tr r="AE36" s="12"/>
      </tp>
      <tp t="s">
        <v>#N/A Requesting Data...4179056754</v>
        <stp/>
        <stp>BDP|17819405026489173125</stp>
        <tr r="B54" s="12"/>
      </tp>
      <tp t="s">
        <v>#N/A Requesting Data...3707305776</v>
        <stp/>
        <stp>BDP|16122901847186335487</stp>
        <tr r="AD40" s="9"/>
        <tr r="X44" s="14"/>
        <tr r="X50" s="13"/>
        <tr r="AA29" s="15"/>
      </tp>
      <tp t="s">
        <v>#N/A Requesting Data...1152130289</v>
        <stp/>
        <stp>BDP|17752755394375375597</stp>
        <tr r="F12" s="18"/>
        <tr r="I10" s="19"/>
        <tr r="I99" s="19"/>
        <tr r="J9" s="17"/>
        <tr r="I28" s="30"/>
      </tp>
      <tp t="s">
        <v>#N/A Requesting Data...953512748</v>
        <stp/>
        <stp>BDP|12411417933815815915</stp>
        <tr r="X142" s="17"/>
      </tp>
      <tp t="s">
        <v>#N/A Requesting Data...2955516311</v>
        <stp/>
        <stp>BDP|16710288593993399700</stp>
        <tr r="H14" s="9"/>
        <tr r="F17" s="10"/>
        <tr r="G35" s="15"/>
      </tp>
      <tp t="s">
        <v>#N/A Requesting Data...4005798230</v>
        <stp/>
        <stp>BDP|18425737666316876669</stp>
        <tr r="AG51" s="12"/>
      </tp>
      <tp t="s">
        <v>#N/A Requesting Data...2017429877</v>
        <stp/>
        <stp>BDP|12707554763379884175</stp>
        <tr r="C86" s="29"/>
      </tp>
      <tp t="s">
        <v>#N/A Requesting Data...1521959353</v>
        <stp/>
        <stp>BDP|10568892203258100903</stp>
        <tr r="AB39" s="19"/>
        <tr r="AJ40" s="17"/>
        <tr r="Y12" s="30"/>
      </tp>
      <tp t="s">
        <v>#N/A Requesting Data...3902233643</v>
        <stp/>
        <stp>BDP|15978041506798335499</stp>
        <tr r="Z54" s="9"/>
        <tr r="S62" s="14"/>
        <tr r="S69" s="13"/>
        <tr r="V50" s="15"/>
      </tp>
      <tp t="s">
        <v>#N/A Requesting Data...3807380303</v>
        <stp/>
        <stp>BDP|10213228390482361026</stp>
        <tr r="I7" s="9"/>
        <tr r="G12" s="10"/>
        <tr r="H6" s="15"/>
      </tp>
      <tp t="s">
        <v>#N/A Requesting Data...1519238309</v>
        <stp/>
        <stp>BDP|11848875813170467191</stp>
        <tr r="AN34" s="17"/>
      </tp>
      <tp t="s">
        <v>#N/A Requesting Data...1020270230</v>
        <stp/>
        <stp>BDP|14659207040469110261</stp>
        <tr r="C18" s="29"/>
      </tp>
      <tp t="s">
        <v>#N/A Requesting Data...1329581593</v>
        <stp/>
        <stp>BDP|14639134161782380852</stp>
        <tr r="AE34" s="12"/>
      </tp>
      <tp t="s">
        <v>#N/A Requesting Data...4089969972</v>
        <stp/>
        <stp>BDP|14150830800927022202</stp>
        <tr r="Y32" s="9"/>
        <tr r="R46" s="14"/>
        <tr r="U38" s="15"/>
      </tp>
      <tp t="s">
        <v>#N/A Requesting Data...2166657482</v>
        <stp/>
        <stp>BDP|11848572673472856864</stp>
        <tr r="AA4" s="19"/>
        <tr r="AI26" s="17"/>
        <tr r="X4" s="30"/>
      </tp>
      <tp t="s">
        <v>#N/A Requesting Data...2500017574</v>
        <stp/>
        <stp>BDP|12240896883479820227</stp>
        <tr r="AM42" s="17"/>
      </tp>
      <tp t="s">
        <v>#N/A Requesting Data...3376007974</v>
        <stp/>
        <stp>BDP|15518289130898757585</stp>
        <tr r="I62" s="9"/>
        <tr r="G59" s="10"/>
        <tr r="H52" s="15"/>
      </tp>
      <tp t="s">
        <v>#N/A Requesting Data...3361798533</v>
        <stp/>
        <stp>BDP|11730874785728433034</stp>
        <tr r="AA56" s="12"/>
      </tp>
      <tp t="s">
        <v>#N/A Requesting Data...1776434425</v>
        <stp/>
        <stp>BDP|13731887406162945027</stp>
        <tr r="AH34" s="12"/>
      </tp>
      <tp t="s">
        <v>#N/A Requesting Data...2279758051</v>
        <stp/>
        <stp>BDP|18166328252373585460</stp>
        <tr r="L96" s="29"/>
      </tp>
      <tp t="s">
        <v>#N/A Requesting Data...3286853604</v>
        <stp/>
        <stp>BDP|17829241063948961235</stp>
        <tr r="AC27" s="9"/>
        <tr r="W42" s="14"/>
        <tr r="W47" s="13"/>
        <tr r="Z31" s="15"/>
      </tp>
      <tp t="s">
        <v>#N/A Requesting Data...4171625537</v>
        <stp/>
        <stp>BDP|11283404644450533865</stp>
        <tr r="I32" s="9"/>
        <tr r="G42" s="10"/>
        <tr r="H38" s="15"/>
      </tp>
      <tp t="s">
        <v>#N/A Requesting Data...3154594459</v>
        <stp/>
        <stp>BDP|15909414389446344679</stp>
        <tr r="H15" s="9"/>
        <tr r="F21" s="10"/>
        <tr r="G34" s="15"/>
      </tp>
      <tp t="s">
        <v>#N/A Requesting Data...4208149271</v>
        <stp/>
        <stp>BDP|12563883278537153316</stp>
        <tr r="J12" s="27"/>
      </tp>
      <tp t="s">
        <v>#N/A Requesting Data...3314410026</v>
        <stp/>
        <stp>BDP|10980281861809722426</stp>
        <tr r="AA21" s="12"/>
      </tp>
      <tp t="s">
        <v>#N/A Requesting Data...1524764206</v>
        <stp/>
        <stp>BDP|15934987604582224738</stp>
        <tr r="C46" s="29"/>
      </tp>
      <tp t="s">
        <v>#N/A Requesting Data...3806435742</v>
        <stp/>
        <stp>BDP|12912143996323685095</stp>
        <tr r="U81" s="9"/>
        <tr r="V59" s="19"/>
      </tp>
      <tp t="s">
        <v>#N/A Requesting Data...2218961168</v>
        <stp/>
        <stp>BDP|17511550140938056741</stp>
        <tr r="C34" s="29"/>
      </tp>
      <tp t="s">
        <v>#N/A Requesting Data...3812903409</v>
        <stp/>
        <stp>BDP|14150020799031857567</stp>
        <tr r="E35" s="18"/>
        <tr r="H38" s="19"/>
        <tr r="I32" s="17"/>
        <tr r="G175" s="23"/>
        <tr r="G96" s="23"/>
      </tp>
      <tp t="s">
        <v>#N/A Requesting Data...4197294900</v>
        <stp/>
        <stp>BDP|13392265827699297345</stp>
        <tr r="L28" s="29"/>
      </tp>
      <tp t="s">
        <v>#N/A Requesting Data...3473357552</v>
        <stp/>
        <stp>BDP|11169865447203495736</stp>
        <tr r="I22" s="9"/>
        <tr r="G29" s="10"/>
        <tr r="H37" s="15"/>
      </tp>
      <tp t="s">
        <v>#N/A Requesting Data...4013140147</v>
        <stp/>
        <stp>BDP|12054284511188850065</stp>
        <tr r="Y61" s="9"/>
        <tr r="R65" s="14"/>
        <tr r="R62" s="13"/>
        <tr r="U49" s="15"/>
      </tp>
      <tp t="s">
        <v>#N/A Requesting Data...3560281789</v>
        <stp/>
        <stp>BDP|11203045635499367265</stp>
        <tr r="Z45" s="9"/>
      </tp>
      <tp t="s">
        <v>#N/A Requesting Data...4024111827</v>
        <stp/>
        <stp>BDP|14999388070621374841</stp>
        <tr r="R71" s="14"/>
        <tr r="R63" s="13"/>
      </tp>
      <tp t="s">
        <v>#N/A Requesting Data...3288435746</v>
        <stp/>
        <stp>BDP|11529917038957394593</stp>
        <tr r="Y5" s="9"/>
        <tr r="R4" s="14"/>
        <tr r="R26" s="13"/>
        <tr r="U33" s="15"/>
      </tp>
      <tp t="s">
        <v>#N/A Requesting Data...3474534249</v>
        <stp/>
        <stp>BDP|17010916763734844239</stp>
        <tr r="L17" s="22"/>
        <tr r="I14" s="12"/>
      </tp>
      <tp t="s">
        <v>#N/A Requesting Data...2149879140</v>
        <stp/>
        <stp>BDP|15714285953825653925</stp>
        <tr r="AG35" s="12"/>
      </tp>
      <tp t="s">
        <v>#N/A Requesting Data...4159792257</v>
        <stp/>
        <stp>BDP|10319547743568449784</stp>
        <tr r="H46" s="9"/>
      </tp>
      <tp t="s">
        <v>#N/A Requesting Data...3688015051</v>
        <stp/>
        <stp>BDP|13779195341691218954</stp>
        <tr r="L21" s="29"/>
      </tp>
      <tp t="s">
        <v>#N/A Requesting Data...4169048539</v>
        <stp/>
        <stp>BDP|13743830363073835077</stp>
        <tr r="Y11" s="12"/>
      </tp>
      <tp t="s">
        <v>#N/A Requesting Data...3579030949</v>
        <stp/>
        <stp>BDP|12385042170083503891</stp>
        <tr r="I54" s="12"/>
      </tp>
      <tp t="s">
        <v>#N/A Requesting Data...3520292795</v>
        <stp/>
        <stp>BDP|11615948601207049185</stp>
        <tr r="H38" s="9"/>
      </tp>
      <tp t="s">
        <v>#N/A Requesting Data...3285315926</v>
        <stp/>
        <stp>BDP|11229110821455844969</stp>
        <tr r="AD58" s="9"/>
        <tr r="X64" s="14"/>
        <tr r="X61" s="13"/>
        <tr r="AA51" s="15"/>
      </tp>
      <tp t="s">
        <v>#N/A Requesting Data...1214062239</v>
        <stp/>
        <stp>BDP|13255517388020635012</stp>
        <tr r="L45" s="29"/>
      </tp>
      <tp t="s">
        <v>#N/A Requesting Data...1159168062</v>
        <stp/>
        <stp>BDP|10546773339452417815</stp>
        <tr r="AH19" s="12"/>
      </tp>
      <tp t="s">
        <v>#N/A Requesting Data...4044082964</v>
        <stp/>
        <stp>BDP|17842957637060395381</stp>
        <tr r="C43" s="29"/>
      </tp>
      <tp t="s">
        <v>#N/A Requesting Data...3666210529</v>
        <stp/>
        <stp>BDP|14722125715972158806</stp>
        <tr r="B26" s="29"/>
      </tp>
      <tp t="s">
        <v>#N/A Requesting Data...2576234115</v>
        <stp/>
        <stp>BDP|18384640609509675998</stp>
        <tr r="AH32" s="12"/>
      </tp>
      <tp t="s">
        <v>#N/A Requesting Data...4151661832</v>
        <stp/>
        <stp>BDP|12300733710709844390</stp>
        <tr r="W48" s="14"/>
        <tr r="W32" s="13"/>
      </tp>
      <tp t="s">
        <v>#N/A Requesting Data...3559722139</v>
        <stp/>
        <stp>BDP|14477522909448831764</stp>
        <tr r="Z26" s="9"/>
        <tr r="S32" s="14"/>
        <tr r="S15" s="13"/>
        <tr r="V28" s="15"/>
      </tp>
      <tp t="s">
        <v>#N/A Requesting Data...3609060001</v>
        <stp/>
        <stp>BDP|15697247883344308522</stp>
        <tr r="I25" s="9"/>
        <tr r="G20" s="10"/>
        <tr r="H5" s="15"/>
      </tp>
      <tp t="s">
        <v>#N/A Requesting Data...3513758294</v>
        <stp/>
        <stp>BDP|14808240868676021846</stp>
        <tr r="H8" s="27"/>
      </tp>
      <tp t="s">
        <v>#N/A Requesting Data...4151744969</v>
        <stp/>
        <stp>BDP|11891962936355069089</stp>
        <tr r="AE21" s="12"/>
      </tp>
      <tp t="s">
        <v>#N/A Requesting Data...2659245755</v>
        <stp/>
        <stp>BDP|18142910846513487812</stp>
        <tr r="AD36" s="12"/>
      </tp>
      <tp t="s">
        <v>#N/A Requesting Data...3143823347</v>
        <stp/>
        <stp>BDP|10067833454602469108</stp>
        <tr r="E19" s="18"/>
        <tr r="H106" s="19"/>
        <tr r="H18" s="19"/>
        <tr r="I16" s="17"/>
        <tr r="P139" s="23"/>
        <tr r="P223" s="23"/>
        <tr r="H25" s="22"/>
        <tr r="E15" s="12"/>
      </tp>
      <tp t="s">
        <v>#N/A Requesting Data...4086529689</v>
        <stp/>
        <stp>BDP|14908493897364458306</stp>
        <tr r="B10" s="29"/>
      </tp>
      <tp t="s">
        <v>#N/A Requesting Data...2333528351</v>
        <stp/>
        <stp>BDP|12111251803328015640</stp>
        <tr r="Q22" s="29"/>
      </tp>
      <tp t="s">
        <v>#N/A Requesting Data...3552567069</v>
        <stp/>
        <stp>BDP|15807346997064805507</stp>
        <tr r="G11" s="9"/>
        <tr r="G213" s="23"/>
        <tr r="G61" s="23"/>
        <tr r="T18" s="22"/>
        <tr r="E11" s="10"/>
        <tr r="F16" s="15"/>
      </tp>
      <tp t="s">
        <v>#N/A Requesting Data...3685514306</v>
        <stp/>
        <stp>BDP|17668547158278965102</stp>
        <tr r="G20" s="9"/>
        <tr r="P13" s="23"/>
        <tr r="P159" s="23"/>
        <tr r="T26" s="22"/>
        <tr r="E15" s="10"/>
        <tr r="F15" s="15"/>
      </tp>
      <tp t="s">
        <v>#N/A Requesting Data...3624945556</v>
        <stp/>
        <stp>BDP|13565758935651759819</stp>
        <tr r="Y23" s="12"/>
      </tp>
      <tp t="s">
        <v>#N/A Requesting Data...4273741386</v>
        <stp/>
        <stp>BDP|10771544191946005400</stp>
        <tr r="AD27" s="9"/>
        <tr r="X42" s="14"/>
        <tr r="X47" s="13"/>
        <tr r="AA31" s="15"/>
      </tp>
      <tp t="s">
        <v>#N/A Requesting Data...4194395073</v>
        <stp/>
        <stp>BDP|13910827331676996013</stp>
        <tr r="H45" s="9"/>
      </tp>
      <tp t="s">
        <v>#N/A Requesting Data...3832396460</v>
        <stp/>
        <stp>BDP|13534737915792762967</stp>
        <tr r="X45" s="13"/>
        <tr r="X51" s="14"/>
      </tp>
      <tp t="s">
        <v>#N/A Requesting Data...3673005115</v>
        <stp/>
        <stp>BDP|17158591296642567792</stp>
        <tr r="B25" s="17"/>
        <tr r="C43" s="22"/>
      </tp>
      <tp t="s">
        <v>#N/A Requesting Data...3023935554</v>
        <stp/>
        <stp>BDP|14341894272025816058</stp>
        <tr r="J7" s="12"/>
      </tp>
      <tp t="s">
        <v>#N/A Requesting Data...2429192346</v>
        <stp/>
        <stp>BDP|16469760995775305319</stp>
        <tr r="J50" s="29"/>
      </tp>
      <tp t="s">
        <v>#N/A Requesting Data...3815038286</v>
        <stp/>
        <stp>BDP|10699456240999152772</stp>
        <tr r="K11" s="29"/>
      </tp>
      <tp t="s">
        <v>#N/A Requesting Data...2258524031</v>
        <stp/>
        <stp>BDP|17803881352986305248</stp>
        <tr r="AD35" s="12"/>
      </tp>
      <tp t="s">
        <v>#N/A Requesting Data...2155815034</v>
        <stp/>
        <stp>BDP|15965413476999935129</stp>
        <tr r="B11" s="17"/>
        <tr r="C14" s="22"/>
      </tp>
      <tp t="s">
        <v>#N/A Requesting Data...3102523285</v>
        <stp/>
        <stp>BDP|11337329739266555996</stp>
        <tr r="L18" s="29"/>
      </tp>
      <tp t="s">
        <v>#N/A Requesting Data...4257395720</v>
        <stp/>
        <stp>BDP|17379273020510812985</stp>
        <tr r="I57" s="12"/>
      </tp>
      <tp t="s">
        <v>#N/A Requesting Data...3253267667</v>
        <stp/>
        <stp>BDP|15685979311764420700</stp>
        <tr r="G16" s="9"/>
        <tr r="G186" s="23"/>
        <tr r="G38" s="23"/>
        <tr r="T23" s="22"/>
        <tr r="E24" s="10"/>
        <tr r="F13" s="15"/>
      </tp>
      <tp t="s">
        <v>#N/A Requesting Data...4217908730</v>
        <stp/>
        <stp>BDP|15745751312984691918</stp>
        <tr r="W65" s="13"/>
        <tr r="W72" s="14"/>
      </tp>
      <tp t="s">
        <v>#N/A Requesting Data...3628434081</v>
        <stp/>
        <stp>BDP|15202720583272665622</stp>
        <tr r="K60" s="29"/>
      </tp>
      <tp t="s">
        <v>#N/A Requesting Data...3841924837</v>
        <stp/>
        <stp>BDP|12882075880185931119</stp>
        <tr r="G5" s="9"/>
        <tr r="P186" s="23"/>
        <tr r="P38" s="23"/>
        <tr r="T8" s="22"/>
        <tr r="E6" s="10"/>
        <tr r="F33" s="15"/>
      </tp>
      <tp t="s">
        <v>#N/A Requesting Data...3210636454</v>
        <stp/>
        <stp>BDP|11896968376887273736</stp>
        <tr r="K82" s="29"/>
      </tp>
      <tp t="s">
        <v>#N/A Requesting Data...889248733</v>
        <stp/>
        <stp>BDP|15223518825048895572</stp>
        <tr r="K37" s="29"/>
      </tp>
      <tp t="s">
        <v>#N/A Requesting Data...4123915150</v>
        <stp/>
        <stp>BDP|12393281760518696159</stp>
        <tr r="Q37" s="29"/>
      </tp>
      <tp t="s">
        <v>#N/A Requesting Data...2298276782</v>
        <stp/>
        <stp>BDP|18399481216020572227</stp>
        <tr r="AH12" s="12"/>
      </tp>
      <tp t="s">
        <v>#N/A Requesting Data...2881067044</v>
        <stp/>
        <stp>BDP|18020436843205386292</stp>
        <tr r="Q45" s="29"/>
      </tp>
      <tp t="s">
        <v>#N/A Requesting Data...2582982755</v>
        <stp/>
        <stp>BDP|11727137777058106083</stp>
        <tr r="L42" s="22"/>
        <tr r="I24" s="12"/>
      </tp>
      <tp t="s">
        <v>#N/A Requesting Data...1522959410</v>
        <stp/>
        <stp>BDP|13465063143341318982</stp>
        <tr r="AD16" s="12"/>
      </tp>
      <tp t="s">
        <v>#N/A Requesting Data...1353758312</v>
        <stp/>
        <stp>BDP|11983131297027444147</stp>
        <tr r="B90" s="29"/>
      </tp>
      <tp t="s">
        <v>#N/A Requesting Data...1682638441</v>
        <stp/>
        <stp>BDP|14748656298106794209</stp>
        <tr r="B24" s="12"/>
      </tp>
      <tp t="s">
        <v>#N/A Requesting Data...3882608782</v>
        <stp/>
        <stp>BDP|15723662204489055580</stp>
        <tr r="Z9" s="9"/>
        <tr r="S12" s="14"/>
        <tr r="S12" s="13"/>
        <tr r="V10" s="15"/>
      </tp>
      <tp t="s">
        <v>#N/A Requesting Data...2977244966</v>
        <stp/>
        <stp>BDP|15588334382703981205</stp>
        <tr r="C65" s="29"/>
      </tp>
      <tp t="s">
        <v>#N/A Requesting Data...1895983054</v>
        <stp/>
        <stp>BDP|15162274896403835248</stp>
        <tr r="G25" s="18"/>
        <tr r="J104" s="19"/>
        <tr r="J37" s="19"/>
        <tr r="K22" s="17"/>
        <tr r="G35" s="10"/>
        <tr r="J10" s="30"/>
      </tp>
      <tp t="s">
        <v>#N/A Requesting Data...2055847510</v>
        <stp/>
        <stp>BDP|13405430795039946879</stp>
        <tr r="C54" s="29"/>
      </tp>
      <tp t="s">
        <v>#N/A Requesting Data...3987437580</v>
        <stp/>
        <stp>BDP|18358598415903220024</stp>
        <tr r="AA10" s="12"/>
      </tp>
      <tp t="s">
        <v>#N/A Requesting Data...1379546007</v>
        <stp/>
        <stp>BDP|15347484817736032933</stp>
        <tr r="L14" s="22"/>
        <tr r="I10" s="12"/>
      </tp>
      <tp t="s">
        <v>#N/A Requesting Data...4231765572</v>
        <stp/>
        <stp>BDP|14863129083967788518</stp>
        <tr r="AD41" s="9"/>
      </tp>
      <tp t="s">
        <v>#N/A Requesting Data...3039700442</v>
        <stp/>
        <stp>BDP|14672709709224363824</stp>
        <tr r="T31" s="12"/>
      </tp>
      <tp t="s">
        <v>#N/A Requesting Data...2444292866</v>
        <stp/>
        <stp>BDP|16581435022028391799</stp>
        <tr r="K44" s="29"/>
      </tp>
      <tp t="s">
        <v>#N/A Requesting Data...2015544340</v>
        <stp/>
        <stp>BDP|16172587846909774162</stp>
        <tr r="AM9" s="17"/>
      </tp>
      <tp t="s">
        <v>#N/A Requesting Data...3283464709</v>
        <stp/>
        <stp>BDP|17543575189532569703</stp>
        <tr r="Z33" s="9"/>
        <tr r="S27" s="14"/>
        <tr r="S16" s="13"/>
        <tr r="V36" s="15"/>
      </tp>
      <tp t="s">
        <v>#N/A Requesting Data...3355344655</v>
        <stp/>
        <stp>BDP|18071956476519514085</stp>
        <tr r="Y132" s="17"/>
      </tp>
      <tp t="s">
        <v>#N/A Requesting Data...3777027832</v>
        <stp/>
        <stp>BDP|13547849900113333737</stp>
        <tr r="L100" s="29"/>
      </tp>
      <tp t="s">
        <v>#N/A Requesting Data...3675761250</v>
        <stp/>
        <stp>BDP|10070157585047626173</stp>
        <tr r="B56" s="12"/>
      </tp>
      <tp t="s">
        <v>#N/A Requesting Data...3214550060</v>
        <stp/>
        <stp>BDP|15512922321232555325</stp>
        <tr r="Y57" s="9"/>
        <tr r="R66" s="14"/>
        <tr r="R66" s="13"/>
        <tr r="U54" s="15"/>
      </tp>
      <tp t="s">
        <v>#N/A Requesting Data...2193839817</v>
        <stp/>
        <stp>BDP|18108610871566148011</stp>
        <tr r="K81" s="29"/>
      </tp>
      <tp t="s">
        <v>#N/A Requesting Data...1990957779</v>
        <stp/>
        <stp>BDP|16346736496975584224</stp>
        <tr r="P88" s="9"/>
      </tp>
      <tp t="s">
        <v>#N/A Requesting Data...4176667449</v>
        <stp/>
        <stp>BDP|12685617924269200012</stp>
        <tr r="Z27" s="9"/>
        <tr r="S42" s="14"/>
        <tr r="S47" s="13"/>
        <tr r="V31" s="15"/>
      </tp>
      <tp t="s">
        <v>#N/A Requesting Data...3912553644</v>
        <stp/>
        <stp>BDP|16159921753964012109</stp>
        <tr r="L35" s="22"/>
        <tr r="I35" s="12"/>
      </tp>
      <tp t="s">
        <v>#N/A Requesting Data...2350212481</v>
        <stp/>
        <stp>BDP|13350762431571219950</stp>
        <tr r="L24" s="29"/>
      </tp>
      <tp t="s">
        <v>#N/A Requesting Data...2113225078</v>
        <stp/>
        <stp>BDP|18139645875707576165</stp>
        <tr r="C19" s="29"/>
      </tp>
      <tp t="s">
        <v>#N/A Requesting Data...1578826545</v>
        <stp/>
        <stp>BDP|14037865617544529671</stp>
        <tr r="B102" s="29"/>
      </tp>
      <tp t="s">
        <v>#N/A Requesting Data...1641555132</v>
        <stp/>
        <stp>BDP|14834194176785257879</stp>
        <tr r="AM18" s="17"/>
      </tp>
      <tp t="s">
        <v>#N/A Requesting Data...4221512158</v>
        <stp/>
        <stp>BDP|17614163044608368553</stp>
        <tr r="Y21" s="9"/>
        <tr r="R29" s="14"/>
        <tr r="R10" s="13"/>
        <tr r="U21" s="15"/>
      </tp>
      <tp t="s">
        <v>#N/A Requesting Data...3358803929</v>
        <stp/>
        <stp>BDP|10602608683927075672</stp>
        <tr r="O30" s="22"/>
      </tp>
      <tp t="s">
        <v>#N/A Requesting Data...2346914681</v>
        <stp/>
        <stp>BDP|10656892460496836728</stp>
        <tr r="T37" s="12"/>
      </tp>
      <tp t="s">
        <v>#N/A Requesting Data...3258967885</v>
        <stp/>
        <stp>BDP|18236414133154294471</stp>
        <tr r="AI57" s="12"/>
      </tp>
      <tp t="s">
        <v>#N/A Requesting Data...3462237368</v>
        <stp/>
        <stp>BDP|10705539491471484246</stp>
        <tr r="K33" s="29"/>
      </tp>
      <tp t="s">
        <v>#N/A Requesting Data...2153151199</v>
        <stp/>
        <stp>BDP|17867988806830499179</stp>
        <tr r="AA5" s="19"/>
        <tr r="AI18" s="17"/>
        <tr r="X8" s="30"/>
      </tp>
      <tp t="s">
        <v>#N/A Requesting Data...1643347541</v>
        <stp/>
        <stp>BDP|16926894842122507723</stp>
        <tr r="L64" s="29"/>
      </tp>
      <tp t="s">
        <v>#N/A Requesting Data...3979123464</v>
        <stp/>
        <stp>BDP|16821592401404617829</stp>
        <tr r="C11" s="27"/>
      </tp>
      <tp t="s">
        <v>#N/A Requesting Data...3666749424</v>
        <stp/>
        <stp>BDP|15629549926098231529</stp>
        <tr r="S48" s="14"/>
        <tr r="S32" s="13"/>
      </tp>
      <tp t="s">
        <v>#N/A Requesting Data...2189931766</v>
        <stp/>
        <stp>BDP|18048758263605577346</stp>
        <tr r="K12" s="29"/>
      </tp>
      <tp t="s">
        <v>#N/A Requesting Data...3962186069</v>
        <stp/>
        <stp>BDP|12973697255806085828</stp>
        <tr r="Y140" s="17"/>
      </tp>
      <tp t="s">
        <v>#N/A Requesting Data...3862371081</v>
        <stp/>
        <stp>BDP|13077449008478936025</stp>
        <tr r="AD33" s="12"/>
      </tp>
      <tp t="s">
        <v>#N/A Requesting Data...2451369353</v>
        <stp/>
        <stp>BDP|11141886617486902103</stp>
        <tr r="Q4" s="29"/>
      </tp>
      <tp t="s">
        <v>#N/A Requesting Data...2641604937</v>
        <stp/>
        <stp>BDP|13128869960024478649</stp>
        <tr r="L91" s="29"/>
      </tp>
      <tp t="s">
        <v>#N/A Requesting Data...4268069136</v>
        <stp/>
        <stp>BDP|12604960171822117295</stp>
        <tr r="B67" s="29"/>
      </tp>
      <tp t="s">
        <v>#N/A Requesting Data...3842702346</v>
        <stp/>
        <stp>BDP|11266863767972941139</stp>
        <tr r="B18" s="17"/>
        <tr r="C42" s="22"/>
      </tp>
      <tp t="s">
        <v>#N/A Requesting Data...3819605668</v>
        <stp/>
        <stp>BDP|13974920376914390572</stp>
        <tr r="AH23" s="12"/>
      </tp>
      <tp t="s">
        <v>#N/A Requesting Data...4206071453</v>
        <stp/>
        <stp>BDP|12261200099690385507</stp>
        <tr r="G31" s="9"/>
        <tr r="P173" s="23"/>
        <tr r="P24" s="23"/>
        <tr r="T46" s="22"/>
        <tr r="F4" s="15"/>
      </tp>
      <tp t="s">
        <v>#N/A Requesting Data...3174969045</v>
        <stp/>
        <stp>BDP|14465096486191345106</stp>
        <tr r="AA24" s="12"/>
      </tp>
      <tp t="s">
        <v>#N/A Requesting Data...3406305077</v>
        <stp/>
        <stp>BDP|10693648248099275734</stp>
        <tr r="AN17" s="17"/>
      </tp>
      <tp t="s">
        <v>#N/A Requesting Data...4158641237</v>
        <stp/>
        <stp>BDP|14665142634839868358</stp>
        <tr r="L57" s="29"/>
      </tp>
      <tp t="s">
        <v>#N/A Requesting Data...3119239380</v>
        <stp/>
        <stp>BDP|16052429888826907094</stp>
        <tr r="G14" s="18"/>
        <tr r="J100" s="19"/>
        <tr r="J24" s="19"/>
        <tr r="K10" s="17"/>
        <tr r="G34" s="10"/>
        <tr r="J32" s="30"/>
      </tp>
      <tp t="s">
        <v>#N/A Requesting Data...2509022971</v>
        <stp/>
        <stp>BDP|14786843605259250980</stp>
        <tr r="B13" s="12"/>
      </tp>
      <tp t="s">
        <v>#N/A Requesting Data...3414630820</v>
        <stp/>
        <stp>BDP|15974514240220757833</stp>
        <tr r="AA19" s="19"/>
        <tr r="AI38" s="17"/>
        <tr r="X27" s="30"/>
      </tp>
      <tp t="s">
        <v>#N/A Requesting Data...1881669338</v>
        <stp/>
        <stp>BDP|17466041189360173371</stp>
        <tr r="L16" s="29"/>
      </tp>
      <tp t="s">
        <v>#N/A Requesting Data...4044850091</v>
        <stp/>
        <stp>BDP|13151314994594222191</stp>
        <tr r="AH26" s="12"/>
      </tp>
      <tp t="s">
        <v>#N/A Requesting Data...2022808194</v>
        <stp/>
        <stp>BDP|14539664209527753922</stp>
        <tr r="AD15" s="12"/>
      </tp>
      <tp t="s">
        <v>#N/A Requesting Data...4218513114</v>
        <stp/>
        <stp>BDP|16526988146945184240</stp>
        <tr r="O18" s="22"/>
      </tp>
      <tp t="s">
        <v>#N/A Requesting Data...4260123707</v>
        <stp/>
        <stp>BDP|11352888601525156057</stp>
        <tr r="Z13" s="9"/>
        <tr r="S17" s="14"/>
        <tr r="S8" s="13"/>
        <tr r="V18" s="15"/>
      </tp>
      <tp t="s">
        <v>#N/A Requesting Data...3283656970</v>
        <stp/>
        <stp>BDP|14642952790078489096</stp>
        <tr r="Q8" s="29"/>
      </tp>
      <tp t="s">
        <v>#N/A Requesting Data...2456844220</v>
        <stp/>
        <stp>BDP|10153289099306235137</stp>
        <tr r="L34" s="22"/>
      </tp>
      <tp t="s">
        <v>#N/A Requesting Data...3254424586</v>
        <stp/>
        <stp>BDP|15771635891202603429</stp>
        <tr r="L10" s="29"/>
      </tp>
      <tp t="s">
        <v>#N/A Requesting Data...2894859225</v>
        <stp/>
        <stp>BDP|10099706110188848299</stp>
        <tr r="C22" s="29"/>
      </tp>
      <tp t="s">
        <v>#N/A Requesting Data...3231867772</v>
        <stp/>
        <stp>BDP|14785332928141585881</stp>
        <tr r="K75" s="29"/>
      </tp>
      <tp t="s">
        <v>#N/A Requesting Data...3624545643</v>
        <stp/>
        <stp>BDP|15228441306648575544</stp>
        <tr r="AD49" s="12"/>
      </tp>
      <tp t="s">
        <v>#N/A Requesting Data...3456073683</v>
        <stp/>
        <stp>BDP|18386232675653081242</stp>
        <tr r="G18" s="18"/>
        <tr r="J102" s="19"/>
        <tr r="J12" s="19"/>
        <tr r="K15" s="17"/>
        <tr r="J14" s="30"/>
      </tp>
      <tp t="s">
        <v>#N/A Requesting Data...4104143144</v>
        <stp/>
        <stp>BDP|16444810830464630527</stp>
        <tr r="I6" s="27"/>
      </tp>
      <tp t="s">
        <v>#N/A Requesting Data...3937084665</v>
        <stp/>
        <stp>BDP|13427846177275790503</stp>
        <tr r="K32" s="29"/>
      </tp>
      <tp t="s">
        <v>#N/A Requesting Data...3990874417</v>
        <stp/>
        <stp>BDP|14451616809276632891</stp>
        <tr r="AC57" s="9"/>
        <tr r="W66" s="14"/>
        <tr r="W66" s="13"/>
        <tr r="Z54" s="15"/>
      </tp>
      <tp t="s">
        <v>#N/A Requesting Data...2061671702</v>
        <stp/>
        <stp>BDP|11196569686824721458</stp>
        <tr r="AG7" s="12"/>
      </tp>
      <tp t="s">
        <v>#N/A Requesting Data...4005031284</v>
        <stp/>
        <stp>BDP|16571808325538169829</stp>
        <tr r="AH29" s="12"/>
      </tp>
      <tp t="s">
        <v>#N/A Requesting Data...2670065332</v>
        <stp/>
        <stp>BDP|16302421013126296926</stp>
        <tr r="AD7" s="12"/>
      </tp>
      <tp t="s">
        <v>#N/A Requesting Data...3183559423</v>
        <stp/>
        <stp>BDP|16149895106234973659</stp>
        <tr r="L43" s="22"/>
        <tr r="I31" s="12"/>
      </tp>
      <tp t="s">
        <v>#N/A Requesting Data...2489204872</v>
        <stp/>
        <stp>BDP|15076815075956713017</stp>
        <tr r="K29" s="29"/>
      </tp>
      <tp t="s">
        <v>#N/A Requesting Data...3288228495</v>
        <stp/>
        <stp>BDP|18343847489810495481</stp>
        <tr r="B32" s="12"/>
      </tp>
      <tp t="s">
        <v>#N/A Requesting Data...3359545698</v>
        <stp/>
        <stp>BDP|16112197798034025623</stp>
        <tr r="AD43" s="9"/>
      </tp>
      <tp t="s">
        <v>#N/A Requesting Data...3578713359</v>
        <stp/>
        <stp>BDP|10499260041582076866</stp>
        <tr r="H9" s="9"/>
        <tr r="F14" s="10"/>
        <tr r="G10" s="15"/>
      </tp>
      <tp t="s">
        <v>#N/A Requesting Data...2637525518</v>
        <stp/>
        <stp>BDP|13255305320359448732</stp>
        <tr r="L12" s="29"/>
      </tp>
      <tp t="s">
        <v>#N/A Requesting Data...4128801133</v>
        <stp/>
        <stp>BDP|17495750283834795033</stp>
        <tr r="X8" s="22"/>
      </tp>
      <tp t="s">
        <v>#N/A Requesting Data...3659928541</v>
        <stp/>
        <stp>BDP|12519332972638382215</stp>
        <tr r="K13" s="29"/>
      </tp>
      <tp t="s">
        <v>#N/A Requesting Data...2876040961</v>
        <stp/>
        <stp>BDP|14548121334193582904</stp>
        <tr r="Q70" s="29"/>
      </tp>
      <tp t="s">
        <v>#N/A Requesting Data...4047692883</v>
        <stp/>
        <stp>BDP|15817760932898965537</stp>
        <tr r="I56" s="9"/>
        <tr r="G60" s="10"/>
        <tr r="H53" s="15"/>
      </tp>
      <tp t="s">
        <v>#N/A Requesting Data...3438978896</v>
        <stp/>
        <stp>BDP|16965550049088288311</stp>
        <tr r="J74" s="29"/>
      </tp>
      <tp t="s">
        <v>#N/A Requesting Data...4187623443</v>
        <stp/>
        <stp>BDP|14344658650393131812</stp>
        <tr r="T34" s="12"/>
      </tp>
      <tp t="s">
        <v>#N/A Requesting Data...2809921001</v>
        <stp/>
        <stp>BDP|15420970079723577490</stp>
        <tr r="AI39" s="12"/>
      </tp>
      <tp t="s">
        <v>#N/A Requesting Data...3024737443</v>
        <stp/>
        <stp>BDP|16055772562989904347</stp>
        <tr r="C73" s="29"/>
      </tp>
      <tp t="s">
        <v>#N/A Requesting Data...2156968064</v>
        <stp/>
        <stp>BDP|16243233799344206427</stp>
        <tr r="B33" s="12"/>
      </tp>
      <tp t="s">
        <v>#N/A Requesting Data...3954153495</v>
        <stp/>
        <stp>BDP|15250234459517779849</stp>
        <tr r="W51" s="14"/>
        <tr r="W45" s="13"/>
      </tp>
      <tp t="s">
        <v>#N/A Requesting Data...3096757755</v>
        <stp/>
        <stp>BDP|18251121849897056726</stp>
        <tr r="E53" s="12"/>
      </tp>
      <tp t="s">
        <v>#N/A Requesting Data...3414194982</v>
        <stp/>
        <stp>BDP|14078037914728585092</stp>
        <tr r="B25" s="12"/>
      </tp>
      <tp t="s">
        <v>#N/A Requesting Data...3313085817</v>
        <stp/>
        <stp>BDP|16128054369925245847</stp>
        <tr r="O28" s="22"/>
      </tp>
      <tp t="s">
        <v>#N/A Requesting Data...3834132859</v>
        <stp/>
        <stp>BDP|12501808003925427295</stp>
        <tr r="K45" s="29"/>
      </tp>
      <tp t="s">
        <v>#N/A Requesting Data...3026722198</v>
        <stp/>
        <stp>BDP|17084522449972805998</stp>
        <tr r="AH37" s="12"/>
      </tp>
      <tp t="s">
        <v>#N/A Requesting Data...3574549396</v>
        <stp/>
        <stp>BDP|17626262278729020628</stp>
        <tr r="Q23" s="29"/>
      </tp>
      <tp t="s">
        <v>#N/A Requesting Data...3837744896</v>
        <stp/>
        <stp>BDP|14803182012868987110</stp>
        <tr r="K67" s="29"/>
      </tp>
      <tp t="s">
        <v>#N/A Requesting Data...4215744947</v>
        <stp/>
        <stp>BDP|11466592233103182920</stp>
        <tr r="X6" s="22"/>
      </tp>
      <tp t="s">
        <v>#N/A Requesting Data...3513942323</v>
        <stp/>
        <stp>BDP|17195985410683411109</stp>
        <tr r="J48" s="29"/>
      </tp>
      <tp t="s">
        <v>#N/A Requesting Data...3633057633</v>
        <stp/>
        <stp>BDP|12727971212987898075</stp>
        <tr r="K43" s="29"/>
      </tp>
      <tp t="s">
        <v>#N/A Requesting Data...4067434106</v>
        <stp/>
        <stp>BDP|12979040945338677328</stp>
        <tr r="O12" s="22"/>
      </tp>
      <tp t="s">
        <v>#N/A Requesting Data...3779105618</v>
        <stp/>
        <stp>BDP|16089778645299915173</stp>
        <tr r="B36" s="17"/>
        <tr r="C35" s="22"/>
        <tr r="X35" s="12"/>
      </tp>
      <tp t="s">
        <v>#N/A Requesting Data...3156023830</v>
        <stp/>
        <stp>BDP|18163017205695928038</stp>
        <tr r="Q41" s="29"/>
      </tp>
      <tp t="s">
        <v>#N/A Requesting Data...2222769475</v>
        <stp/>
        <stp>BDP|17211861556633964443</stp>
        <tr r="Q11" s="29"/>
      </tp>
      <tp t="s">
        <v>#N/A Requesting Data...4195078698</v>
        <stp/>
        <stp>BDP|10348780761219282561</stp>
        <tr r="X20" s="14"/>
        <tr r="X25" s="13"/>
      </tp>
      <tp t="s">
        <v>#N/A Requesting Data...3459513715</v>
        <stp/>
        <stp>BDP|18206082356539755950</stp>
        <tr r="Q31" s="29"/>
      </tp>
      <tp t="s">
        <v>#N/A Requesting Data...3999286192</v>
        <stp/>
        <stp>BDP|17463104510768350290</stp>
        <tr r="Q29" s="29"/>
      </tp>
      <tp t="s">
        <v>#N/A Requesting Data...4168211960</v>
        <stp/>
        <stp>BDP|15246156675348802646</stp>
        <tr r="B21" s="17"/>
        <tr r="C22" s="22"/>
        <tr r="X21" s="12"/>
      </tp>
      <tp t="s">
        <v>#N/A Requesting Data...3486449079</v>
        <stp/>
        <stp>BDP|12148720213661677877</stp>
        <tr r="AE50" s="12"/>
      </tp>
      <tp t="s">
        <v>#N/A Requesting Data...3508625375</v>
        <stp/>
        <stp>BDP|12253490680613947030</stp>
        <tr r="K16" s="29"/>
      </tp>
      <tp t="s">
        <v>#N/A Requesting Data...3395928345</v>
        <stp/>
        <stp>BDP|12128883331174996013</stp>
        <tr r="G25" s="9"/>
        <tr r="P14" s="23"/>
        <tr r="P161" s="23"/>
        <tr r="T39" s="22"/>
        <tr r="E20" s="10"/>
        <tr r="F5" s="15"/>
      </tp>
      <tp t="s">
        <v>#N/A Requesting Data...3541704887</v>
        <stp/>
        <stp>BDP|11528444890915903485</stp>
        <tr r="X35" s="22"/>
      </tp>
      <tp t="s">
        <v>#N/A Requesting Data...4272527420</v>
        <stp/>
        <stp>BDP|10232519575699459627</stp>
        <tr r="X54" s="12"/>
      </tp>
      <tp t="s">
        <v>#N/A Requesting Data...3617698152</v>
        <stp/>
        <stp>BDP|13015209114249288461</stp>
        <tr r="X9" s="22"/>
      </tp>
      <tp t="s">
        <v>#N/A Requesting Data...4005003541</v>
        <stp/>
        <stp>BDP|11069875807320529469</stp>
        <tr r="Q19" s="29"/>
      </tp>
      <tp t="s">
        <v>#N/A Requesting Data...2579425825</v>
        <stp/>
        <stp>BDP|17081996151310376682</stp>
        <tr r="P90" s="9"/>
      </tp>
      <tp t="s">
        <v>#N/A Requesting Data...2616081896</v>
        <stp/>
        <stp>BDP|13561283881840860474</stp>
        <tr r="C85" s="29"/>
      </tp>
      <tp t="s">
        <v>#N/A Requesting Data...3172184156</v>
        <stp/>
        <stp>BDP|17247009785524204666</stp>
        <tr r="AD32" s="12"/>
      </tp>
      <tp t="s">
        <v>#N/A Requesting Data...3333467324</v>
        <stp/>
        <stp>BDP|11503827523636516026</stp>
        <tr r="AC19" s="9"/>
        <tr r="W30" s="14"/>
        <tr r="W36" s="13"/>
        <tr r="Z25" s="15"/>
      </tp>
      <tp t="s">
        <v>#N/A Requesting Data...3270155722</v>
        <stp/>
        <stp>BDP|16493516498115947261</stp>
        <tr r="Y14" s="12"/>
      </tp>
      <tp t="s">
        <v>#N/A Requesting Data...3058845313</v>
        <stp/>
        <stp>BDP|17262854165855011108</stp>
        <tr r="J77" s="29"/>
      </tp>
      <tp t="s">
        <v>#N/A Requesting Data...4271213484</v>
        <stp/>
        <stp>BDP|14517898434371928346</stp>
        <tr r="C34" s="22"/>
      </tp>
      <tp t="s">
        <v>#N/A Requesting Data...2511601456</v>
        <stp/>
        <stp>BDP|10823040778532793863</stp>
        <tr r="C81" s="29"/>
      </tp>
      <tp t="s">
        <v>#N/A Requesting Data...2305656667</v>
        <stp/>
        <stp>BDP|12850817653682917064</stp>
        <tr r="I8" s="27"/>
      </tp>
      <tp t="s">
        <v>#N/A Requesting Data...4239668150</v>
        <stp/>
        <stp>BDP|11309330704187516841</stp>
        <tr r="L33" s="29"/>
      </tp>
      <tp t="s">
        <v>#N/A Requesting Data...3637040196</v>
        <stp/>
        <stp>BDP|16961261435089749383</stp>
        <tr r="AI53" s="12"/>
      </tp>
      <tp t="s">
        <v>#N/A Requesting Data...3774913382</v>
        <stp/>
        <stp>BDP|15778654810768799715</stp>
        <tr r="J57" s="12"/>
      </tp>
      <tp t="s">
        <v>#N/A Requesting Data...4201306015</v>
        <stp/>
        <stp>BDP|18334861257231598936</stp>
        <tr r="Y6" s="9"/>
        <tr r="R6" s="14"/>
        <tr r="R35" s="13"/>
        <tr r="U26" s="15"/>
      </tp>
      <tp t="s">
        <v>#N/A Requesting Data...4096398572</v>
        <stp/>
        <stp>BDP|15083250040307802996</stp>
        <tr r="AE33" s="12"/>
      </tp>
      <tp t="s">
        <v>#N/A Requesting Data...3334132865</v>
        <stp/>
        <stp>BDP|13708575705679756266</stp>
        <tr r="AG22" s="12"/>
      </tp>
      <tp t="s">
        <v>#N/A Requesting Data...3586932599</v>
        <stp/>
        <stp>BDP|16269900130154683537</stp>
        <tr r="J75" s="29"/>
      </tp>
      <tp t="s">
        <v>#N/A Requesting Data...3767717800</v>
        <stp/>
        <stp>BDP|18085717816547272420</stp>
        <tr r="B36" s="29"/>
      </tp>
      <tp t="s">
        <v>#N/A Requesting Data...3154302601</v>
        <stp/>
        <stp>BDP|11850473990346053787</stp>
        <tr r="T22" s="12"/>
      </tp>
      <tp t="s">
        <v>#N/A Requesting Data...3909648352</v>
        <stp/>
        <stp>BDP|10351458680820135118</stp>
        <tr r="E25" s="18"/>
        <tr r="H104" s="19"/>
        <tr r="H37" s="19"/>
        <tr r="I22" s="17"/>
        <tr r="G155" s="23"/>
        <tr r="G81" s="23"/>
        <tr r="H128" s="22"/>
        <tr r="H20" s="22"/>
        <tr r="H84" s="22"/>
        <tr r="E35" s="10"/>
        <tr r="E20" s="12"/>
        <tr r="E33" s="26"/>
        <tr r="E34" s="26"/>
        <tr r="E48" s="26"/>
        <tr r="E52" s="26"/>
        <tr r="E6" s="26"/>
        <tr r="E63" s="26"/>
        <tr r="E68" s="26"/>
        <tr r="E5" s="28"/>
        <tr r="E51" s="28"/>
        <tr r="E61" s="28"/>
      </tp>
      <tp t="s">
        <v>#N/A Requesting Data...3450233715</v>
        <stp/>
        <stp>BDP|11167770536790303852</stp>
        <tr r="P89" s="9"/>
      </tp>
      <tp t="s">
        <v>#N/A Requesting Data...2395068757</v>
        <stp/>
        <stp>BDP|11111226776559400073</stp>
        <tr r="G38" s="18"/>
        <tr r="J122" s="19"/>
        <tr r="J17" s="19"/>
        <tr r="K35" s="17"/>
        <tr r="J33" s="30"/>
      </tp>
      <tp t="s">
        <v>#N/A Requesting Data...3765170649</v>
        <stp/>
        <stp>BDP|14648033745959404429</stp>
        <tr r="H21" s="9"/>
        <tr r="F23" s="10"/>
        <tr r="G21" s="15"/>
      </tp>
      <tp t="s">
        <v>#N/A Requesting Data...3618149745</v>
        <stp/>
        <stp>BDP|12862293883462388881</stp>
        <tr r="J37" s="29"/>
      </tp>
      <tp t="s">
        <v>#N/A Requesting Data...2555773258</v>
        <stp/>
        <stp>BDP|15582374799098117522</stp>
        <tr r="B11" s="12"/>
      </tp>
      <tp t="s">
        <v>#N/A Requesting Data...4118531927</v>
        <stp/>
        <stp>BDP|10500713763026992565</stp>
        <tr r="R51" s="14"/>
        <tr r="R45" s="13"/>
      </tp>
      <tp t="s">
        <v>#N/A Requesting Data...3588634310</v>
        <stp/>
        <stp>BDP|11697064805167475496</stp>
        <tr r="C4" s="27"/>
      </tp>
      <tp t="s">
        <v>#N/A Requesting Data...3974921960</v>
        <stp/>
        <stp>BDP|12421116251255940152</stp>
        <tr r="AD51" s="12"/>
      </tp>
      <tp t="s">
        <v>#N/A Requesting Data...3774748538</v>
        <stp/>
        <stp>BDP|13569941189007437740</stp>
        <tr r="AH50" s="12"/>
      </tp>
      <tp t="s">
        <v>#N/A Requesting Data...4164758768</v>
        <stp/>
        <stp>BDP|15867252365533599062</stp>
        <tr r="Q54" s="29"/>
      </tp>
      <tp t="s">
        <v>#N/A Requesting Data...3555835397</v>
        <stp/>
        <stp>BDP|18295673998586115374</stp>
        <tr r="X46" s="22"/>
      </tp>
      <tp t="s">
        <v>#N/A Requesting Data...3715060226</v>
        <stp/>
        <stp>BDP|15698632049956443332</stp>
        <tr r="E21" s="18"/>
        <tr r="H110" s="19"/>
        <tr r="H5" s="19"/>
        <tr r="I18" s="17"/>
        <tr r="P110" s="23"/>
        <tr r="P195" s="23"/>
        <tr r="H42" s="22"/>
        <tr r="E24" s="12"/>
      </tp>
      <tp t="s">
        <v>#N/A Requesting Data...3437069141</v>
        <stp/>
        <stp>BDP|13779431637507904102</stp>
        <tr r="I6" s="12"/>
        <tr r="L11" s="22"/>
      </tp>
      <tp t="s">
        <v>#N/A Requesting Data...2746144342</v>
        <stp/>
        <stp>BDP|16268019865774991654</stp>
        <tr r="K4" s="29"/>
      </tp>
      <tp t="s">
        <v>#N/A Requesting Data...4278768415</v>
        <stp/>
        <stp>BDP|15944175757643618027</stp>
        <tr r="AE31" s="12"/>
      </tp>
      <tp t="s">
        <v>#N/A Requesting Data...3562638294</v>
        <stp/>
        <stp>BDP|13607123399801488859</stp>
        <tr r="Y139" s="17"/>
      </tp>
      <tp t="s">
        <v>#N/A Requesting Data...2704845781</v>
        <stp/>
        <stp>BDP|14871432860350211451</stp>
        <tr r="C39" s="29"/>
      </tp>
      <tp t="s">
        <v>#N/A Requesting Data...3483846536</v>
        <stp/>
        <stp>BDP|12910587938154216272</stp>
        <tr r="AD50" s="12"/>
      </tp>
      <tp t="s">
        <v>#N/A Requesting Data...2944332696</v>
        <stp/>
        <stp>BDP|10781279574022886534</stp>
        <tr r="J15" s="29"/>
      </tp>
      <tp t="s">
        <v>#N/A Requesting Data...3151297876</v>
        <stp/>
        <stp>BDP|12814345630902785249</stp>
        <tr r="B38" s="17"/>
        <tr r="C40" s="22"/>
        <tr r="X39" s="12"/>
      </tp>
      <tp t="s">
        <v>#N/A Requesting Data...4195361394</v>
        <stp/>
        <stp>BDP|14804453946730450603</stp>
        <tr r="AI40" s="12"/>
      </tp>
      <tp t="s">
        <v>#N/A Requesting Data...2825240549</v>
        <stp/>
        <stp>BDP|17342787754584890389</stp>
        <tr r="T26" s="12"/>
      </tp>
      <tp t="s">
        <v>#N/A Requesting Data...3988983700</v>
        <stp/>
        <stp>BDP|16822021774911743270</stp>
        <tr r="X28" s="22"/>
      </tp>
      <tp t="s">
        <v>#N/A Requesting Data...3156052768</v>
        <stp/>
        <stp>BDP|18195928462134832170</stp>
        <tr r="C94" s="29"/>
      </tp>
      <tp t="s">
        <v>#N/A Requesting Data...3544219058</v>
        <stp/>
        <stp>BDP|13271304054275724204</stp>
        <tr r="Q79" s="29"/>
      </tp>
      <tp t="s">
        <v>#N/A Requesting Data...3394273367</v>
        <stp/>
        <stp>BDP|13381061104618447952</stp>
        <tr r="AC37" s="9"/>
        <tr r="W47" s="14"/>
        <tr r="W11" s="13"/>
        <tr r="Z12" s="15"/>
      </tp>
      <tp t="s">
        <v>#N/A Requesting Data...3528535531</v>
        <stp/>
        <stp>BDP|17190825716069113544</stp>
        <tr r="K17" s="29"/>
      </tp>
      <tp t="s">
        <v>#N/A Requesting Data...3542778235</v>
        <stp/>
        <stp>BDP|14743406127282456245</stp>
        <tr r="O19" s="22"/>
      </tp>
      <tp t="s">
        <v>#N/A Requesting Data...3639067037</v>
        <stp/>
        <stp>BDP|16789799018693261146</stp>
        <tr r="Z41" s="9"/>
      </tp>
      <tp t="s">
        <v>#N/A Requesting Data...2635157456</v>
        <stp/>
        <stp>BDP|15467897484920844727</stp>
        <tr r="AA27" s="19"/>
        <tr r="AI11" s="17"/>
        <tr r="X17" s="30"/>
      </tp>
      <tp t="s">
        <v>#N/A Requesting Data...4084310494</v>
        <stp/>
        <stp>BDP|16282355258623837142</stp>
        <tr r="K46" s="29"/>
      </tp>
      <tp t="s">
        <v>#N/A Requesting Data...3871713939</v>
        <stp/>
        <stp>BDP|15762838282137506000</stp>
        <tr r="C23" s="29"/>
      </tp>
      <tp t="s">
        <v>#N/A Requesting Data...4011627428</v>
        <stp/>
        <stp>BDP|14303871974768236113</stp>
        <tr r="Y12" s="9"/>
        <tr r="R8" s="14"/>
        <tr r="R19" s="13"/>
        <tr r="U20" s="15"/>
      </tp>
      <tp t="s">
        <v>#N/A Requesting Data...4077555450</v>
        <stp/>
        <stp>BDP|15131987384454967270</stp>
        <tr r="AH16" s="12"/>
      </tp>
      <tp t="s">
        <v>#N/A Requesting Data...3727441627</v>
        <stp/>
        <stp>BDP|11820833989287243432</stp>
        <tr r="AI54" s="12"/>
      </tp>
      <tp t="s">
        <v>#N/A Requesting Data...3389585033</v>
        <stp/>
        <stp>BDP|18251702157390786807</stp>
        <tr r="AA49" s="12"/>
      </tp>
      <tp t="s">
        <v>#N/A Requesting Data...3556877498</v>
        <stp/>
        <stp>BDP|10956369328472292172</stp>
        <tr r="AH13" s="12"/>
      </tp>
      <tp t="s">
        <v>#N/A Requesting Data...3956889854</v>
        <stp/>
        <stp>BDP|16459002995669408477</stp>
        <tr r="Y20" s="9"/>
        <tr r="R14" s="14"/>
        <tr r="R20" s="13"/>
        <tr r="U15" s="15"/>
      </tp>
      <tp t="s">
        <v>#N/A Requesting Data...4199494650</v>
        <stp/>
        <stp>BDP|13368283138753776314</stp>
        <tr r="L101" s="29"/>
      </tp>
      <tp t="s">
        <v>#N/A Requesting Data...2985730755</v>
        <stp/>
        <stp>BDP|17246665339189866903</stp>
        <tr r="K80" s="29"/>
      </tp>
      <tp t="s">
        <v>#N/A Requesting Data...3986028897</v>
        <stp/>
        <stp>BDP|15847269141099909838</stp>
        <tr r="K65" s="29"/>
      </tp>
      <tp t="s">
        <v>#N/A Requesting Data...2910485283</v>
        <stp/>
        <stp>BDP|10514376150863024764</stp>
        <tr r="J14" s="12"/>
      </tp>
      <tp t="s">
        <v>#N/A Requesting Data...3654076915</v>
        <stp/>
        <stp>BDP|11830784844658428840</stp>
        <tr r="AE32" s="12"/>
      </tp>
      <tp t="s">
        <v>#N/A Requesting Data...3427404001</v>
        <stp/>
        <stp>BDP|16059328506424512358</stp>
        <tr r="H55" s="9"/>
        <tr r="F55" s="10"/>
        <tr r="G48" s="15"/>
      </tp>
      <tp t="s">
        <v>#N/A Requesting Data...3759334080</v>
        <stp/>
        <stp>BDP|17410405755630764421</stp>
        <tr r="B6" s="17"/>
        <tr r="C10" s="22"/>
      </tp>
      <tp t="s">
        <v>#N/A Requesting Data...3960184922</v>
        <stp/>
        <stp>BDP|11066856241919128621</stp>
        <tr r="J52" s="29"/>
      </tp>
      <tp t="s">
        <v>#N/A Requesting Data...3835865259</v>
        <stp/>
        <stp>BDP|12055314845627108025</stp>
        <tr r="Y10" s="9"/>
        <tr r="R7" s="14"/>
        <tr r="R9" s="13"/>
        <tr r="U32" s="15"/>
      </tp>
      <tp t="s">
        <v>#N/A Requesting Data...3106779259</v>
        <stp/>
        <stp>BDP|10418168938807479791</stp>
        <tr r="L92" s="29"/>
      </tp>
      <tp t="s">
        <v>#N/A Requesting Data...3447022276</v>
        <stp/>
        <stp>BDP|14434408240105186327</stp>
        <tr r="H7" s="27"/>
      </tp>
      <tp t="s">
        <v>#N/A Requesting Data...4192191080</v>
        <stp/>
        <stp>BDP|15426726695801729826</stp>
        <tr r="J76" s="29"/>
      </tp>
      <tp t="s">
        <v>#N/A Requesting Data...3018506960</v>
        <stp/>
        <stp>BDP|11438746290219792411</stp>
        <tr r="C96" s="29"/>
      </tp>
      <tp t="s">
        <v>#N/A Requesting Data...3297732809</v>
        <stp/>
        <stp>BDP|18061251361349404764</stp>
        <tr r="L49" s="29"/>
      </tp>
      <tp t="s">
        <v>#N/A Requesting Data...3181166004</v>
        <stp/>
        <stp>BDP|13929008733982450083</stp>
        <tr r="K95" s="29"/>
      </tp>
      <tp t="s">
        <v>#N/A Requesting Data...3513438279</v>
        <stp/>
        <stp>BDP|12282885894127530724</stp>
        <tr r="AG50" s="12"/>
      </tp>
      <tp t="s">
        <v>#N/A Requesting Data...2839887060</v>
        <stp/>
        <stp>BDP|10405563157251494293</stp>
        <tr r="C98" s="29"/>
      </tp>
      <tp t="s">
        <v>#N/A Requesting Data...3901496760</v>
        <stp/>
        <stp>BDP|11053796659765855509</stp>
        <tr r="AC6" s="9"/>
        <tr r="W6" s="14"/>
        <tr r="W35" s="13"/>
        <tr r="Z26" s="15"/>
      </tp>
      <tp t="s">
        <v>#N/A Requesting Data...2599697249</v>
        <stp/>
        <stp>BDP|10485144422535376592</stp>
        <tr r="J39" s="29"/>
      </tp>
      <tp t="s">
        <v>#N/A Requesting Data...3943005052</v>
        <stp/>
        <stp>BDP|18043786886401051561</stp>
        <tr r="H23" s="9"/>
        <tr r="F30" s="10"/>
        <tr r="G27" s="15"/>
      </tp>
      <tp t="s">
        <v>#N/A Requesting Data...3629207858</v>
        <stp/>
        <stp>BDP|14711480901043583038</stp>
        <tr r="G9" s="18"/>
        <tr r="J35" s="19"/>
        <tr r="J95" s="19"/>
        <tr r="K7" s="17"/>
        <tr r="J20" s="30"/>
      </tp>
      <tp t="s">
        <v>#N/A Requesting Data...3510576865</v>
        <stp/>
        <stp>BDP|12826495615017699397</stp>
        <tr r="G62" s="9"/>
        <tr r="G219" s="23"/>
        <tr r="G64" s="23"/>
        <tr r="T41" s="22"/>
        <tr r="E59" s="10"/>
        <tr r="F52" s="15"/>
      </tp>
      <tp t="s">
        <v>#N/A Requesting Data...3141781243</v>
        <stp/>
        <stp>BDP|16801859468762952972</stp>
        <tr r="AM37" s="17"/>
      </tp>
      <tp t="s">
        <v>#N/A Requesting Data...2702698385</v>
        <stp/>
        <stp>BDP|15467369568630704367</stp>
        <tr r="AB16" s="19"/>
        <tr r="AJ20" s="17"/>
        <tr r="Y30" s="30"/>
      </tp>
      <tp t="s">
        <v>#N/A Requesting Data...3706816875</v>
        <stp/>
        <stp>BDP|17451881236138099710</stp>
        <tr r="H11" s="27"/>
      </tp>
      <tp t="s">
        <v>#N/A Requesting Data...2718476248</v>
        <stp/>
        <stp>BDP|14931329524636711023</stp>
        <tr r="Q65" s="19"/>
        <tr r="Q59" s="19"/>
        <tr r="Q60" s="19"/>
        <tr r="Q61" s="19"/>
        <tr r="Q62" s="19"/>
        <tr r="Q63" s="19"/>
        <tr r="Q64" s="19"/>
        <tr r="Q66" s="19"/>
        <tr r="Q67" s="19"/>
        <tr r="Q68" s="19"/>
        <tr r="Q69" s="19"/>
      </tp>
      <tp t="s">
        <v>#N/A Requesting Data...3943866612</v>
        <stp/>
        <stp>BDP|14652444307451801272</stp>
        <tr r="K31" s="29"/>
      </tp>
      <tp t="s">
        <v>#N/A Requesting Data...2795154968</v>
        <stp/>
        <stp>BDP|10104922248929277745</stp>
        <tr r="F33" s="18"/>
        <tr r="I107" s="19"/>
        <tr r="I40" s="19"/>
        <tr r="J30" s="17"/>
        <tr r="I41" s="30"/>
      </tp>
      <tp t="s">
        <v>#N/A Requesting Data...2699354329</v>
        <stp/>
        <stp>BDP|11450498520117904392</stp>
        <tr r="B8" s="12"/>
      </tp>
      <tp t="s">
        <v>#N/A Requesting Data...4237037000</v>
        <stp/>
        <stp>BDP|16316252832503129784</stp>
        <tr r="Z22" s="9"/>
        <tr r="S35" s="14"/>
        <tr r="S43" s="13"/>
        <tr r="V37" s="15"/>
      </tp>
      <tp t="s">
        <v>#N/A Requesting Data...2738536062</v>
        <stp/>
        <stp>BDP|16215326708220520607</stp>
        <tr r="AB8" s="19"/>
        <tr r="Y6" s="30"/>
      </tp>
      <tp t="s">
        <v>#N/A Requesting Data...2665782616</v>
        <stp/>
        <stp>BDP|12228162509277554752</stp>
        <tr r="AG38" s="12"/>
      </tp>
      <tp t="s">
        <v>#N/A Requesting Data...2631964802</v>
        <stp/>
        <stp>BDP|11670590086917460813</stp>
        <tr r="G39" s="10"/>
      </tp>
      <tp t="s">
        <v>#N/A Requesting Data...2839316599</v>
        <stp/>
        <stp>BDP|17737552922153854048</stp>
        <tr r="L20" s="22"/>
        <tr r="I20" s="12"/>
      </tp>
      <tp t="s">
        <v>#N/A Requesting Data...4246059181</v>
        <stp/>
        <stp>BDP|17703697928131258185</stp>
        <tr r="Y45" s="9"/>
      </tp>
      <tp t="s">
        <v>#N/A Requesting Data...3045294690</v>
        <stp/>
        <stp>BDP|10384657119051538568</stp>
        <tr r="J40" s="29"/>
      </tp>
      <tp t="s">
        <v>#N/A Requesting Data...3767560088</v>
        <stp/>
        <stp>BDP|17451085156807705626</stp>
        <tr r="C68" s="29"/>
      </tp>
      <tp t="s">
        <v>#N/A Requesting Data...3438691792</v>
        <stp/>
        <stp>BDP|16859555356012458702</stp>
        <tr r="E39" s="18"/>
        <tr r="H120" s="19"/>
        <tr r="H36" s="19"/>
        <tr r="I36" s="17"/>
        <tr r="G110" s="23"/>
        <tr r="G187" s="23"/>
        <tr r="H35" s="22"/>
        <tr r="E35" s="12"/>
      </tp>
      <tp t="s">
        <v>#N/A Requesting Data...4083220177</v>
        <stp/>
        <stp>BDP|13623551544760070192</stp>
        <tr r="AE27" s="12"/>
      </tp>
      <tp t="s">
        <v>#N/A Requesting Data...4272620079</v>
        <stp/>
        <stp>BDP|11088386122835160657</stp>
        <tr r="W43" s="14"/>
        <tr r="W18" s="13"/>
      </tp>
      <tp t="s">
        <v>#N/A Requesting Data...3344372288</v>
        <stp/>
        <stp>BDP|10266442114512088434</stp>
        <tr r="AN8" s="17"/>
      </tp>
      <tp t="s">
        <v>#N/A Requesting Data...4179118243</v>
        <stp/>
        <stp>BDP|17431327827795529056</stp>
        <tr r="E33" s="18"/>
        <tr r="H107" s="19"/>
        <tr r="H40" s="19"/>
        <tr r="I30" s="17"/>
        <tr r="P162" s="23"/>
        <tr r="P82" s="23"/>
        <tr r="H23" s="22"/>
        <tr r="E26" s="12"/>
      </tp>
      <tp t="s">
        <v>#N/A Requesting Data...4290513070</v>
        <stp/>
        <stp>BDP|10408162907784441606</stp>
        <tr r="AB34" s="19"/>
        <tr r="AJ39" s="17"/>
        <tr r="Y11" s="30"/>
      </tp>
      <tp t="s">
        <v>#N/A Requesting Data...2837706237</v>
        <stp/>
        <stp>BDP|10025547953920788313</stp>
        <tr r="AB25" s="19"/>
        <tr r="AJ17" s="17"/>
        <tr r="Y31" s="30"/>
      </tp>
      <tp t="s">
        <v>#N/A Requesting Data...3864268233</v>
        <stp/>
        <stp>BDP|16625506425023221102</stp>
        <tr r="J42" s="29"/>
      </tp>
      <tp t="s">
        <v>#N/A Requesting Data...3620090148</v>
        <stp/>
        <stp>BDP|14689755773482373531</stp>
        <tr r="B35" s="12"/>
      </tp>
      <tp t="s">
        <v>#N/A Requesting Data...3920866059</v>
        <stp/>
        <stp>BDP|15402136111212232449</stp>
        <tr r="H59" s="9"/>
        <tr r="F61" s="10"/>
        <tr r="G55" s="15"/>
      </tp>
      <tp t="s">
        <v>#N/A Requesting Data...3486321487</v>
        <stp/>
        <stp>BDP|10695789478363018061</stp>
        <tr r="AM28" s="17"/>
      </tp>
      <tp t="s">
        <v>#N/A Requesting Data...3312979203</v>
        <stp/>
        <stp>BDP|15744960734425273976</stp>
        <tr r="AJ1" s="9"/>
        <tr r="G70" s="9"/>
        <tr r="H48" s="19"/>
        <tr r="AM1" s="17"/>
        <tr r="I49" s="17"/>
        <tr r="AI1" s="13"/>
        <tr r="AO1" s="15"/>
        <tr r="H23" s="27"/>
        <tr r="H47" s="30"/>
      </tp>
      <tp t="s">
        <v>#N/A Requesting Data...3618493101</v>
        <stp/>
        <stp>BDP|16603620121852596306</stp>
        <tr r="J9" s="27"/>
      </tp>
      <tp t="s">
        <v>#N/A Requesting Data...4039803207</v>
        <stp/>
        <stp>BDP|15783442138179967810</stp>
        <tr r="AB15" s="19"/>
        <tr r="AJ8" s="17"/>
        <tr r="Y29" s="30"/>
      </tp>
      <tp t="s">
        <v>#N/A Requesting Data...3872819263</v>
        <stp/>
        <stp>BDP|14529731250103120641</stp>
        <tr r="W25" s="13"/>
        <tr r="W20" s="14"/>
      </tp>
      <tp t="s">
        <v>#N/A Requesting Data...4195247493</v>
        <stp/>
        <stp>BDP|11627062764472544621</stp>
        <tr r="L93" s="29"/>
      </tp>
      <tp t="s">
        <v>#N/A Requesting Data...2736527221</v>
        <stp/>
        <stp>BDP|11412700694169286505</stp>
        <tr r="F42" s="18"/>
        <tr r="I126" s="19"/>
        <tr r="I19" s="19"/>
        <tr r="J38" s="17"/>
        <tr r="I27" s="30"/>
      </tp>
      <tp t="s">
        <v>#N/A Requesting Data...3699899904</v>
        <stp/>
        <stp>BDP|17074206563904460426</stp>
        <tr r="C10" s="29"/>
      </tp>
      <tp t="s">
        <v>#N/A Requesting Data...4108056013</v>
        <stp/>
        <stp>BDP|12551270485293403868</stp>
        <tr r="B31" s="12"/>
      </tp>
      <tp t="s">
        <v>#N/A Requesting Data...3463301347</v>
        <stp/>
        <stp>BDP|12404345724930733062</stp>
        <tr r="AD38" s="9"/>
      </tp>
      <tp t="s">
        <v>#N/A Requesting Data...3440857166</v>
        <stp/>
        <stp>BDP|10411627510874573072</stp>
        <tr r="Q67" s="29"/>
      </tp>
      <tp t="s">
        <v>#N/A Requesting Data...4207037625</v>
        <stp/>
        <stp>BDP|15796776471501090758</stp>
        <tr r="I56" s="12"/>
      </tp>
      <tp t="s">
        <v>#N/A Requesting Data...4203814425</v>
        <stp/>
        <stp>BDP|18408319174188348763</stp>
        <tr r="AH52" s="12"/>
      </tp>
      <tp t="s">
        <v>#N/A Requesting Data...3864693827</v>
        <stp/>
        <stp>BDP|11383746222397962087</stp>
        <tr r="C7" s="29"/>
      </tp>
      <tp t="s">
        <v>#N/A Requesting Data...3806768307</v>
        <stp/>
        <stp>BDP|12117221541961226648</stp>
        <tr r="P83" s="9"/>
      </tp>
      <tp t="s">
        <v>#N/A Requesting Data...2877811833</v>
        <stp/>
        <stp>BDP|14200487658636402020</stp>
        <tr r="J33" s="12"/>
      </tp>
      <tp t="s">
        <v>#N/A Requesting Data...3962717906</v>
        <stp/>
        <stp>BDP|12770573310991208468</stp>
        <tr r="Z6" s="9"/>
        <tr r="S6" s="14"/>
        <tr r="S35" s="13"/>
        <tr r="V26" s="15"/>
      </tp>
      <tp t="s">
        <v>#N/A Requesting Data...3487882419</v>
        <stp/>
        <stp>BDP|13022204729011866169</stp>
        <tr r="C90" s="29"/>
      </tp>
      <tp t="s">
        <v>#N/A Requesting Data...3354666773</v>
        <stp/>
        <stp>BDP|14637139136305282069</stp>
        <tr r="J30" s="12"/>
      </tp>
      <tp t="s">
        <v>#N/A Requesting Data...3615314822</v>
        <stp/>
        <stp>BDP|17705360693496384863</stp>
        <tr r="AH28" s="12"/>
      </tp>
      <tp t="s">
        <v>#N/A Requesting Data...3044257174</v>
        <stp/>
        <stp>BDP|12941060828095343632</stp>
        <tr r="AE39" s="12"/>
      </tp>
      <tp t="s">
        <v>#N/A Requesting Data...3151336710</v>
        <stp/>
        <stp>BDP|17307319879306952646</stp>
        <tr r="Q69" s="29"/>
      </tp>
      <tp t="s">
        <v>#N/A Requesting Data...3996216233</v>
        <stp/>
        <stp>BDP|13791746676966500668</stp>
        <tr r="K87" s="29"/>
      </tp>
      <tp t="s">
        <v>#N/A Requesting Data...3813969265</v>
        <stp/>
        <stp>BDP|13261785975785829510</stp>
        <tr r="G6" s="9"/>
        <tr r="G153" s="23"/>
        <tr r="G8" s="23"/>
        <tr r="T9" s="22"/>
        <tr r="E8" s="10"/>
        <tr r="F26" s="15"/>
      </tp>
      <tp t="s">
        <v>#N/A Requesting Data...3719514118</v>
        <stp/>
        <stp>BDP|15402923092837830256</stp>
        <tr r="AD30" s="12"/>
      </tp>
      <tp t="s">
        <v>#N/A Requesting Data...3718237422</v>
        <stp/>
        <stp>BDP|17975127952632816186</stp>
        <tr r="AG25" s="12"/>
      </tp>
      <tp t="s">
        <v>#N/A Requesting Data...3161643413</v>
        <stp/>
        <stp>BDP|12321025014321845241</stp>
        <tr r="AG28" s="12"/>
      </tp>
      <tp t="s">
        <v>#N/A Requesting Data...3950174946</v>
        <stp/>
        <stp>BDP|12508346671361035790</stp>
        <tr r="AD7" s="9"/>
        <tr r="X13" s="14"/>
        <tr r="X46" s="13"/>
        <tr r="AA6" s="15"/>
      </tp>
      <tp t="s">
        <v>#N/A Requesting Data...4156961950</v>
        <stp/>
        <stp>BDP|13759260709366703763</stp>
        <tr r="E13" s="18"/>
        <tr r="H27" s="19"/>
        <tr r="H96" s="19"/>
        <tr r="I11" s="17"/>
        <tr r="P122" s="23"/>
        <tr r="P204" s="23"/>
        <tr r="H14" s="22"/>
        <tr r="E10" s="12"/>
      </tp>
      <tp t="s">
        <v>#N/A Requesting Data...3881990278</v>
        <stp/>
        <stp>BDP|12430173054365812372</stp>
        <tr r="Y130" s="17"/>
      </tp>
      <tp t="s">
        <v>#N/A Requesting Data...3782537701</v>
        <stp/>
        <stp>BDP|11276792904222187457</stp>
        <tr r="I20" s="9"/>
        <tr r="G15" s="10"/>
        <tr r="H15" s="15"/>
      </tp>
      <tp t="s">
        <v>#N/A Requesting Data...3999788543</v>
        <stp/>
        <stp>BDP|11819646448930923363</stp>
        <tr r="AG13" s="12"/>
      </tp>
      <tp t="s">
        <v>#N/A Requesting Data...4047458462</v>
        <stp/>
        <stp>BDP|16053505422882186382</stp>
        <tr r="L27" s="29"/>
      </tp>
      <tp t="s">
        <v>#N/A Requesting Data...3486971770</v>
        <stp/>
        <stp>BDP|12914294573804955300</stp>
        <tr r="J37" s="12"/>
      </tp>
      <tp t="s">
        <v>#N/A Requesting Data...4273587427</v>
        <stp/>
        <stp>BDP|17054920788972624414</stp>
        <tr r="AI38" s="12"/>
      </tp>
      <tp t="s">
        <v>#N/A Requesting Data...3811876107</v>
        <stp/>
        <stp>BDP|16920610857057198232</stp>
        <tr r="L50" s="29"/>
      </tp>
      <tp t="s">
        <v>#N/A Requesting Data...4183143308</v>
        <stp/>
        <stp>BDP|12921739207205747075</stp>
        <tr r="O29" s="22"/>
      </tp>
      <tp t="s">
        <v>#N/A Requesting Data...4144126095</v>
        <stp/>
        <stp>BDP|11612198084158416026</stp>
        <tr r="L10" s="22"/>
        <tr r="I7" s="12"/>
      </tp>
      <tp t="s">
        <v>#N/A Requesting Data...3737377273</v>
        <stp/>
        <stp>BDP|11358748478041480066</stp>
        <tr r="C42" s="29"/>
      </tp>
      <tp t="s">
        <v>#N/A Requesting Data...3830893639</v>
        <stp/>
        <stp>BDP|10453692786169116777</stp>
        <tr r="I4" s="9"/>
        <tr r="G7" s="10"/>
        <tr r="H9" s="15"/>
      </tp>
      <tp t="s">
        <v>#N/A Requesting Data...4137420073</v>
        <stp/>
        <stp>BDP|15116212251887973547</stp>
        <tr r="I43" s="9"/>
        <tr r="H40" s="15"/>
      </tp>
      <tp t="s">
        <v>#N/A Requesting Data...4018899921</v>
        <stp/>
        <stp>BDP|12772950588417424428</stp>
        <tr r="J88" s="29"/>
      </tp>
      <tp t="s">
        <v>#N/A Requesting Data...3921050915</v>
        <stp/>
        <stp>BDP|11974431904332720758</stp>
        <tr r="F15" s="18"/>
        <tr r="I29" s="19"/>
        <tr r="I98" s="19"/>
        <tr r="J12" s="17"/>
        <tr r="I37" s="30"/>
      </tp>
      <tp t="s">
        <v>#N/A Requesting Data...4280178989</v>
        <stp/>
        <stp>BDP|18326746131804377898</stp>
        <tr r="C24" s="29"/>
      </tp>
      <tp t="s">
        <v>#N/A Requesting Data...3457320634</v>
        <stp/>
        <stp>BDP|13367554588696656841</stp>
        <tr r="B6" s="12"/>
      </tp>
      <tp t="s">
        <v>#N/A Requesting Data...4049300688</v>
        <stp/>
        <stp>BDP|17833400580413035874</stp>
        <tr r="X21" s="14"/>
        <tr r="X23" s="13"/>
      </tp>
      <tp t="s">
        <v>#N/A Requesting Data...4203471429</v>
        <stp/>
        <stp>BDP|17872307727667248124</stp>
        <tr r="J36" s="29"/>
      </tp>
      <tp t="s">
        <v>#N/A Requesting Data...3801636893</v>
        <stp/>
        <stp>BDP|15522141059380094162</stp>
        <tr r="L60" s="29"/>
      </tp>
      <tp t="s">
        <v>#N/A Requesting Data...3966076682</v>
        <stp/>
        <stp>BDP|15806354768932345283</stp>
        <tr r="E9" s="18"/>
        <tr r="H35" s="19"/>
        <tr r="H95" s="19"/>
        <tr r="I7" s="17"/>
        <tr r="P130" s="23"/>
        <tr r="P212" s="23"/>
        <tr r="G107" s="22"/>
        <tr r="G108" s="22"/>
        <tr r="H145" s="22"/>
        <tr r="H82" s="22"/>
        <tr r="H9" s="22"/>
        <tr r="E8" s="12"/>
        <tr r="E11" s="26"/>
        <tr r="E58" s="26"/>
        <tr r="E49" s="28"/>
      </tp>
      <tp t="s">
        <v>#N/A Requesting Data...3316138440</v>
        <stp/>
        <stp>BDP|11464400914767642388</stp>
        <tr r="K39" s="29"/>
      </tp>
      <tp t="s">
        <v>#N/A Requesting Data...2933955460</v>
        <stp/>
        <stp>BDP|12038996807939613260</stp>
        <tr r="X138" s="17"/>
      </tp>
      <tp t="s">
        <v>#N/A Requesting Data...3511473079</v>
        <stp/>
        <stp>BDP|12704104564163507686</stp>
        <tr r="I11" s="9"/>
        <tr r="G11" s="10"/>
        <tr r="H16" s="15"/>
      </tp>
      <tp t="s">
        <v>#N/A Requesting Data...3905105204</v>
        <stp/>
        <stp>BDP|11721323013763930013</stp>
        <tr r="AD5" s="9"/>
        <tr r="X4" s="14"/>
        <tr r="X26" s="13"/>
        <tr r="AA33" s="15"/>
      </tp>
      <tp t="s">
        <v>#N/A Requesting Data...3138511602</v>
        <stp/>
        <stp>BDP|17424937797114612380</stp>
        <tr r="Q46" s="29"/>
      </tp>
      <tp t="s">
        <v>#N/A Requesting Data...3346223417</v>
        <stp/>
        <stp>BDP|14278597428750173339</stp>
        <tr r="F18" s="18"/>
        <tr r="I102" s="19"/>
        <tr r="I12" s="19"/>
        <tr r="J15" s="17"/>
        <tr r="I14" s="30"/>
      </tp>
      <tp t="s">
        <v>#N/A Requesting Data...3081031905</v>
        <stp/>
        <stp>BDP|11782823020798522316</stp>
        <tr r="C41" s="29"/>
      </tp>
      <tp t="s">
        <v>#N/A Requesting Data...2951867222</v>
        <stp/>
        <stp>BDP|10462416714674282121</stp>
        <tr r="AA37" s="12"/>
      </tp>
      <tp t="s">
        <v>#N/A Requesting Data...3716742003</v>
        <stp/>
        <stp>BDP|12321706135105480332</stp>
        <tr r="Y141" s="17"/>
      </tp>
      <tp t="s">
        <v>#N/A Requesting Data...3793570374</v>
        <stp/>
        <stp>BDP|11283377220178560816</stp>
        <tr r="I41" s="12"/>
      </tp>
      <tp t="s">
        <v>#N/A Requesting Data...4229804501</v>
        <stp/>
        <stp>BDP|13219359976185816296</stp>
        <tr r="G57" s="9"/>
        <tr r="P153" s="23"/>
        <tr r="P8" s="23"/>
        <tr r="T15" s="22"/>
        <tr r="E58" s="10"/>
        <tr r="F54" s="15"/>
        <tr r="E41" s="26"/>
      </tp>
      <tp t="s">
        <v>#N/A Requesting Data...3561253010</v>
        <stp/>
        <stp>BDP|18072300585214613737</stp>
        <tr r="G4" s="9"/>
        <tr r="P185" s="23"/>
        <tr r="P37" s="23"/>
        <tr r="T6" s="22"/>
        <tr r="E7" s="10"/>
        <tr r="F9" s="15"/>
      </tp>
      <tp t="s">
        <v>#N/A Requesting Data...2944931134</v>
        <stp/>
        <stp>BDP|14488478063181137716</stp>
        <tr r="Y35" s="12"/>
      </tp>
      <tp t="s">
        <v>#N/A Requesting Data...4035264465</v>
        <stp/>
        <stp>BDP|17465073106262557538</stp>
        <tr r="J13" s="29"/>
      </tp>
      <tp t="s">
        <v>#N/A Requesting Data...4141502880</v>
        <stp/>
        <stp>BDP|13308161340703649508</stp>
        <tr r="Y5" s="12"/>
      </tp>
      <tp t="s">
        <v>#N/A Requesting Data...3763915866</v>
        <stp/>
        <stp>BDP|17447631804427241627</stp>
        <tr r="T20" s="12"/>
      </tp>
      <tp t="s">
        <v>#N/A Requesting Data...4112667670</v>
        <stp/>
        <stp>BDP|11129953747118731472</stp>
        <tr r="C16" s="29"/>
      </tp>
      <tp t="s">
        <v>#N/A Requesting Data...3632696859</v>
        <stp/>
        <stp>BDP|11551911614058565163</stp>
        <tr r="I12" s="9"/>
        <tr r="G10" s="10"/>
        <tr r="H20" s="15"/>
      </tp>
      <tp t="s">
        <v>#N/A Requesting Data...3713492328</v>
        <stp/>
        <stp>BDP|17471030328145831040</stp>
        <tr r="AD35" s="9"/>
        <tr r="AA30" s="15"/>
      </tp>
      <tp t="s">
        <v>#N/A Requesting Data...3012751287</v>
        <stp/>
        <stp>BDP|13749526817061381635</stp>
        <tr r="AA7" s="19"/>
        <tr r="AI29" s="17"/>
        <tr r="X15" s="30"/>
      </tp>
      <tp t="s">
        <v>#N/A Requesting Data...3642388143</v>
        <stp/>
        <stp>BDP|12793141252093606520</stp>
        <tr r="C6" s="27"/>
      </tp>
      <tp t="s">
        <v>#N/A Requesting Data...3825607437</v>
        <stp/>
        <stp>BDP|14717184388224022925</stp>
        <tr r="H39" s="9"/>
        <tr r="G39" s="15"/>
      </tp>
      <tp t="s">
        <v>#N/A Requesting Data...2994060655</v>
        <stp/>
        <stp>BDP|17024393163102943076</stp>
        <tr r="C25" s="29"/>
      </tp>
      <tp t="s">
        <v>#N/A Requesting Data...4176855426</v>
        <stp/>
        <stp>BDP|12697674116951628457</stp>
        <tr r="C89" s="29"/>
      </tp>
      <tp t="s">
        <v>#N/A Requesting Data...3951253441</v>
        <stp/>
        <stp>BDP|10817087517600583169</stp>
        <tr r="F23" s="18"/>
        <tr r="I105" s="19"/>
        <tr r="I16" s="19"/>
        <tr r="J20" s="17"/>
        <tr r="I30" s="30"/>
      </tp>
      <tp t="s">
        <v>#N/A Requesting Data...3331966531</v>
        <stp/>
        <stp>BDP|13053691258498073857</stp>
        <tr r="Q62" s="29"/>
      </tp>
      <tp t="s">
        <v>#N/A Requesting Data...3043892576</v>
        <stp/>
        <stp>BDP|11856189682891544936</stp>
        <tr r="B28" s="17"/>
      </tp>
      <tp t="s">
        <v>#N/A Requesting Data...3987801599</v>
        <stp/>
        <stp>BDP|17947472574461554588</stp>
        <tr r="Y27" s="9"/>
        <tr r="R42" s="14"/>
        <tr r="R47" s="13"/>
        <tr r="U31" s="15"/>
      </tp>
      <tp t="s">
        <v>#N/A Requesting Data...3976714829</v>
        <stp/>
        <stp>BDP|12800588071200108077</stp>
        <tr r="F13" s="18"/>
        <tr r="I27" s="19"/>
        <tr r="I96" s="19"/>
        <tr r="J11" s="17"/>
        <tr r="I17" s="30"/>
      </tp>
      <tp t="s">
        <v>#N/A Requesting Data...3839375901</v>
        <stp/>
        <stp>BDP|18142984174482258492</stp>
        <tr r="J103" s="29"/>
      </tp>
      <tp t="s">
        <v>#N/A Requesting Data...3236956986</v>
        <stp/>
        <stp>BDP|16007502638415867562</stp>
        <tr r="J24" s="29"/>
      </tp>
      <tp t="s">
        <v>#N/A Requesting Data...3613616456</v>
        <stp/>
        <stp>BDP|10961243276213836650</stp>
        <tr r="I55" s="9"/>
        <tr r="G55" s="10"/>
        <tr r="H48" s="15"/>
      </tp>
      <tp t="s">
        <v>#N/A Requesting Data...3723218693</v>
        <stp/>
        <stp>BDP|12854817636858682000</stp>
        <tr r="J83" s="29"/>
      </tp>
      <tp t="s">
        <v>#N/A Requesting Data...4149744443</v>
        <stp/>
        <stp>BDP|10045398677185035079</stp>
        <tr r="J71" s="29"/>
      </tp>
      <tp t="s">
        <v>#N/A Requesting Data...4087830477</v>
        <stp/>
        <stp>BDP|10836577226506461042</stp>
        <tr r="T49" s="12"/>
      </tp>
      <tp t="s">
        <v>#N/A Requesting Data...3955094697</v>
        <stp/>
        <stp>BDP|13332949049098512738</stp>
        <tr r="H10" s="9"/>
        <tr r="F9" s="10"/>
        <tr r="G32" s="15"/>
      </tp>
      <tp t="s">
        <v>#N/A Requesting Data...3678764734</v>
        <stp/>
        <stp>BDP|17204814958663150825</stp>
        <tr r="AH30" s="12"/>
      </tp>
      <tp t="s">
        <v>#N/A Requesting Data...4243607078</v>
        <stp/>
        <stp>BDP|14314481439566234481</stp>
        <tr r="AA36" s="12"/>
      </tp>
      <tp t="s">
        <v>#N/A Requesting Data...3507845297</v>
        <stp/>
        <stp>BDP|14310405218863903393</stp>
        <tr r="B17" s="29"/>
      </tp>
      <tp t="s">
        <v>#N/A N/A</v>
        <stp/>
        <stp>BDP|17258629675143887464</stp>
        <tr r="AC17" s="9"/>
      </tp>
      <tp t="s">
        <v>#N/A Requesting Data...3784272880</v>
        <stp/>
        <stp>BDP|13933717112321589548</stp>
        <tr r="AA22" s="19"/>
        <tr r="AI14" s="17"/>
        <tr r="X18" s="30"/>
      </tp>
      <tp t="s">
        <v>#N/A Requesting Data...4022086610</v>
        <stp/>
        <stp>BDP|17505998987074497347</stp>
        <tr r="Q72" s="29"/>
      </tp>
      <tp t="s">
        <v>#N/A Requesting Data...3808584993</v>
        <stp/>
        <stp>BDP|17645804599900545718</stp>
        <tr r="T14" s="12"/>
      </tp>
      <tp t="s">
        <v>#N/A Requesting Data...3886192927</v>
        <stp/>
        <stp>BDP|17561394226522927581</stp>
        <tr r="K93" s="29"/>
      </tp>
      <tp t="s">
        <v>#N/A Requesting Data...3959288025</v>
        <stp/>
        <stp>BDP|16288631652967039393</stp>
        <tr r="I34" s="9"/>
        <tr r="G44" s="10"/>
        <tr r="H19" s="15"/>
      </tp>
      <tp t="s">
        <v>#N/A Requesting Data...4290756343</v>
        <stp/>
        <stp>BDP|14276980181436407255</stp>
        <tr r="J72" s="29"/>
      </tp>
      <tp t="s">
        <v>#N/A Requesting Data...3490525385</v>
        <stp/>
        <stp>BDP|10226991597656308729</stp>
        <tr r="AH36" s="12"/>
      </tp>
      <tp t="s">
        <v>#N/A Requesting Data...3315740618</v>
        <stp/>
        <stp>BDP|14985248405206113146</stp>
        <tr r="G31" s="18"/>
        <tr r="J113" s="19"/>
        <tr r="J6" s="19"/>
        <tr r="K27" s="17"/>
        <tr r="J25" s="30"/>
      </tp>
      <tp t="s">
        <v>#N/A Requesting Data...3926333876</v>
        <stp/>
        <stp>BDP|12610148912024954756</stp>
        <tr r="B53" s="12"/>
      </tp>
      <tp t="s">
        <v>#N/A Requesting Data...3657680919</v>
        <stp/>
        <stp>BDP|16274237341921807043</stp>
        <tr r="I58" s="9"/>
        <tr r="G56" s="10"/>
        <tr r="H51" s="15"/>
      </tp>
      <tp t="s">
        <v>#N/A Requesting Data...3676999583</v>
        <stp/>
        <stp>BDP|16676348042797971750</stp>
        <tr r="G61" s="9"/>
        <tr r="U83" s="9"/>
        <tr r="V61" s="19"/>
        <tr r="G215" s="23"/>
        <tr r="G63" s="23"/>
        <tr r="T38" s="22"/>
        <tr r="E57" s="10"/>
        <tr r="F49" s="15"/>
      </tp>
      <tp t="s">
        <v>#N/A Requesting Data...4110928707</v>
        <stp/>
        <stp>BDP|17128348949207261623</stp>
        <tr r="P81" s="9"/>
      </tp>
      <tp t="s">
        <v>#N/A Requesting Data...4126816733</v>
        <stp/>
        <stp>BDP|15978620255747773052</stp>
        <tr r="O16" s="22"/>
      </tp>
      <tp t="s">
        <v>#N/A Requesting Data...4046106113</v>
        <stp/>
        <stp>BDP|12257461503760100798</stp>
        <tr r="C67" s="29"/>
      </tp>
      <tp t="s">
        <v>#N/A Requesting Data...3932714007</v>
        <stp/>
        <stp>BDP|16823038975939791967</stp>
        <tr r="Q20" s="29"/>
      </tp>
      <tp t="s">
        <v>#N/A Requesting Data...4281786908</v>
        <stp/>
        <stp>BDP|16609534121976925623</stp>
        <tr r="J91" s="29"/>
      </tp>
      <tp t="s">
        <v>#N/A Requesting Data...4133464847</v>
        <stp/>
        <stp>BDP|16489247845147247686</stp>
        <tr r="Z39" s="9"/>
        <tr r="V39" s="15"/>
      </tp>
      <tp t="s">
        <v>#N/A Requesting Data...3911635848</v>
        <stp/>
        <stp>BDP|12254901538821293864</stp>
        <tr r="C101" s="29"/>
      </tp>
      <tp t="s">
        <v>#N/A Requesting Data...4094708476</v>
        <stp/>
        <stp>BDP|10892464166142627109</stp>
        <tr r="B58" s="29"/>
      </tp>
      <tp t="s">
        <v>#N/A Requesting Data...3558075216</v>
        <stp/>
        <stp>BDP|16691656136991334383</stp>
        <tr r="G32" s="9"/>
        <tr r="G222" s="23"/>
        <tr r="G65" s="23"/>
        <tr r="T47" s="22"/>
        <tr r="E42" s="10"/>
        <tr r="F38" s="15"/>
      </tp>
      <tp t="s">
        <v>#N/A Requesting Data...4142499114</v>
        <stp/>
        <stp>BDP|18318454377313288924</stp>
        <tr r="K101" s="29"/>
      </tp>
      <tp t="s">
        <v>#N/A Requesting Data...3827840616</v>
        <stp/>
        <stp>BDP|14500106411726570304</stp>
        <tr r="AD19" s="9"/>
        <tr r="X30" s="14"/>
        <tr r="X36" s="13"/>
        <tr r="AA25" s="15"/>
      </tp>
      <tp t="s">
        <v>#N/A Requesting Data...3960839543</v>
        <stp/>
        <stp>BDP|17717722650780169442</stp>
        <tr r="P85" s="9"/>
      </tp>
      <tp t="s">
        <v>#N/A Requesting Data...4053544842</v>
        <stp/>
        <stp>BDP|12985261768596599121</stp>
        <tr r="AD55" s="9"/>
        <tr r="X63" s="14"/>
        <tr r="X60" s="13"/>
        <tr r="AA48" s="15"/>
      </tp>
      <tp t="s">
        <v>#N/A Requesting Data...3878234323</v>
        <stp/>
        <stp>BDP|11951609953280029392</stp>
        <tr r="E12" s="18"/>
        <tr r="H10" s="19"/>
        <tr r="H99" s="19"/>
        <tr r="I9" s="17"/>
        <tr r="G123" s="23"/>
        <tr r="G203" s="23"/>
        <tr r="H17" s="22"/>
        <tr r="E14" s="12"/>
      </tp>
      <tp t="s">
        <v>#N/A Requesting Data...4116431128</v>
        <stp/>
        <stp>BDP|10054743900165112367</stp>
        <tr r="F40" s="18"/>
        <tr r="I125" s="19"/>
        <tr r="I23" s="19"/>
        <tr r="J37" s="17"/>
        <tr r="I38" s="30"/>
      </tp>
      <tp t="s">
        <v>#N/A Requesting Data...3868262496</v>
        <stp/>
        <stp>BDP|16046030880889634672</stp>
        <tr r="G45" s="9"/>
        <tr r="P200" s="23"/>
        <tr r="P49" s="23"/>
        <tr r="E56" s="12"/>
      </tp>
      <tp t="s">
        <v>#N/A Requesting Data...3839672510</v>
        <stp/>
        <stp>BDP|11481705503503300412</stp>
        <tr r="Y60" s="9"/>
        <tr r="R70" s="14"/>
        <tr r="R67" s="13"/>
        <tr r="U47" s="15"/>
      </tp>
      <tp t="s">
        <v>#N/A Requesting Data...3846359063</v>
        <stp/>
        <stp>BDP|17962458499592842986</stp>
        <tr r="L83" s="29"/>
      </tp>
      <tp t="s">
        <v>#N/A Requesting Data...4259717272</v>
        <stp/>
        <stp>BDP|10623901986892216277</stp>
        <tr r="B52" s="29"/>
      </tp>
      <tp t="s">
        <v>#N/A Requesting Data...3308341068</v>
        <stp/>
        <stp>BDP|18420582202748394483</stp>
        <tr r="K21" s="29"/>
      </tp>
      <tp t="s">
        <v>#N/A Requesting Data...3970957691</v>
        <stp/>
        <stp>BDP|15981572851446895226</stp>
        <tr r="AA41" s="19"/>
        <tr r="AI42" s="17"/>
        <tr r="X23" s="30"/>
      </tp>
      <tp t="s">
        <v>#N/A Requesting Data...4052210785</v>
        <stp/>
        <stp>BDP|17620654761626450034</stp>
        <tr r="AA25" s="12"/>
      </tp>
      <tp t="s">
        <v>#N/A Requesting Data...4043549290</v>
        <stp/>
        <stp>BDP|14648588287759899144</stp>
        <tr r="AB31" s="19"/>
        <tr r="AJ34" s="17"/>
        <tr r="Y36" s="30"/>
      </tp>
      <tp t="s">
        <v>#N/A Requesting Data...4037767520</v>
        <stp/>
        <stp>BDP|16119391130355401289</stp>
        <tr r="AD5" s="12"/>
      </tp>
      <tp t="s">
        <v>#N/A Requesting Data...4036018304</v>
        <stp/>
        <stp>BDP|13665098808325213711</stp>
        <tr r="K36" s="29"/>
      </tp>
      <tp t="s">
        <v>#N/A Requesting Data...3921550925</v>
        <stp/>
        <stp>BDP|12068328221134385643</stp>
        <tr r="AB17" s="19"/>
        <tr r="AJ35" s="17"/>
        <tr r="Y33" s="30"/>
      </tp>
      <tp t="s">
        <v>#N/A Requesting Data...3464490344</v>
        <stp/>
        <stp>BDP|14681177208315760193</stp>
        <tr r="C55" s="29"/>
      </tp>
      <tp t="s">
        <v>#N/A Requesting Data...4176988692</v>
        <stp/>
        <stp>BDP|10703795055460503399</stp>
        <tr r="X24" s="22"/>
      </tp>
      <tp t="s">
        <v>#N/A Requesting Data...3719771237</v>
        <stp/>
        <stp>BDP|15212408213089521834</stp>
        <tr r="J90" s="29"/>
      </tp>
      <tp t="s">
        <v>#N/A Requesting Data...3411387242</v>
        <stp/>
        <stp>BDP|12271935911468228359</stp>
        <tr r="C84" s="29"/>
      </tp>
      <tp t="s">
        <v>#N/A Requesting Data...4225170883</v>
        <stp/>
        <stp>BDP|12157214426436136507</stp>
        <tr r="AM39" s="17"/>
      </tp>
      <tp t="s">
        <v>#N/A Requesting Data...3625583129</v>
        <stp/>
        <stp>BDP|18210929163772587416</stp>
        <tr r="AC18" s="9"/>
      </tp>
      <tp t="s">
        <v>#N/A Requesting Data...3329459645</v>
        <stp/>
        <stp>BDP|11677206122009758944</stp>
        <tr r="AN23" s="17"/>
      </tp>
      <tp t="s">
        <v>#N/A Requesting Data...4069173855</v>
        <stp/>
        <stp>BDP|12571904483451773367</stp>
        <tr r="Y131" s="17"/>
      </tp>
      <tp t="s">
        <v>#N/A Requesting Data...3888635332</v>
        <stp/>
        <stp>BDP|12829118528575375546</stp>
        <tr r="G23" s="9"/>
        <tr r="P170" s="23"/>
        <tr r="P22" s="23"/>
        <tr r="T37" s="22"/>
        <tr r="E30" s="10"/>
        <tr r="F27" s="15"/>
      </tp>
      <tp t="s">
        <v>#N/A Requesting Data...4164075020</v>
        <stp/>
        <stp>BDP|14897324007631211797</stp>
        <tr r="B20" s="17"/>
        <tr r="C8" s="22"/>
        <tr r="X22" s="12"/>
      </tp>
      <tp t="s">
        <v>#N/A Requesting Data...4124089375</v>
        <stp/>
        <stp>BDP|10294323424545774554</stp>
        <tr r="B37" s="29"/>
      </tp>
      <tp t="s">
        <v>#N/A Requesting Data...3705351279</v>
        <stp/>
        <stp>BDP|15376022111441304450</stp>
        <tr r="X144" s="17"/>
      </tp>
      <tp t="s">
        <v>#N/A Requesting Data...3758857892</v>
        <stp/>
        <stp>BDP|11451744970961191688</stp>
        <tr r="Y15" s="9"/>
        <tr r="R23" s="14"/>
        <tr r="R41" s="13"/>
        <tr r="U34" s="15"/>
      </tp>
      <tp t="s">
        <v>#N/A Requesting Data...4233803150</v>
        <stp/>
        <stp>BDP|10585430808226210457</stp>
        <tr r="AC62" s="9"/>
        <tr r="W68" s="14"/>
        <tr r="W64" s="13"/>
        <tr r="Z52" s="15"/>
      </tp>
      <tp t="s">
        <v>#N/A Requesting Data...3942125635</v>
        <stp/>
        <stp>BDP|10101804031245174880</stp>
        <tr r="Y40" s="12"/>
      </tp>
      <tp t="s">
        <v>#N/A Requesting Data...4115200812</v>
        <stp/>
        <stp>BDP|15650882953319206762</stp>
        <tr r="Q42" s="29"/>
      </tp>
      <tp t="s">
        <v>#N/A Requesting Data...4203159854</v>
        <stp/>
        <stp>BDP|11826731901556263603</stp>
        <tr r="G44" s="18"/>
        <tr r="J128" s="19"/>
        <tr r="J33" s="19"/>
        <tr r="K41" s="17"/>
      </tp>
      <tp t="s">
        <v>#N/A Requesting Data...4041434530</v>
        <stp/>
        <stp>BDP|15358896987545052656</stp>
        <tr r="Y21" s="30"/>
        <tr r="S23" s="13"/>
        <tr r="S21" s="14"/>
      </tp>
      <tp t="s">
        <v>#N/A Requesting Data...3812613667</v>
        <stp/>
        <stp>BDP|17456254659985259317</stp>
        <tr r="AA9" s="19"/>
        <tr r="AI4" s="17"/>
        <tr r="R10" s="14"/>
        <tr r="R17" s="13"/>
        <tr r="X9" s="30"/>
      </tp>
      <tp t="s">
        <v>#N/A Requesting Data...3956934631</v>
        <stp/>
        <stp>BDP|17446376638885514457</stp>
        <tr r="I31" s="9"/>
        <tr r="H4" s="15"/>
      </tp>
      <tp t="s">
        <v>#N/A Requesting Data...4022209715</v>
        <stp/>
        <stp>BDP|17827320774946691333</stp>
        <tr r="AH21" s="12"/>
      </tp>
      <tp t="s">
        <v>#N/A Requesting Data...4280955607</v>
        <stp/>
        <stp>BDP|10015588714811491338</stp>
        <tr r="T50" s="12"/>
      </tp>
      <tp t="s">
        <v>#N/A Requesting Data...4205288205</v>
        <stp/>
        <stp>BDP|17498691800130615712</stp>
        <tr r="H30" s="9"/>
        <tr r="F33" s="10"/>
        <tr r="G24" s="15"/>
      </tp>
      <tp t="s">
        <v>#N/A Requesting Data...4029648944</v>
        <stp/>
        <stp>BDP|13130662829591485004</stp>
        <tr r="G44" s="9"/>
        <tr r="P201" s="23"/>
        <tr r="P50" s="23"/>
        <tr r="E52" s="12"/>
      </tp>
      <tp t="s">
        <v>#N/A Requesting Data...3755293403</v>
        <stp/>
        <stp>BDP|13686978759738773158</stp>
        <tr r="J25" s="12"/>
      </tp>
      <tp t="s">
        <v>#N/A Requesting Data...3974386452</v>
        <stp/>
        <stp>BDP|17742339331130613199</stp>
        <tr r="Q27" s="29"/>
      </tp>
      <tp t="s">
        <v>#N/A Requesting Data...3835361144</v>
        <stp/>
        <stp>BDP|13053843138118807692</stp>
        <tr r="AI19" s="12"/>
      </tp>
      <tp t="s">
        <v>#N/A Requesting Data...3469081559</v>
        <stp/>
        <stp>BDP|14513518151382896013</stp>
        <tr r="K42" s="29"/>
      </tp>
      <tp t="s">
        <v>#N/A Requesting Data...4125264352</v>
        <stp/>
        <stp>BDP|10456078868270234060</stp>
        <tr r="AA26" s="19"/>
        <tr r="AI33" s="17"/>
        <tr r="X13" s="30"/>
      </tp>
      <tp t="s">
        <v>#N/A Requesting Data...4209163568</v>
        <stp/>
        <stp>BDP|16618897599348163980</stp>
        <tr r="G39" s="9"/>
        <tr r="G174" s="23"/>
        <tr r="G26" s="23"/>
        <tr r="F39" s="15"/>
        <tr r="E57" s="12"/>
      </tp>
      <tp t="s">
        <v>#N/A Requesting Data...3852165553</v>
        <stp/>
        <stp>BDP|10258709500494921549</stp>
        <tr r="AI22" s="12"/>
      </tp>
      <tp t="s">
        <v>#N/A Requesting Data...4104629621</v>
        <stp/>
        <stp>BDP|11420534378720768573</stp>
        <tr r="AE4" s="12"/>
      </tp>
      <tp t="s">
        <v>#N/A Requesting Data...4024796460</v>
        <stp/>
        <stp>BDP|16940016037666660571</stp>
        <tr r="F14" s="18"/>
        <tr r="I100" s="19"/>
        <tr r="I24" s="19"/>
        <tr r="J10" s="17"/>
        <tr r="F34" s="10"/>
        <tr r="I32" s="30"/>
      </tp>
      <tp t="s">
        <v>#N/A Requesting Data...4105517860</v>
        <stp/>
        <stp>BDP|15566625268836029518</stp>
        <tr r="Y4" s="12"/>
      </tp>
      <tp t="s">
        <v>#N/A Requesting Data...4193797978</v>
        <stp/>
        <stp>BDP|13882706901383684110</stp>
        <tr r="X47" s="22"/>
      </tp>
      <tp t="s">
        <v>#N/A Requesting Data...3508993433</v>
        <stp/>
        <stp>BDP|10992815643862007850</stp>
        <tr r="K77" s="29"/>
      </tp>
      <tp t="s">
        <v>#N/A Requesting Data...3639124195</v>
        <stp/>
        <stp>BDP|18020253116279505470</stp>
        <tr r="Q77" s="29"/>
      </tp>
      <tp t="s">
        <v>#N/A Requesting Data...3891719408</v>
        <stp/>
        <stp>BDP|13683449829802890125</stp>
        <tr r="J79" s="29"/>
      </tp>
      <tp t="s">
        <v>#N/A Requesting Data...3763695349</v>
        <stp/>
        <stp>BDP|13970986476248313357</stp>
        <tr r="AE20" s="12"/>
      </tp>
      <tp t="s">
        <v>#N/A Requesting Data...3776571152</v>
        <stp/>
        <stp>BDP|17402018663964060372</stp>
        <tr r="B9" s="17"/>
        <tr r="C17" s="22"/>
        <tr r="X14" s="12"/>
      </tp>
      <tp t="s">
        <v>#N/A Requesting Data...3695494894</v>
        <stp/>
        <stp>BDP|12199809460852596849</stp>
        <tr r="X72" s="14"/>
        <tr r="X65" s="13"/>
      </tp>
      <tp t="s">
        <v>#N/A Requesting Data...4130564448</v>
        <stp/>
        <stp>BDP|13511988194674941103</stp>
        <tr r="O26" s="22"/>
      </tp>
      <tp t="s">
        <v>#N/A Requesting Data...4184761865</v>
        <stp/>
        <stp>BDP|10237218739432882527</stp>
        <tr r="L20" s="29"/>
      </tp>
      <tp t="s">
        <v>#N/A Requesting Data...3631569537</v>
        <stp/>
        <stp>BDP|10561011953191337243</stp>
        <tr r="J51" s="29"/>
      </tp>
      <tp t="s">
        <v>#N/A Requesting Data...3869241027</v>
        <stp/>
        <stp>BDP|11402018272732659228</stp>
        <tr r="G35" s="9"/>
        <tr r="P176" s="23"/>
        <tr r="P26" s="23"/>
        <tr r="T45" s="22"/>
        <tr r="E45" s="10"/>
        <tr r="F30" s="15"/>
      </tp>
      <tp t="s">
        <v>#N/A Requesting Data...4181900728</v>
        <stp/>
        <stp>BDP|12217150247026573778</stp>
        <tr r="AG10" s="12"/>
      </tp>
      <tp t="s">
        <v>#N/A Requesting Data...3822540549</v>
        <stp/>
        <stp>BDP|16656267000425220701</stp>
        <tr r="Z16" s="9"/>
        <tr r="S26" s="14"/>
        <tr r="S21" s="13"/>
        <tr r="V13" s="15"/>
      </tp>
      <tp t="s">
        <v>#N/A Requesting Data...3605137547</v>
        <stp/>
        <stp>BDP|17762824262129366661</stp>
        <tr r="B36" s="12"/>
      </tp>
      <tp t="s">
        <v>#N/A Requesting Data...4211683210</v>
        <stp/>
        <stp>BDP|10282544234883617313</stp>
        <tr r="L58" s="29"/>
      </tp>
      <tp t="s">
        <v>#N/A Requesting Data...3920075873</v>
        <stp/>
        <stp>BDP|15099651952381603153</stp>
        <tr r="J73" s="29"/>
      </tp>
      <tp t="s">
        <v>#N/A Requesting Data...4156960919</v>
        <stp/>
        <stp>BDP|14767708401575371013</stp>
        <tr r="AE57" s="12"/>
      </tp>
      <tp t="s">
        <v>#N/A Requesting Data...3662938829</v>
        <stp/>
        <stp>BDP|15782343226925628771</stp>
        <tr r="K79" s="29"/>
      </tp>
      <tp t="s">
        <v>#N/A Requesting Data...4007634849</v>
        <stp/>
        <stp>BDP|11007053147503264046</stp>
        <tr r="E34" s="18"/>
        <tr r="H114" s="19"/>
        <tr r="H7" s="19"/>
        <tr r="I29" s="17"/>
        <tr r="G138" s="23"/>
        <tr r="G221" s="23"/>
        <tr r="H140" s="22"/>
        <tr r="H33" s="22"/>
        <tr r="E27" s="12"/>
      </tp>
      <tp t="s">
        <v>#N/A Requesting Data...3751874412</v>
        <stp/>
        <stp>BDP|18017648505881558902</stp>
        <tr r="AN18" s="17"/>
      </tp>
      <tp t="s">
        <v>#N/A Requesting Data...3751236808</v>
        <stp/>
        <stp>BDP|13162947853771265805</stp>
        <tr r="B47" s="29"/>
      </tp>
      <tp t="s">
        <v>#N/A Requesting Data...4009326132</v>
        <stp/>
        <stp>BDP|17875904695890955134</stp>
        <tr r="H31" s="9"/>
        <tr r="G4" s="15"/>
      </tp>
      <tp t="s">
        <v>#N/A Requesting Data...3906144658</v>
        <stp/>
        <stp>BDP|17282254762587531272</stp>
        <tr r="H57" s="9"/>
        <tr r="F58" s="10"/>
        <tr r="G54" s="15"/>
      </tp>
      <tp t="s">
        <v>#N/A Requesting Data...4136602157</v>
        <stp/>
        <stp>BDP|17140550647029318970</stp>
        <tr r="H28" s="9"/>
        <tr r="F43" s="10"/>
        <tr r="G8" s="15"/>
      </tp>
      <tp t="s">
        <v>#N/A Requesting Data...3815898643</v>
        <stp/>
        <stp>BDP|12846824021888452689</stp>
        <tr r="AI29" s="12"/>
      </tp>
      <tp t="s">
        <v>#N/A Requesting Data...3793782577</v>
        <stp/>
        <stp>BDP|10262397069465570618</stp>
        <tr r="Q49" s="29"/>
      </tp>
      <tp t="s">
        <v>#N/A Requesting Data...3929887935</v>
        <stp/>
        <stp>BDP|10982895606537772971</stp>
        <tr r="Q90" s="29"/>
      </tp>
      <tp t="s">
        <v>#N/A Requesting Data...4285131949</v>
        <stp/>
        <stp>BDP|16340578468231356297</stp>
        <tr r="G10" s="9"/>
        <tr r="P154" s="23"/>
        <tr r="P9" s="23"/>
        <tr r="T11" s="22"/>
        <tr r="E9" s="10"/>
        <tr r="F32" s="15"/>
      </tp>
      <tp t="s">
        <v>#N/A Requesting Data...3747300080</v>
        <stp/>
        <stp>BDP|10183344428012878538</stp>
        <tr r="C71" s="29"/>
      </tp>
      <tp t="s">
        <v>#N/A Requesting Data...3961202908</v>
        <stp/>
        <stp>BDP|17269117926044503663</stp>
        <tr r="T13" s="12"/>
      </tp>
      <tp t="s">
        <v>#N/A Requesting Data...4236785926</v>
        <stp/>
        <stp>BDP|11012337747136449664</stp>
        <tr r="AD42" s="9"/>
        <tr r="X54" s="14"/>
        <tr r="X29" s="13"/>
        <tr r="AA23" s="15"/>
      </tp>
      <tp t="s">
        <v>#N/A Requesting Data...3828307680</v>
        <stp/>
        <stp>BDP|15049503363602561202</stp>
        <tr r="AA5" s="12"/>
      </tp>
      <tp t="s">
        <v>#N/A Requesting Data...3970115677</v>
        <stp/>
        <stp>BDP|16965513250382303328</stp>
        <tr r="L18" s="22"/>
        <tr r="I17" s="12"/>
      </tp>
      <tp t="s">
        <v>#N/A Requesting Data...3552623641</v>
        <stp/>
        <stp>BDP|15892644379104892749</stp>
        <tr r="J53" s="29"/>
      </tp>
      <tp t="s">
        <v>#N/A Requesting Data...3862766830</v>
        <stp/>
        <stp>BDP|13750832450358560187</stp>
        <tr r="AN22" s="17"/>
        <tr r="X39" s="14"/>
        <tr r="X30" s="13"/>
      </tp>
      <tp t="s">
        <v>#N/A Requesting Data...4104005170</v>
        <stp/>
        <stp>BDP|10193136902127976117</stp>
        <tr r="F30" s="18"/>
        <tr r="I111" s="19"/>
        <tr r="I8" s="19"/>
        <tr r="I6" s="30"/>
      </tp>
      <tp t="s">
        <v>#N/A Requesting Data...4074719978</v>
        <stp/>
        <stp>BDP|14081608928575797271</stp>
        <tr r="AN26" s="17"/>
      </tp>
      <tp t="s">
        <v>#N/A Requesting Data...4198900338</v>
        <stp/>
        <stp>BDP|13445229374887284681</stp>
        <tr r="F22" s="18"/>
        <tr r="I101" s="19"/>
        <tr r="I32" s="19"/>
        <tr r="J19" s="17"/>
        <tr r="I24" s="30"/>
      </tp>
      <tp t="s">
        <v>#N/A Requesting Data...3808262787</v>
        <stp/>
        <stp>BDP|10413213534175940307</stp>
        <tr r="AM11" s="17"/>
      </tp>
      <tp t="s">
        <v>#N/A Requesting Data...3981357177</v>
        <stp/>
        <stp>BDP|13808870824326591857</stp>
        <tr r="C10" s="27"/>
      </tp>
      <tp t="s">
        <v>#N/A Requesting Data...4086220774</v>
        <stp/>
        <stp>BDP|17135853219081449824</stp>
        <tr r="L41" s="29"/>
      </tp>
      <tp t="s">
        <v>#N/A Requesting Data...3685369095</v>
        <stp/>
        <stp>BDP|11863026440786832492</stp>
        <tr r="K84" s="29"/>
      </tp>
      <tp t="s">
        <v>#N/A Requesting Data...4003545117</v>
        <stp/>
        <stp>BDP|17177491204826730208</stp>
        <tr r="Q10" s="29"/>
      </tp>
      <tp t="s">
        <v>#N/A Requesting Data...3688431542</v>
        <stp/>
        <stp>BDP|14535249167367936050</stp>
        <tr r="AG33" s="12"/>
      </tp>
      <tp t="s">
        <v>#N/A Requesting Data...4189028426</v>
        <stp/>
        <stp>BDP|11935312154336034666</stp>
        <tr r="H44" s="9"/>
      </tp>
      <tp t="s">
        <v>#N/A Requesting Data...4151623670</v>
        <stp/>
        <stp>BDP|16117682668055841433</stp>
        <tr r="H6" s="9"/>
        <tr r="F8" s="10"/>
        <tr r="G26" s="15"/>
      </tp>
      <tp t="s">
        <v>#N/A Requesting Data...4031416713</v>
        <stp/>
        <stp>BDP|10701179436520996528</stp>
        <tr r="J33" s="29"/>
      </tp>
      <tp t="s">
        <v>#N/A Requesting Data...4039138250</v>
        <stp/>
        <stp>BDP|17359691670793224253</stp>
        <tr r="Y26" s="9"/>
        <tr r="R32" s="14"/>
        <tr r="R15" s="13"/>
        <tr r="U28" s="15"/>
      </tp>
      <tp t="s">
        <v>#N/A Requesting Data...4165186021</v>
        <stp/>
        <stp>BDP|12895867053149035116</stp>
        <tr r="K28" s="29"/>
      </tp>
      <tp t="s">
        <v>#N/A Requesting Data...4011846038</v>
        <stp/>
        <stp>BDP|15559094915487423435</stp>
        <tr r="J5" s="12"/>
      </tp>
      <tp t="s">
        <v>#N/A Requesting Data...3720979904</v>
        <stp/>
        <stp>BDP|14856341143724961078</stp>
        <tr r="E8" s="18"/>
        <tr r="H93" s="19"/>
        <tr r="H11" s="22"/>
        <tr r="H126" s="22"/>
        <tr r="H87" s="22"/>
        <tr r="E6" s="12"/>
        <tr r="E77" s="28"/>
      </tp>
      <tp t="s">
        <v>#N/A Requesting Data...3807462267</v>
        <stp/>
        <stp>BDP|10983793316378455931</stp>
        <tr r="AG16" s="12"/>
      </tp>
      <tp t="s">
        <v>#N/A Requesting Data...4141339069</v>
        <stp/>
        <stp>BDP|15615675402201145531</stp>
        <tr r="T33" s="12"/>
      </tp>
      <tp t="s">
        <v>#N/A Requesting Data...4081762675</v>
        <stp/>
        <stp>BDP|11356916297556467003</stp>
        <tr r="Y134" s="17"/>
      </tp>
      <tp t="s">
        <v>#N/A Requesting Data...4223744308</v>
        <stp/>
        <stp>BDP|11897435061390986421</stp>
        <tr r="AB23" s="19"/>
        <tr r="AJ37" s="17"/>
        <tr r="Y38" s="30"/>
      </tp>
      <tp t="s">
        <v>#N/A Requesting Data...3745719472</v>
        <stp/>
        <stp>BDP|15947370528284576724</stp>
        <tr r="AA24" s="19"/>
        <tr r="AI10" s="17"/>
        <tr r="R36" s="14"/>
        <tr r="R6" s="13"/>
        <tr r="X32" s="30"/>
      </tp>
      <tp t="s">
        <v>#N/A Requesting Data...4230095997</v>
        <stp/>
        <stp>BDP|17941406039772194517</stp>
        <tr r="AG37" s="12"/>
      </tp>
      <tp t="s">
        <v>#N/A Requesting Data...4086973215</v>
        <stp/>
        <stp>BDP|14316237146593693603</stp>
        <tr r="F27" s="18"/>
        <tr r="I116" s="19"/>
        <tr r="I4" s="19"/>
        <tr r="J26" s="17"/>
        <tr r="I4" s="30"/>
      </tp>
      <tp t="s">
        <v>#N/A Requesting Data...3889616785</v>
        <stp/>
        <stp>BDP|17131739419571269790</stp>
        <tr r="W44" s="13"/>
        <tr r="W38" s="14"/>
      </tp>
      <tp t="s">
        <v>#N/A Requesting Data...3802300787</v>
        <stp/>
        <stp>BDP|10668274075393797135</stp>
        <tr r="Y8" s="12"/>
      </tp>
      <tp t="s">
        <v>#N/A Requesting Data...3921139994</v>
        <stp/>
        <stp>BDP|14380247151762799612</stp>
        <tr r="C92" s="29"/>
      </tp>
      <tp t="s">
        <v>#N/A Requesting Data...3903443045</v>
        <stp/>
        <stp>BDP|13467189580245957862</stp>
        <tr r="X143" s="17"/>
        <tr r="H9" s="27"/>
      </tp>
      <tp t="s">
        <v>#N/A Requesting Data...3938470048</v>
        <stp/>
        <stp>BDP|10924687765725497237</stp>
        <tr r="E42" s="18"/>
        <tr r="H126" s="19"/>
        <tr r="H19" s="19"/>
        <tr r="I38" s="17"/>
        <tr r="P132" s="23"/>
        <tr r="P214" s="23"/>
        <tr r="H40" s="22"/>
        <tr r="E39" s="12"/>
      </tp>
      <tp t="s">
        <v>#N/A Requesting Data...3850954286</v>
        <stp/>
        <stp>BDP|11888495027555594500</stp>
        <tr r="AD56" s="12"/>
      </tp>
      <tp t="s">
        <v>#N/A Requesting Data...3710460454</v>
        <stp/>
        <stp>BDP|14573853913943689960</stp>
        <tr r="B12" s="17"/>
        <tr r="C13" s="22"/>
        <tr r="X13" s="12"/>
      </tp>
      <tp t="s">
        <v>#N/A Requesting Data...4087987108</v>
        <stp/>
        <stp>BDP|15499955291780137233</stp>
        <tr r="B29" s="12"/>
      </tp>
      <tp t="s">
        <v>#N/A Requesting Data...4155874528</v>
        <stp/>
        <stp>BDP|14397736454410236140</stp>
        <tr r="AM15" s="17"/>
      </tp>
      <tp t="s">
        <v>#N/A Requesting Data...3718683360</v>
        <stp/>
        <stp>BDP|15210544759436494497</stp>
        <tr r="L42" s="29"/>
      </tp>
      <tp t="s">
        <v>#N/A Requesting Data...4048199003</v>
        <stp/>
        <stp>BDP|12969502293050181992</stp>
        <tr r="C100" s="29"/>
      </tp>
      <tp t="s">
        <v>#N/A Requesting Data...4030416047</v>
        <stp/>
        <stp>BDP|15878112158701048731</stp>
        <tr r="Z57" s="9"/>
        <tr r="S66" s="14"/>
        <tr r="S66" s="13"/>
        <tr r="V54" s="15"/>
      </tp>
      <tp t="s">
        <v>#N/A Requesting Data...4098962723</v>
        <stp/>
        <stp>BDP|17616007484859212157</stp>
        <tr r="AG15" s="12"/>
      </tp>
      <tp t="s">
        <v>#N/A Requesting Data...3711398229</v>
        <stp/>
        <stp>BDP|16030938092824241560</stp>
        <tr r="AN20" s="17"/>
      </tp>
      <tp t="s">
        <v>#N/A Requesting Data...3818441634</v>
        <stp/>
        <stp>BDP|12425349977094464569</stp>
        <tr r="B37" s="12"/>
      </tp>
      <tp t="s">
        <v>#N/A Requesting Data...4198051214</v>
        <stp/>
        <stp>BDP|10149552467654343044</stp>
        <tr r="J4" s="29"/>
      </tp>
      <tp t="s">
        <v>#N/A Requesting Data...3750862757</v>
        <stp/>
        <stp>BDP|13634148967544789760</stp>
        <tr r="AG26" s="12"/>
      </tp>
      <tp t="s">
        <v>#N/A Requesting Data...3871455891</v>
        <stp/>
        <stp>BDP|10764621776680682620</stp>
        <tr r="G41" s="9"/>
        <tr r="P198" s="23"/>
        <tr r="P47" s="23"/>
        <tr r="E51" s="12"/>
      </tp>
      <tp t="s">
        <v>#N/A Requesting Data...3896264945</v>
        <stp/>
        <stp>BDP|13982381157571325323</stp>
        <tr r="Q65" s="29"/>
      </tp>
      <tp t="s">
        <v>#N/A Requesting Data...3878657716</v>
        <stp/>
        <stp>BDP|14965284776787962197</stp>
        <tr r="AM20" s="17"/>
      </tp>
      <tp t="s">
        <v>#N/A Requesting Data...3866150291</v>
        <stp/>
        <stp>BDP|11676428851546090127</stp>
        <tr r="E36" s="10"/>
        <tr r="E51" s="26"/>
        <tr r="E49" s="12"/>
        <tr r="E49" s="26"/>
        <tr r="E75" s="26"/>
      </tp>
      <tp t="s">
        <v>#N/A Requesting Data...4084770170</v>
        <stp/>
        <stp>BDP|15045020368540858450</stp>
        <tr r="J10" s="27"/>
      </tp>
      <tp t="s">
        <v>#N/A Requesting Data...3901778584</v>
        <stp/>
        <stp>BDP|13915394773333438319</stp>
        <tr r="K90" s="29"/>
      </tp>
      <tp t="s">
        <v>#N/A Requesting Data...4111969832</v>
        <stp/>
        <stp>BDP|14632021826808199956</stp>
        <tr r="K28" s="17"/>
      </tp>
      <tp t="s">
        <v>#N/A Requesting Data...4241624968</v>
        <stp/>
        <stp>BDP|17289853766338971515</stp>
        <tr r="G55" s="9"/>
        <tr r="P152" s="23"/>
        <tr r="P7" s="23"/>
        <tr r="T13" s="22"/>
        <tr r="E55" s="10"/>
        <tr r="F48" s="15"/>
      </tp>
      <tp t="s">
        <v>#N/A Requesting Data...4188623495</v>
        <stp/>
        <stp>BDP|10983282185616928841</stp>
        <tr r="B39" s="29"/>
      </tp>
      <tp t="s">
        <v>#N/A Requesting Data...4064626805</v>
        <stp/>
        <stp>BDP|13038427468926640354</stp>
        <tr r="K23" s="29"/>
      </tp>
      <tp t="s">
        <v>#N/A Requesting Data...3769446058</v>
        <stp/>
        <stp>BDP|14441681424440655477</stp>
        <tr r="B53" s="29"/>
      </tp>
      <tp t="s">
        <v>#N/A Requesting Data...4289294090</v>
        <stp/>
        <stp>BDP|13853876767699853089</stp>
        <tr r="E45" s="18"/>
        <tr r="H127" s="19"/>
        <tr r="H41" s="19"/>
        <tr r="I42" s="17"/>
        <tr r="P177" s="23"/>
        <tr r="P97" s="23"/>
        <tr r="H41" s="22"/>
        <tr r="E42" s="12"/>
      </tp>
      <tp t="s">
        <v>#N/A Requesting Data...4143626829</v>
        <stp/>
        <stp>BDP|17492925948497408927</stp>
        <tr r="B4" s="29"/>
      </tp>
      <tp t="s">
        <v>#N/A Requesting Data...4092003632</v>
        <stp/>
        <stp>BDP|15997763073683751239</stp>
        <tr r="G24" s="18"/>
        <tr r="J115" s="19"/>
        <tr r="J42" s="19"/>
        <tr r="K23" s="17"/>
        <tr r="J7" s="30"/>
      </tp>
      <tp t="s">
        <v>#N/A Requesting Data...3797906882</v>
        <stp/>
        <stp>BDP|17574478469157957698</stp>
        <tr r="K49" s="29"/>
      </tp>
      <tp t="s">
        <v>#N/A Requesting Data...4250983290</v>
        <stp/>
        <stp>BDP|16842620641376569653</stp>
        <tr r="AE55" s="12"/>
      </tp>
      <tp t="s">
        <v>#N/A Requesting Data...4181327713</v>
        <stp/>
        <stp>BDP|14312046803199874977</stp>
        <tr r="AD62" s="9"/>
        <tr r="X68" s="14"/>
        <tr r="X64" s="13"/>
        <tr r="AA52" s="15"/>
      </tp>
      <tp t="s">
        <v>#N/A Requesting Data...4132578243</v>
        <stp/>
        <stp>BDP|15254790965729144959</stp>
        <tr r="AE56" s="12"/>
      </tp>
      <tp t="s">
        <v>#N/A Requesting Data...4262208225</v>
        <stp/>
        <stp>BDP|11864141331320569758</stp>
        <tr r="T65" s="22"/>
      </tp>
      <tp t="s">
        <v>#N/A Requesting Data...3934244386</v>
        <stp/>
        <stp>BDP|12978514819843879143</stp>
        <tr r="L88" s="29"/>
      </tp>
      <tp t="s">
        <v>#N/A Requesting Data...4091325024</v>
        <stp/>
        <stp>BDP|11757499497618354071</stp>
        <tr r="AI21" s="12"/>
      </tp>
      <tp t="s">
        <v>#N/A Requesting Data...4142549748</v>
        <stp/>
        <stp>BDP|17805321312605738427</stp>
        <tr r="K8" s="29"/>
      </tp>
      <tp t="s">
        <v>#N/A Requesting Data...4273013945</v>
        <stp/>
        <stp>BDP|17853188806132887035</stp>
        <tr r="H27" s="9"/>
        <tr r="F38" s="10"/>
        <tr r="G31" s="15"/>
      </tp>
      <tp t="s">
        <v>#N/A Requesting Data...4200949101</v>
        <stp/>
        <stp>BDP|17645036798829745365</stp>
        <tr r="AC30" s="9"/>
        <tr r="W37" s="14"/>
        <tr r="W37" s="13"/>
        <tr r="Z24" s="15"/>
      </tp>
      <tp t="s">
        <v>#N/A Requesting Data...3893765874</v>
        <stp/>
        <stp>BDP|15927041426844652717</stp>
        <tr r="B20" s="12"/>
      </tp>
      <tp t="s">
        <v>#N/A Requesting Data...4132214588</v>
        <stp/>
        <stp>BDP|11854735416341398222</stp>
        <tr r="B55" s="12"/>
      </tp>
      <tp t="s">
        <v>#N/A Requesting Data...3819337622</v>
        <stp/>
        <stp>BDP|17643395446941783522</stp>
        <tr r="G60" s="9"/>
        <tr r="P191" s="23"/>
        <tr r="P43" s="23"/>
        <tr r="T27" s="22"/>
        <tr r="E62" s="10"/>
        <tr r="F47" s="15"/>
      </tp>
      <tp t="s">
        <v>#N/A Requesting Data...4257455008</v>
        <stp/>
        <stp>BDP|18090628700123817966</stp>
        <tr r="S20" s="14"/>
        <tr r="S25" s="13"/>
      </tp>
      <tp t="s">
        <v>#N/A Requesting Data...4063951945</v>
        <stp/>
        <stp>BDP|12629983964588361157</stp>
        <tr r="G39" s="18"/>
        <tr r="J120" s="19"/>
        <tr r="J36" s="19"/>
        <tr r="K36" s="17"/>
        <tr r="J34" s="30"/>
      </tp>
      <tp t="s">
        <v>#N/A Requesting Data...4194152288</v>
        <stp/>
        <stp>BDP|11523329712374958337</stp>
        <tr r="Y31" s="9"/>
        <tr r="U4" s="15"/>
      </tp>
      <tp t="s">
        <v>#N/A Requesting Data...4067496087</v>
        <stp/>
        <stp>BDP|15941736275245133413</stp>
        <tr r="AC10" s="9"/>
        <tr r="W7" s="14"/>
        <tr r="W9" s="13"/>
        <tr r="Z32" s="15"/>
      </tp>
      <tp t="s">
        <v>#N/A Requesting Data...3866692783</v>
        <stp/>
        <stp>BDP|17852616604071675443</stp>
        <tr r="P87" s="9"/>
      </tp>
      <tp t="s">
        <v>#N/A Requesting Data...3903206648</v>
        <stp/>
        <stp>BDP|15948226133644488425</stp>
        <tr r="C5" s="27"/>
      </tp>
      <tp t="s">
        <v>#N/A Requesting Data...3887696039</v>
        <stp/>
        <stp>BDP|14950571021221718668</stp>
        <tr r="AA16" s="12"/>
      </tp>
      <tp t="s">
        <v>#N/A Requesting Data...4263337630</v>
        <stp/>
        <stp>BDP|12090821464258105094</stp>
        <tr r="AC36" s="9"/>
        <tr r="W34" s="14"/>
        <tr r="W40" s="13"/>
        <tr r="Z14" s="15"/>
      </tp>
      <tp t="s">
        <v>#N/A Requesting Data...3900103079</v>
        <stp/>
        <stp>BDP|17637836705639623282</stp>
        <tr r="J32" s="12"/>
      </tp>
      <tp t="s">
        <v>#N/A Requesting Data...4162875395</v>
        <stp/>
        <stp>BDP|18276998441956074746</stp>
        <tr r="E10" s="18"/>
        <tr r="H20" s="19"/>
        <tr r="H92" s="19"/>
        <tr r="I6" s="17"/>
        <tr r="G122" s="23"/>
        <tr r="G201" s="23"/>
        <tr r="G93" s="22"/>
        <tr r="G94" s="22"/>
        <tr r="H10" s="22"/>
        <tr r="H127" s="22"/>
        <tr r="H86" s="22"/>
        <tr r="E25" s="10"/>
        <tr r="E7" s="12"/>
        <tr r="E33" s="28"/>
        <tr r="E34" s="28"/>
      </tp>
      <tp t="s">
        <v>#N/A Requesting Data...4151610588</v>
        <stp/>
        <stp>BDP|13554060213865161302</stp>
        <tr r="X48" s="14"/>
        <tr r="X32" s="13"/>
      </tp>
      <tp t="s">
        <v>#N/A Requesting Data...3995682630</v>
        <stp/>
        <stp>BDP|15897410914167502396</stp>
        <tr r="H40" s="9"/>
        <tr r="F40" s="10"/>
        <tr r="G29" s="15"/>
      </tp>
      <tp t="s">
        <v>#N/A Requesting Data...4022303435</v>
        <stp/>
        <stp>BDP|12995712358797760369</stp>
        <tr r="AM35" s="17"/>
      </tp>
      <tp t="s">
        <v>#N/A Requesting Data...4219236514</v>
        <stp/>
        <stp>BDP|13316980586142490488</stp>
        <tr r="L84" s="29"/>
      </tp>
      <tp t="s">
        <v>#N/A Requesting Data...4276981977</v>
        <stp/>
        <stp>BDP|10672436538797928451</stp>
        <tr r="L52" s="29"/>
      </tp>
      <tp t="s">
        <v>#N/A Requesting Data...4099684112</v>
        <stp/>
        <stp>BDP|15599182461807890140</stp>
        <tr r="J14" s="29"/>
      </tp>
      <tp t="s">
        <v>#N/A Requesting Data...3942382316</v>
        <stp/>
        <stp>BDP|16881748663914853776</stp>
        <tr r="T36" s="12"/>
      </tp>
      <tp t="s">
        <v>#N/A Requesting Data...4127147710</v>
        <stp/>
        <stp>BDP|17258698229513372416</stp>
        <tr r="AH15" s="12"/>
      </tp>
      <tp t="s">
        <v>#N/A Requesting Data...3961325194</v>
        <stp/>
        <stp>BDP|10621677421144692460</stp>
        <tr r="L31" s="22"/>
        <tr r="I28" s="12"/>
      </tp>
      <tp t="s">
        <v>#N/A Requesting Data...4176926249</v>
        <stp/>
        <stp>BDP|11707004122123273472</stp>
        <tr r="L29" s="29"/>
      </tp>
      <tp t="s">
        <v>#N/A Requesting Data...4221678747</v>
        <stp/>
        <stp>BDP|15861165309647020771</stp>
        <tr r="Q80" s="29"/>
      </tp>
      <tp t="s">
        <v>#N/A Requesting Data...4078479776</v>
        <stp/>
        <stp>BDP|10040616214673739019</stp>
        <tr r="AD30" s="9"/>
        <tr r="X37" s="14"/>
        <tr r="X37" s="13"/>
        <tr r="AA24" s="15"/>
      </tp>
      <tp t="s">
        <v>#N/A Requesting Data...4142863281</v>
        <stp/>
        <stp>BDP|12947670919707007640</stp>
        <tr r="C50" s="29"/>
      </tp>
      <tp t="s">
        <v>#N/A Requesting Data...4245835303</v>
        <stp/>
        <stp>BDP|10126150370911396347</stp>
        <tr r="AN21" s="17"/>
      </tp>
      <tp t="s">
        <v>#N/A Requesting Data...4049598360</v>
        <stp/>
        <stp>BDP|17972709178865755657</stp>
        <tr r="AA34" s="19"/>
        <tr r="AI39" s="17"/>
        <tr r="X11" s="30"/>
      </tp>
      <tp t="s">
        <v>#N/A Requesting Data...3947519700</v>
        <stp/>
        <stp>BDP|10215109903042225713</stp>
        <tr r="G6" s="18"/>
        <tr r="J9" s="19"/>
        <tr r="J90" s="19"/>
        <tr r="K4" s="17"/>
        <tr r="G13" s="10"/>
        <tr r="J9" s="30"/>
      </tp>
      <tp t="s">
        <v>#N/A Requesting Data...4253781737</v>
        <stp/>
        <stp>BDP|12571438325102151205</stp>
        <tr r="G56" s="9"/>
        <tr r="U88" s="9"/>
        <tr r="V66" s="19"/>
        <tr r="G200" s="23"/>
        <tr r="G49" s="23"/>
        <tr r="T12" s="22"/>
        <tr r="E60" s="10"/>
        <tr r="F53" s="15"/>
        <tr r="E14" s="26"/>
        <tr r="E35" s="26"/>
        <tr r="E36" s="26"/>
        <tr r="E53" s="26"/>
        <tr r="E67" s="26"/>
        <tr r="E53" s="28"/>
        <tr r="E59" s="28"/>
      </tp>
      <tp t="s">
        <v>#N/A Requesting Data...4091711118</v>
        <stp/>
        <stp>BDP|17899606929996499172</stp>
        <tr r="AC34" s="9"/>
        <tr r="W52" s="14"/>
        <tr r="W51" s="13"/>
        <tr r="Z19" s="15"/>
      </tp>
      <tp t="s">
        <v>#N/A Requesting Data...4100983530</v>
        <stp/>
        <stp>BDP|18172974066025277606</stp>
        <tr r="X140" s="17"/>
      </tp>
      <tp t="s">
        <v>#N/A Requesting Data...4166391190</v>
        <stp/>
        <stp>BDP|10168726612895136729</stp>
        <tr r="J68" s="29"/>
      </tp>
      <tp t="s">
        <v>#N/A Requesting Data...4049650387</v>
        <stp/>
        <stp>BDP|14828648398078624709</stp>
        <tr r="AG57" s="12"/>
      </tp>
      <tp t="s">
        <v>#N/A Requesting Data...4170668342</v>
        <stp/>
        <stp>BDP|12229728002244800588</stp>
        <tr r="AN14" s="17"/>
      </tp>
      <tp t="s">
        <v>#N/A Requesting Data...4230272560</v>
        <stp/>
        <stp>BDP|16767250616682240340</stp>
        <tr r="G30" s="9"/>
        <tr r="P193" s="23"/>
        <tr r="P45" s="23"/>
        <tr r="T35" s="22"/>
        <tr r="E33" s="10"/>
        <tr r="F24" s="15"/>
      </tp>
      <tp t="s">
        <v>#N/A Requesting Data...4232286407</v>
        <stp/>
        <stp>BDP|16395321127171118223</stp>
        <tr r="AC24" s="9"/>
        <tr r="W19" s="14"/>
        <tr r="W7" s="13"/>
        <tr r="Z22" s="15"/>
      </tp>
      <tp t="s">
        <v>#N/A Requesting Data...4164589783</v>
        <stp/>
        <stp>BDP|15365839603771114872</stp>
        <tr r="I21" s="12"/>
        <tr r="L22" s="22"/>
      </tp>
      <tp t="s">
        <v>#N/A Requesting Data...4240720235</v>
        <stp/>
        <stp>BDP|10539775887833779870</stp>
        <tr r="T16" s="12"/>
      </tp>
      <tp t="s">
        <v>#N/A Requesting Data...4040635808</v>
        <stp/>
        <stp>BDP|11750350336867440250</stp>
        <tr r="Q43" s="29"/>
      </tp>
      <tp t="s">
        <v>#N/A Requesting Data...4185712964</v>
        <stp/>
        <stp>BDP|10847205588477446919</stp>
        <tr r="Y37" s="9"/>
        <tr r="R47" s="14"/>
        <tr r="R11" s="13"/>
        <tr r="U12" s="15"/>
      </tp>
      <tp t="s">
        <v>#N/A Requesting Data...4024277092</v>
        <stp/>
        <stp>BDP|14819444025910970656</stp>
        <tr r="B8" s="17"/>
        <tr r="C12" s="22"/>
        <tr r="X9" s="12"/>
      </tp>
      <tp t="s">
        <v>#N/A Requesting Data...4053537927</v>
        <stp/>
        <stp>BDP|17393504974598682943</stp>
        <tr r="K72" s="29"/>
      </tp>
      <tp t="s">
        <v>#N/A Requesting Data...4033814598</v>
        <stp/>
        <stp>BDP|16972072515675934671</stp>
        <tr r="O41" s="22"/>
      </tp>
      <tp t="s">
        <v>#N/A Requesting Data...4043733727</v>
        <stp/>
        <stp>BDP|11143662721235560462</stp>
        <tr r="AE52" s="12"/>
      </tp>
      <tp t="s">
        <v>#N/A Requesting Data...4037723293</v>
        <stp/>
        <stp>BDP|12261524817014786646</stp>
        <tr r="C33" s="29"/>
      </tp>
      <tp t="s">
        <v>#N/A Requesting Data...4122804400</v>
        <stp/>
        <stp>BDP|14413173326883057019</stp>
        <tr r="AI4" s="12"/>
      </tp>
      <tp t="s">
        <v>#N/A Requesting Data...4112218974</v>
        <stp/>
        <stp>BDP|15699134705066024674</stp>
        <tr r="Y22" s="9"/>
        <tr r="R35" s="14"/>
        <tr r="R43" s="13"/>
        <tr r="U37" s="15"/>
      </tp>
      <tp t="s">
        <v>#N/A Requesting Data...4248509134</v>
        <stp/>
        <stp>BDP|12547201328693297580</stp>
        <tr r="X42" s="22"/>
      </tp>
      <tp t="s">
        <v>#N/A Requesting Data...3879271787</v>
        <stp/>
        <stp>BDP|11842992821498697613</stp>
        <tr r="X45" s="22"/>
      </tp>
      <tp t="s">
        <v>#N/A Requesting Data...4122996035</v>
        <stp/>
        <stp>BDP|12185577991232824883</stp>
        <tr r="E32" s="18"/>
        <tr r="H117" s="19"/>
        <tr r="H14" s="19"/>
        <tr r="I31" s="17"/>
        <tr r="P140" s="23"/>
        <tr r="P224" s="23"/>
        <tr r="H29" s="22"/>
        <tr r="E29" s="12"/>
      </tp>
      <tp t="s">
        <v>#N/A Requesting Data...4072199024</v>
        <stp/>
        <stp>BDP|15458358756922828585</stp>
        <tr r="AA12" s="12"/>
      </tp>
      <tp t="s">
        <v>#N/A Requesting Data...4085344756</v>
        <stp/>
        <stp>BDP|15242019853952073675</stp>
        <tr r="AM33" s="17"/>
      </tp>
      <tp t="s">
        <v>#N/A Requesting Data...4247851236</v>
        <stp/>
        <stp>BDP|10603690608703885195</stp>
        <tr r="U90" s="9"/>
        <tr r="V68" s="19"/>
      </tp>
      <tp t="s">
        <v>#N/A Requesting Data...4157268557</v>
        <stp/>
        <stp>BDP|10210103485459200438</stp>
        <tr r="AD33" s="9"/>
        <tr r="X27" s="14"/>
        <tr r="X16" s="13"/>
        <tr r="AA36" s="15"/>
      </tp>
      <tp t="s">
        <v>#N/A Requesting Data...4154133710</v>
        <stp/>
        <stp>BDP|11399231929255911195</stp>
        <tr r="AC54" s="9"/>
        <tr r="W62" s="14"/>
        <tr r="W69" s="13"/>
        <tr r="Z50" s="15"/>
      </tp>
      <tp t="s">
        <v>#N/A Requesting Data...4076303607</v>
        <stp/>
        <stp>BDP|13721043830555804027</stp>
        <tr r="AM29" s="17"/>
      </tp>
      <tp t="s">
        <v>#N/A Requesting Data...4215837699</v>
        <stp/>
        <stp>BDP|11026455703578647884</stp>
        <tr r="J6" s="27"/>
      </tp>
      <tp t="s">
        <v>#N/A Requesting Data...4256675763</v>
        <stp/>
        <stp>BDP|11291382231644674069</stp>
        <tr r="O13" s="22"/>
      </tp>
      <tp t="s">
        <v>#N/A Requesting Data...4204613755</v>
        <stp/>
        <stp>BDP|14549304913614519785</stp>
        <tr r="J87" s="29"/>
      </tp>
      <tp t="s">
        <v>#N/A Requesting Data...4083852169</v>
        <stp/>
        <stp>BDP|14013200734610920067</stp>
        <tr r="AC61" s="9"/>
        <tr r="W65" s="14"/>
        <tr r="W62" s="13"/>
        <tr r="Z49" s="15"/>
      </tp>
      <tp t="s">
        <v>#N/A Requesting Data...4062706966</v>
        <stp/>
        <stp>BDP|14611218743854642397</stp>
        <tr r="H6" s="27"/>
      </tp>
      <tp t="s">
        <v>#N/A Requesting Data...4187264850</v>
        <stp/>
        <stp>BDP|14334095352484712043</stp>
        <tr r="AA36" s="19"/>
        <tr r="AI36" s="17"/>
        <tr r="X34" s="30"/>
      </tp>
      <tp t="s">
        <v>#N/A Requesting Data...4225445340</v>
        <stp/>
        <stp>BDP|16902270901832600328</stp>
        <tr r="Z34" s="9"/>
        <tr r="S52" s="14"/>
        <tr r="S51" s="13"/>
        <tr r="V19" s="15"/>
      </tp>
      <tp t="s">
        <v>#N/A Requesting Data...4132471986</v>
        <stp/>
        <stp>BDP|17285582879344844416</stp>
        <tr r="J39" s="12"/>
      </tp>
      <tp t="s">
        <v>#N/A Requesting Data...4223162686</v>
        <stp/>
        <stp>BDP|13298849580784828249</stp>
        <tr r="S51" s="14"/>
        <tr r="S45" s="13"/>
      </tp>
      <tp t="s">
        <v>#N/A Requesting Data...4248354942</v>
        <stp/>
        <stp>BDP|14528102966895077393</stp>
        <tr r="Q83" s="29"/>
      </tp>
      <tp t="s">
        <v>#N/A Requesting Data...4221139004</v>
        <stp/>
        <stp>BDP|12448682870170430624</stp>
        <tr r="R72" s="14"/>
        <tr r="R65" s="13"/>
      </tp>
      <tp t="s">
        <v>#N/A Requesting Data...4122557360</v>
        <stp/>
        <stp>BDP|16542361200574684492</stp>
        <tr r="K20" s="29"/>
      </tp>
      <tp t="s">
        <v>#N/A Requesting Data...4161891613</v>
        <stp/>
        <stp>BDP|12689769258124299166</stp>
        <tr r="I35" s="9"/>
        <tr r="G45" s="10"/>
        <tr r="H30" s="15"/>
      </tp>
      <tp t="s">
        <v>#N/A Requesting Data...4174435810</v>
        <stp/>
        <stp>BDP|17785686941368707850</stp>
        <tr r="F39" s="18"/>
        <tr r="I120" s="19"/>
        <tr r="I36" s="19"/>
        <tr r="J36" s="17"/>
        <tr r="I34" s="30"/>
      </tp>
      <tp t="s">
        <v>#N/A Requesting Data...4008840467</v>
        <stp/>
        <stp>BDP|12027718121057839549</stp>
        <tr r="I4" s="27"/>
      </tp>
      <tp t="s">
        <v>#N/A Requesting Data...4110939287</v>
        <stp/>
        <stp>BDP|18113957669555615775</stp>
        <tr r="O11" s="22"/>
      </tp>
      <tp t="s">
        <v>#N/A Requesting Data...4111675153</v>
        <stp/>
        <stp>BDP|17692791494698419438</stp>
        <tr r="H33" s="9"/>
        <tr r="F26" s="10"/>
        <tr r="G36" s="15"/>
      </tp>
      <tp t="s">
        <v>#N/A Requesting Data...4248611914</v>
        <stp/>
        <stp>BDP|12827310131467711030</stp>
        <tr r="AI5" s="12"/>
      </tp>
      <tp t="s">
        <v>#N/A Requesting Data...4220685907</v>
        <stp/>
        <stp>BDP|14449636629714461159</stp>
        <tr r="L11" s="29"/>
      </tp>
      <tp t="s">
        <v>#N/A Requesting Data...4291774440</v>
        <stp/>
        <stp>BDP|13211769538760367200</stp>
        <tr r="F20" s="18"/>
        <tr r="I109" s="19"/>
        <tr r="I25" s="19"/>
        <tr r="J17" s="17"/>
        <tr r="I31" s="30"/>
      </tp>
      <tp t="s">
        <v>#N/A Requesting Data...4281727823</v>
        <stp/>
        <stp>BDP|14376574901865210191</stp>
        <tr r="AH6" s="12"/>
      </tp>
      <tp t="s">
        <v>#N/A Requesting Data...4292906235</v>
        <stp/>
        <stp>BDP|11935779924163308270</stp>
        <tr r="L44" s="29"/>
      </tp>
      <tp t="s">
        <v>#N/A Requesting Data...4294620936</v>
        <stp/>
        <stp>BDP|17784576995596237892</stp>
        <tr r="J46" s="29"/>
      </tp>
      <tp t="s">
        <v>#N/A Requesting Data...4254669692</v>
        <stp/>
        <stp>BDP|11441009244478776894</stp>
        <tr r="Y34" s="9"/>
        <tr r="R52" s="14"/>
        <tr r="R51" s="13"/>
        <tr r="U19" s="15"/>
      </tp>
      <tp t="s">
        <v>#N/A Requesting Data...144158781</v>
        <stp/>
        <stp>BDP|17093287827111497355</stp>
        <tr r="AE26" s="12"/>
      </tp>
      <tp t="s">
        <v>#N/A Requesting Data...2034521577</v>
        <stp/>
        <stp>BDP|15363882974586671988</stp>
        <tr r="AE18" s="12"/>
      </tp>
      <tp t="s">
        <v>#N/A Requesting Data...3155308017</v>
        <stp/>
        <stp>BDP|15443546667624764712</stp>
        <tr r="Q87" s="29"/>
      </tp>
      <tp t="s">
        <v>#N/A Requesting Data...4281506409</v>
        <stp/>
        <stp>BDP|15582256967912670607</stp>
        <tr r="AD8" s="9"/>
        <tr r="X15" s="14"/>
        <tr r="X38" s="13"/>
        <tr r="AA7" s="15"/>
      </tp>
      <tp t="s">
        <v>#N/A Requesting Data...4095145835</v>
        <stp/>
        <stp>BDP|11341950016024970884</stp>
        <tr r="AN28" s="17"/>
      </tp>
      <tp t="s">
        <v>#N/A Requesting Data...1504125633</v>
        <stp/>
        <stp>BDP|15512153750072187611</stp>
        <tr r="AB19" s="19"/>
        <tr r="AJ38" s="17"/>
        <tr r="Y27" s="30"/>
      </tp>
      <tp t="s">
        <v>#N/A Requesting Data...4148215596</v>
        <stp/>
        <stp>BDP|10111475448172889765</stp>
        <tr r="AE53" s="12"/>
      </tp>
      <tp t="s">
        <v>#N/A Requesting Data...4168369112</v>
        <stp/>
        <stp>BDP|12954373362844902651</stp>
        <tr r="O23" s="22"/>
      </tp>
      <tp t="s">
        <v>#N/A Requesting Data...3062615742</v>
        <stp/>
        <stp>BDP|10944956136688957732</stp>
        <tr r="L41" s="22"/>
        <tr r="I42" s="12"/>
      </tp>
      <tp t="s">
        <v>#N/A Requesting Data...448842000</v>
        <stp/>
        <stp>BDP|17565029032270752128</stp>
        <tr r="F32" s="18"/>
        <tr r="I117" s="19"/>
        <tr r="I14" s="19"/>
        <tr r="J31" s="17"/>
        <tr r="I26" s="30"/>
      </tp>
      <tp t="s">
        <v>#N/A Requesting Data...592968598</v>
        <stp/>
        <stp>BDP|14460652957462453020</stp>
        <tr r="Y142" s="17"/>
      </tp>
      <tp t="s">
        <v>#N/A Requesting Data...4167074894</v>
        <stp/>
        <stp>BDP|14524694808466562111</stp>
        <tr r="AC40" s="9"/>
        <tr r="W44" s="14"/>
        <tr r="W50" s="13"/>
        <tr r="Z29" s="15"/>
      </tp>
      <tp t="s">
        <v>#N/A Requesting Data...2252451512</v>
        <stp/>
        <stp>BDP|17602812733458124151</stp>
        <tr r="E37" s="18"/>
        <tr r="H121" s="19"/>
        <tr r="H31" s="19"/>
        <tr r="I34" s="17"/>
        <tr r="P131" s="23"/>
        <tr r="P213" s="23"/>
        <tr r="H30" s="22"/>
        <tr r="E34" s="12"/>
      </tp>
      <tp t="s">
        <v>#N/A Requesting Data...1503954934</v>
        <stp/>
        <stp>BDP|16688424426403234630</stp>
        <tr r="L26" s="29"/>
      </tp>
      <tp t="s">
        <v>#N/A Requesting Data...4148435153</v>
        <stp/>
        <stp>BDP|16790385544295183190</stp>
        <tr r="Y18" s="9"/>
      </tp>
      <tp t="s">
        <v>#N/A Requesting Data...3973494323</v>
        <stp/>
        <stp>BDP|15522335134044849489</stp>
        <tr r="K96" s="29"/>
      </tp>
      <tp t="s">
        <v>#N/A Requesting Data...3099204226</v>
        <stp/>
        <stp>BDP|12536339762366518437</stp>
        <tr r="AN37" s="17"/>
      </tp>
      <tp t="s">
        <v>#N/A Requesting Data...3551205795</v>
        <stp/>
        <stp>BDP|15305561000870547522</stp>
        <tr r="AE25" s="12"/>
      </tp>
      <tp t="s">
        <v>#N/A Requesting Data...1797861470</v>
        <stp/>
        <stp>BDP|13589495621104690499</stp>
        <tr r="L65" s="29"/>
      </tp>
      <tp t="s">
        <v>#N/A Requesting Data...4255965403</v>
        <stp/>
        <stp>BDP|13767608746603502769</stp>
        <tr r="AD21" s="9"/>
        <tr r="X29" s="14"/>
        <tr r="X10" s="13"/>
        <tr r="AA21" s="15"/>
      </tp>
      <tp t="s">
        <v>#N/A Requesting Data...3946630595</v>
        <stp/>
        <stp>BDP|11221212460338602875</stp>
        <tr r="F34" s="18"/>
        <tr r="I114" s="19"/>
        <tr r="I7" s="19"/>
        <tr r="J29" s="17"/>
        <tr r="I15" s="30"/>
      </tp>
      <tp t="s">
        <v>#N/A Requesting Data...2651893982</v>
        <stp/>
        <stp>BDP|15492377252751796746</stp>
        <tr r="X129" s="17"/>
      </tp>
      <tp t="s">
        <v>#N/A Requesting Data...3394676981</v>
        <stp/>
        <stp>BDP|16349746856895101451</stp>
        <tr r="AM17" s="17"/>
      </tp>
      <tp t="s">
        <v>#N/A Requesting Data...4159864529</v>
        <stp/>
        <stp>BDP|15003563922805116200</stp>
        <tr r="AD15" s="9"/>
        <tr r="X23" s="14"/>
        <tr r="X41" s="13"/>
        <tr r="AA34" s="15"/>
      </tp>
      <tp t="s">
        <v>#N/A Requesting Data...2917941954</v>
        <stp/>
        <stp>BDP|17782039193379458269</stp>
        <tr r="G11" s="18"/>
        <tr r="J15" s="19"/>
        <tr r="J94" s="19"/>
        <tr r="K8" s="17"/>
        <tr r="J29" s="30"/>
      </tp>
      <tp t="s">
        <v>#N/A Requesting Data...3296198083</v>
        <stp/>
        <stp>BDP|16000938194415378619</stp>
        <tr r="G26" s="18"/>
        <tr r="J108" s="19"/>
        <tr r="J30" s="19"/>
        <tr r="K21" s="17"/>
        <tr r="J19" s="30"/>
      </tp>
      <tp t="s">
        <v>#N/A Requesting Data...680132054</v>
        <stp/>
        <stp>BDP|14701880968036414961</stp>
        <tr r="AB42" s="19"/>
        <tr r="AJ23" s="17"/>
        <tr r="Y7" s="30"/>
      </tp>
      <tp t="s">
        <v>#N/A Requesting Data...4202498821</v>
        <stp/>
        <stp>BDP|13010521645033421462</stp>
        <tr r="G59" s="9"/>
        <tr r="P168" s="23"/>
        <tr r="P21" s="23"/>
        <tr r="T21" s="22"/>
        <tr r="E61" s="10"/>
        <tr r="F55" s="15"/>
      </tp>
      <tp t="s">
        <v>#N/A Requesting Data...4260260402</v>
        <stp/>
        <stp>BDP|13692892656698435388</stp>
        <tr r="AD61" s="9"/>
        <tr r="X65" s="14"/>
        <tr r="X62" s="13"/>
        <tr r="AA49" s="15"/>
      </tp>
      <tp t="s">
        <v>#N/A Requesting Data...4168664364</v>
        <stp/>
        <stp>BDP|10335374946671490327</stp>
        <tr r="T51" s="12"/>
      </tp>
      <tp t="s">
        <v>#N/A Requesting Data...4154549491</v>
        <stp/>
        <stp>BDP|11481393364404532581</stp>
        <tr r="AD25" s="9"/>
        <tr r="X18" s="14"/>
        <tr r="X24" s="13"/>
        <tr r="AA5" s="15"/>
      </tp>
      <tp t="s">
        <v>#N/A Requesting Data...3961542679</v>
        <stp/>
        <stp>BDP|10169938191004793104</stp>
        <tr r="H43" s="9"/>
        <tr r="G40" s="15"/>
      </tp>
      <tp t="s">
        <v>#N/A Requesting Data...4288919604</v>
        <stp/>
        <stp>BDP|10033911292266706304</stp>
        <tr r="U85" s="9"/>
        <tr r="V63" s="19"/>
      </tp>
      <tp t="s">
        <v>#N/A Requesting Data...3225636924</v>
        <stp/>
        <stp>BDP|17004345942705799068</stp>
        <tr r="AE19" s="12"/>
      </tp>
      <tp t="s">
        <v>#N/A Requesting Data...3833678302</v>
        <stp/>
        <stp>BDP|11502357433332138657</stp>
        <tr r="L22" s="29"/>
      </tp>
      <tp t="s">
        <v>#N/A Requesting Data...4217216297</v>
        <stp/>
        <stp>BDP|17427976465269401451</stp>
        <tr r="G27" s="9"/>
        <tr r="G154" s="23"/>
        <tr r="G9" s="23"/>
        <tr r="T34" s="22"/>
        <tr r="E38" s="10"/>
        <tr r="F31" s="15"/>
      </tp>
      <tp t="s">
        <v>#N/A Requesting Data...1808335997</v>
        <stp/>
        <stp>BDP|13577052335224683150</stp>
        <tr r="J23" s="12"/>
      </tp>
      <tp t="s">
        <v>#N/A Requesting Data...1151675192</v>
        <stp/>
        <stp>BDP|16989737787665323989</stp>
        <tr r="J81" s="29"/>
      </tp>
      <tp t="s">
        <v>#N/A Requesting Data...4271199055</v>
        <stp/>
        <stp>BDP|12504070311751237773</stp>
        <tr r="X44" s="22"/>
      </tp>
      <tp t="s">
        <v>#N/A Requesting Data...1201315142</v>
        <stp/>
        <stp>BDP|12862974723548878425</stp>
        <tr r="L55" s="29"/>
      </tp>
      <tp t="s">
        <v>#N/A Requesting Data...422090044</v>
        <stp/>
        <stp>BDP|15437211810081611256</stp>
        <tr r="AM25" s="17"/>
      </tp>
    </main>
    <main first="bofaddin.rtdserver">
      <tp t="s">
        <v>#N/A Requesting Data...4176879871</v>
        <stp/>
        <stp>BDP|3781188155271632</stp>
        <tr r="B12" s="29"/>
      </tp>
      <tp t="s">
        <v>#N/A Requesting Data...3705787526</v>
        <stp/>
        <stp>BDP|4795339775142133</stp>
        <tr r="L73" s="29"/>
      </tp>
    </main>
    <main first="bofaddin.rtdserver">
      <tp t="s">
        <v>#N/A Requesting Data...4190819236</v>
        <stp/>
        <stp>BDP|9815063848994420584</stp>
        <tr r="Y55" s="12"/>
      </tp>
      <tp t="s">
        <v>#N/A Requesting Data...4281563861</v>
        <stp/>
        <stp>BDP|7937590168888651041</stp>
        <tr r="X25" s="22"/>
      </tp>
      <tp t="s">
        <v>#N/A Requesting Data...3230826210</v>
        <stp/>
        <stp>BDP|6957968104702192106</stp>
        <tr r="L36" s="29"/>
      </tp>
      <tp t="s">
        <v>#N/A Requesting Data...1026456369</v>
        <stp/>
        <stp>BDP|2192529643787901832</stp>
        <tr r="B42" s="12"/>
      </tp>
      <tp t="s">
        <v>#N/A Requesting Data...2506725485</v>
        <stp/>
        <stp>BDP|7014886448747368090</stp>
        <tr r="AM31" s="17"/>
      </tp>
      <tp t="s">
        <v>#N/A Requesting Data...3177304267</v>
        <stp/>
        <stp>BDP|3460111729205797901</stp>
        <tr r="AD13" s="12"/>
      </tp>
      <tp t="s">
        <v>#N/A Requesting Data...574598027</v>
        <stp/>
        <stp>BDP|5125650789050664731</stp>
        <tr r="Q74" s="29"/>
      </tp>
      <tp t="s">
        <v>#N/A Requesting Data...4268955297</v>
        <stp/>
        <stp>BDP|6206191273699326531</stp>
        <tr r="Z37" s="9"/>
        <tr r="S47" s="14"/>
        <tr r="S11" s="13"/>
        <tr r="V12" s="15"/>
      </tp>
      <tp t="s">
        <v>#N/A Requesting Data...3949504377</v>
        <stp/>
        <stp>BDP|4465109120408438390</stp>
        <tr r="AE22" s="12"/>
      </tp>
      <tp t="s">
        <v>#N/A Requesting Data...1819861668</v>
        <stp/>
        <stp>BDP|5975267172355324971</stp>
        <tr r="L39" s="29"/>
      </tp>
      <tp t="s">
        <v>#N/A Requesting Data...4068243231</v>
        <stp/>
        <stp>BDP|8332054368760007270</stp>
        <tr r="O6" s="22"/>
      </tp>
      <tp t="s">
        <v>#N/A Requesting Data...4207036191</v>
        <stp/>
        <stp>BDP|3060428151046243889</stp>
        <tr r="R33" s="13"/>
        <tr r="R53" s="14"/>
      </tp>
      <tp t="s">
        <v>#N/A Requesting Data...927068902</v>
        <stp/>
        <stp>BDP|2686333150159592191</stp>
        <tr r="B18" s="12"/>
      </tp>
      <tp t="s">
        <v>#N/A Requesting Data...1574594517</v>
        <stp/>
        <stp>BDP|7607503983252544490</stp>
        <tr r="Q58" s="29"/>
      </tp>
      <tp t="s">
        <v>#N/A Requesting Data...4209730211</v>
        <stp/>
        <stp>BDP|1049886669477843475</stp>
        <tr r="AA37" s="19"/>
        <tr r="AI22" s="17"/>
        <tr r="R39" s="14"/>
        <tr r="R30" s="13"/>
        <tr r="X10" s="30"/>
      </tp>
      <tp t="s">
        <v>#N/A Requesting Data...4203386624</v>
        <stp/>
        <stp>BDP|7052885243187727035</stp>
        <tr r="AC22" s="9"/>
        <tr r="W35" s="14"/>
        <tr r="W43" s="13"/>
        <tr r="Z37" s="15"/>
      </tp>
      <tp t="s">
        <v>#N/A Requesting Data...2631311804</v>
        <stp/>
        <stp>BDP|3524997675364790523</stp>
        <tr r="B44" s="29"/>
      </tp>
      <tp t="s">
        <v>#N/A Requesting Data...4061626052</v>
        <stp/>
        <stp>BDP|8129383825301417443</stp>
        <tr r="AI27" s="12"/>
      </tp>
      <tp t="s">
        <v>#N/A Requesting Data...4064919910</v>
        <stp/>
        <stp>BDP|4676892417527607627</stp>
        <tr r="G36" s="9"/>
        <tr r="P197" s="23"/>
        <tr r="P46" s="23"/>
        <tr r="T40" s="22"/>
        <tr r="E28" s="10"/>
        <tr r="F14" s="15"/>
      </tp>
      <tp t="s">
        <v>#N/A Requesting Data...3817553751</v>
        <stp/>
        <stp>BDP|8173700093203810974</stp>
        <tr r="B14" s="12"/>
      </tp>
      <tp t="s">
        <v>#N/A Requesting Data...3405946093</v>
        <stp/>
        <stp>BDP|9096530046350413437</stp>
        <tr r="P91" s="9"/>
      </tp>
      <tp t="s">
        <v>#N/A Requesting Data...4226528602</v>
        <stp/>
        <stp>BDP|2781678828418219289</stp>
        <tr r="Y24" s="9"/>
        <tr r="R19" s="14"/>
        <tr r="R7" s="13"/>
        <tr r="U22" s="15"/>
      </tp>
      <tp t="s">
        <v>#N/A Requesting Data...4229611224</v>
        <stp/>
        <stp>BDP|1123470360218122751</stp>
        <tr r="Z62" s="9"/>
        <tr r="S68" s="14"/>
        <tr r="S64" s="13"/>
        <tr r="V52" s="15"/>
      </tp>
      <tp t="s">
        <v>#N/A Requesting Data...4256158418</v>
        <stp/>
        <stp>BDP|9874675103861982277</stp>
        <tr r="E54" s="12"/>
      </tp>
      <tp t="s">
        <v>#N/A Requesting Data...4080547614</v>
        <stp/>
        <stp>BDP|9868379364811919101</stp>
        <tr r="B40" s="17"/>
        <tr r="C36" s="22"/>
        <tr r="X40" s="12"/>
      </tp>
      <tp t="s">
        <v>#N/A Requesting Data...1455288035</v>
        <stp/>
        <stp>BDP|7249259867669643650</stp>
        <tr r="AM30" s="17"/>
      </tp>
      <tp t="s">
        <v>#N/A Requesting Data...3895072296</v>
        <stp/>
        <stp>BDP|4711062602738650060</stp>
        <tr r="E15" s="18"/>
        <tr r="H29" s="19"/>
        <tr r="H98" s="19"/>
        <tr r="I12" s="17"/>
        <tr r="P160" s="23"/>
        <tr r="P81" s="23"/>
        <tr r="H13" s="22"/>
        <tr r="E13" s="12"/>
      </tp>
      <tp t="s">
        <v>#N/A Requesting Data...554738379</v>
        <stp/>
        <stp>BDP|2992705059209516553</stp>
        <tr r="Q68" s="29"/>
      </tp>
      <tp t="s">
        <v>#N/A Requesting Data...1212582715</v>
        <stp/>
        <stp>BDP|4987370579465425932</stp>
        <tr r="K18" s="29"/>
      </tp>
      <tp t="s">
        <v>#N/A Requesting Data...2680391132</v>
        <stp/>
        <stp>BDP|9252261149222820155</stp>
        <tr r="AA39" s="19"/>
        <tr r="AI40" s="17"/>
        <tr r="X12" s="30"/>
      </tp>
      <tp t="s">
        <v>#N/A Requesting Data...1898993927</v>
        <stp/>
        <stp>BDP|2525680785440003083</stp>
        <tr r="Q84" s="29"/>
      </tp>
      <tp t="s">
        <v>#N/A Requesting Data...2895582485</v>
        <stp/>
        <stp>BDP|1708104067422418846</stp>
        <tr r="J89" s="29"/>
      </tp>
      <tp t="s">
        <v>#N/A Requesting Data...3046808461</v>
        <stp/>
        <stp>BDP|6783198419398172263</stp>
        <tr r="J10" s="12"/>
      </tp>
      <tp t="s">
        <v>#N/A Requesting Data...4016861431</v>
        <stp/>
        <stp>BDP|1595771590316720520</stp>
        <tr r="I41" s="9"/>
      </tp>
      <tp t="s">
        <v>#N/A Requesting Data...4289448138</v>
        <stp/>
        <stp>BDP|3873725094327122680</stp>
        <tr r="H29" s="9"/>
        <tr r="F37" s="10"/>
        <tr r="G11" s="15"/>
      </tp>
      <tp t="s">
        <v>#N/A Requesting Data...326570400</v>
        <stp/>
        <stp>BDP|5277683039268571416</stp>
        <tr r="J26" s="29"/>
      </tp>
      <tp t="s">
        <v>#N/A Requesting Data...1317742341</v>
        <stp/>
        <stp>BDP|8321425130315188640</stp>
        <tr r="AH22" s="12"/>
      </tp>
      <tp t="s">
        <v>#N/A Requesting Data...4249491797</v>
        <stp/>
        <stp>BDP|9589687801795101698</stp>
        <tr r="U86" s="9"/>
        <tr r="V64" s="19"/>
      </tp>
      <tp t="s">
        <v>#N/A Requesting Data...4251151207</v>
        <stp/>
        <stp>BDP|9722601595358431225</stp>
        <tr r="AC32" s="9"/>
        <tr r="W46" s="14"/>
        <tr r="Z38" s="15"/>
      </tp>
      <tp t="s">
        <v>#N/A Requesting Data...1544633441</v>
        <stp/>
        <stp>BDP|3956265089766189327</stp>
        <tr r="C57" s="29"/>
      </tp>
      <tp t="s">
        <v>#N/A Requesting Data...4223842345</v>
        <stp/>
        <stp>BDP|7778965305070201238</stp>
        <tr r="Y56" s="9"/>
        <tr r="R67" s="14"/>
        <tr r="R59" s="13"/>
        <tr r="U53" s="15"/>
      </tp>
      <tp t="s">
        <v>#N/A Requesting Data...3707713977</v>
        <stp/>
        <stp>BDP|7739457375901354914</stp>
        <tr r="K64" s="29"/>
      </tp>
      <tp t="s">
        <v>#N/A Requesting Data...1898173820</v>
        <stp/>
        <stp>BDP|3730815445862427123</stp>
        <tr r="J85" s="29"/>
      </tp>
      <tp t="s">
        <v>#N/A Requesting Data...4266302370</v>
        <stp/>
        <stp>BDP|9141006804526906398</stp>
        <tr r="X44" s="13"/>
        <tr r="X38" s="14"/>
      </tp>
      <tp t="s">
        <v>#N/A Requesting Data...3080913033</v>
        <stp/>
        <stp>BDP|1645865763190189378</stp>
        <tr r="G16" s="18"/>
        <tr r="J11" s="19"/>
        <tr r="J97" s="19"/>
        <tr r="K13" s="17"/>
        <tr r="J35" s="30"/>
      </tp>
      <tp t="s">
        <v>#N/A Requesting Data...4259394763</v>
        <stp/>
        <stp>BDP|9809811321899667746</stp>
        <tr r="X43" s="14"/>
        <tr r="X18" s="13"/>
      </tp>
      <tp t="s">
        <v>#N/A Requesting Data...4248109065</v>
        <stp/>
        <stp>BDP|7151920054231532789</stp>
        <tr r="AD28" s="9"/>
        <tr r="X49" s="14"/>
        <tr r="X39" s="13"/>
        <tr r="AA8" s="15"/>
      </tp>
      <tp t="s">
        <v>#N/A Requesting Data...4291474589</v>
        <stp/>
        <stp>BDP|9385785960054467157</stp>
        <tr r="T54" s="12"/>
      </tp>
      <tp t="s">
        <v>#N/A Requesting Data...2432545888</v>
        <stp/>
        <stp>BDP|8998426922356245500</stp>
        <tr r="AA6" s="19"/>
        <tr r="AI27" s="17"/>
        <tr r="X25" s="30"/>
      </tp>
      <tp t="s">
        <v>#N/A Requesting Data...4247196849</v>
        <stp/>
        <stp>BDP|7297215369739618775</stp>
        <tr r="AD53" s="12"/>
      </tp>
      <tp t="s">
        <v>#N/A Requesting Data...4287335893</v>
        <stp/>
        <stp>BDP|3973107032784577850</stp>
        <tr r="AD16" s="9"/>
        <tr r="X26" s="14"/>
        <tr r="X21" s="13"/>
        <tr r="AA13" s="15"/>
      </tp>
      <tp t="s">
        <v>#N/A Requesting Data...2579447916</v>
        <stp/>
        <stp>BDP|9231747667322292789</stp>
        <tr r="J78" s="29"/>
      </tp>
      <tp t="s">
        <v>#N/A Requesting Data...2325286027</v>
        <stp/>
        <stp>BDP|4837529182672408641</stp>
        <tr r="AA27" s="12"/>
      </tp>
      <tp t="s">
        <v>#N/A Requesting Data...4210604230</v>
        <stp/>
        <stp>BDP|4715937213627622697</stp>
        <tr r="X141" s="17"/>
      </tp>
      <tp t="s">
        <v>#N/A Requesting Data...3007589317</v>
        <stp/>
        <stp>BDP|3408856473060281188</stp>
        <tr r="B32" s="29"/>
      </tp>
      <tp t="s">
        <v>#N/A Requesting Data...4229410293</v>
        <stp/>
        <stp>BDP|4988435785245644001</stp>
        <tr r="G28" s="9"/>
        <tr r="P171" s="23"/>
        <tr r="P23" s="23"/>
        <tr r="T43" s="22"/>
        <tr r="E204" s="10"/>
        <tr r="E43" s="10"/>
        <tr r="F8" s="15"/>
      </tp>
      <tp t="s">
        <v>#N/A Requesting Data...3252076353</v>
        <stp/>
        <stp>BDP|8540274357403904159</stp>
        <tr r="Q17" s="29"/>
      </tp>
      <tp t="s">
        <v>#N/A Requesting Data...3156617215</v>
        <stp/>
        <stp>BDP|7752660428927730903</stp>
        <tr r="L70" s="29"/>
      </tp>
      <tp t="s">
        <v>#N/A Requesting Data...3982264251</v>
        <stp/>
        <stp>BDP|4166046896612923248</stp>
        <tr r="T38" s="12"/>
      </tp>
      <tp t="s">
        <v>#N/A Requesting Data...3564330695</v>
        <stp/>
        <stp>BDP|5047751327039459483</stp>
        <tr r="L59" s="29"/>
      </tp>
      <tp t="s">
        <v>#N/A Requesting Data...4279074378</v>
        <stp/>
        <stp>BDP|1086002393575840047</stp>
        <tr r="AD57" s="12"/>
      </tp>
      <tp t="s">
        <v>#N/A Requesting Data...4271150962</v>
        <stp/>
        <stp>BDP|9014263737402818766</stp>
        <tr r="H34" s="9"/>
        <tr r="F44" s="10"/>
        <tr r="G19" s="15"/>
      </tp>
      <tp t="s">
        <v>#N/A Requesting Data...1718407052</v>
        <stp/>
        <stp>BDP|9265482561384330270</stp>
        <tr r="AA15" s="12"/>
      </tp>
      <tp t="s">
        <v>#N/A Requesting Data...2707424199</v>
        <stp/>
        <stp>BDP|4195591354279126016</stp>
        <tr r="AA16" s="19"/>
        <tr r="AI20" s="17"/>
        <tr r="X30" s="30"/>
      </tp>
      <tp t="s">
        <v>#N/A Requesting Data...4269888050</v>
        <stp/>
        <stp>BDP|1457623647418532687</stp>
        <tr r="AA55" s="12"/>
      </tp>
      <tp t="s">
        <v>#N/A Requesting Data...4209841506</v>
        <stp/>
        <stp>BDP|5858889321306946453</stp>
        <tr r="E31" s="18"/>
        <tr r="H113" s="19"/>
        <tr r="H6" s="19"/>
        <tr r="I27" s="17"/>
        <tr r="P163" s="23"/>
        <tr r="P83" s="23"/>
        <tr r="H31" s="22"/>
        <tr r="E28" s="12"/>
      </tp>
      <tp t="s">
        <v>#N/A Requesting Data...3801194105</v>
        <stp/>
        <stp>BDP|3392938379769551919</stp>
        <tr r="K5" s="29"/>
      </tp>
      <tp t="s">
        <v>#N/A Requesting Data...2015651076</v>
        <stp/>
        <stp>BDP|9295983151619175176</stp>
        <tr r="J10" s="29"/>
      </tp>
      <tp t="s">
        <v>#N/A Requesting Data...3666551469</v>
        <stp/>
        <stp>BDP|5726915246473547687</stp>
        <tr r="K69" s="29"/>
      </tp>
      <tp t="s">
        <v>#N/A Requesting Data...3198599354</v>
        <stp/>
        <stp>BDP|1870970624013153474</stp>
        <tr r="B42" s="29"/>
      </tp>
      <tp t="s">
        <v>#N/A Requesting Data...4288436790</v>
        <stp/>
        <stp>BDP|8326957179023508873</stp>
        <tr r="I30" s="9"/>
        <tr r="G33" s="10"/>
        <tr r="H24" s="15"/>
      </tp>
      <tp t="s">
        <v>#N/A Requesting Data...4177610982</v>
        <stp/>
        <stp>BDP|8685997486505966126</stp>
        <tr r="E14" s="18"/>
        <tr r="H100" s="19"/>
        <tr r="H24" s="19"/>
        <tr r="I10" s="17"/>
        <tr r="P169" s="23"/>
        <tr r="P94" s="23"/>
        <tr r="G100" s="22"/>
        <tr r="G101" s="22"/>
        <tr r="H129" s="22"/>
        <tr r="H15" s="22"/>
        <tr r="H85" s="22"/>
        <tr r="E34" s="10"/>
        <tr r="E12" s="12"/>
      </tp>
      <tp t="s">
        <v>#N/A Requesting Data...1490868400</v>
        <stp/>
        <stp>BDP|8394579541833343740</stp>
        <tr r="L12" s="22"/>
        <tr r="I9" s="12"/>
      </tp>
      <tp t="s">
        <v>#N/A Requesting Data...4273143031</v>
        <stp/>
        <stp>BDP|3276710288508820912</stp>
        <tr r="Z55" s="9"/>
        <tr r="S63" s="14"/>
        <tr r="S60" s="13"/>
        <tr r="V48" s="15"/>
      </tp>
      <tp t="s">
        <v>#N/A Requesting Data...1609147424</v>
        <stp/>
        <stp>BDP|5755661276568734120</stp>
        <tr r="Y128" s="17"/>
      </tp>
      <tp t="s">
        <v>#N/A Requesting Data...4164562403</v>
        <stp/>
        <stp>BDP|6702378571099629641</stp>
        <tr r="E22" s="18"/>
        <tr r="H101" s="19"/>
        <tr r="H32" s="19"/>
        <tr r="I19" s="17"/>
        <tr r="G134" s="23"/>
        <tr r="G216" s="23"/>
        <tr r="H137" s="22"/>
        <tr r="H18" s="22"/>
        <tr r="E17" s="12"/>
      </tp>
      <tp t="s">
        <v>#N/A Requesting Data...2897336554</v>
        <stp/>
        <stp>BDP|3343737991171386110</stp>
        <tr r="C52" s="29"/>
      </tp>
      <tp t="s">
        <v>#N/A Requesting Data...4294316497</v>
        <stp/>
        <stp>BDP|9444150302182684767</stp>
        <tr r="G17" s="9"/>
        <tr r="P188" s="23"/>
        <tr r="P40" s="23"/>
        <tr r="T22" s="22"/>
        <tr r="F17" s="15"/>
      </tp>
      <tp t="s">
        <v>#N/A Requesting Data...487669289</v>
        <stp/>
        <stp>BDP|5870934588661793872</stp>
        <tr r="J59" s="29"/>
      </tp>
      <tp t="s">
        <v>#N/A Requesting Data...4277368478</v>
        <stp/>
        <stp>BDP|8544326388229438783</stp>
        <tr r="Y36" s="9"/>
        <tr r="R34" s="14"/>
        <tr r="R40" s="13"/>
        <tr r="U14" s="15"/>
      </tp>
      <tp t="s">
        <v>#N/A Requesting Data...2827876705</v>
        <stp/>
        <stp>BDP|6083989767633857778</stp>
        <tr r="L77" s="29"/>
      </tp>
      <tp t="s">
        <v>#N/A Requesting Data...4293950088</v>
        <stp/>
        <stp>BDP|4034321882892737078</stp>
        <tr r="AG21" s="12"/>
      </tp>
      <tp t="s">
        <v>#N/A Requesting Data...3121820165</v>
        <stp/>
        <stp>BDP|2708968921541219529</stp>
        <tr r="C44" s="29"/>
      </tp>
      <tp t="s">
        <v>#N/A Requesting Data...4070663598</v>
        <stp/>
        <stp>BDP|4584570246020417811</stp>
        <tr r="G36" s="10"/>
      </tp>
      <tp t="s">
        <v>#N/A Requesting Data...4183187683</v>
        <stp/>
        <stp>BDP|8352818927996598965</stp>
        <tr r="AI28" s="17"/>
      </tp>
      <tp t="s">
        <v>#N/A Requesting Data...836507948</v>
        <stp/>
        <stp>BDP|7495627191474139102</stp>
        <tr r="AE37" s="12"/>
      </tp>
      <tp t="s">
        <v>#N/A Requesting Data...2230643526</v>
        <stp/>
        <stp>BDP|8295627868692834761</stp>
        <tr r="C8" s="27"/>
      </tp>
      <tp t="s">
        <v>#N/A Requesting Data...2542379210</v>
        <stp/>
        <stp>BDP|8641302945110696230</stp>
        <tr r="AN39" s="17"/>
      </tp>
      <tp t="s">
        <v>#N/A Requesting Data...4132399089</v>
        <stp/>
        <stp>BDP|1115114987171515444</stp>
        <tr r="AE11" s="12"/>
      </tp>
      <tp t="s">
        <v>#N/A Requesting Data...4058892788</v>
        <stp/>
        <stp>BDP|1051823041604350466</stp>
        <tr r="Y138" s="17"/>
      </tp>
      <tp t="s">
        <v>#N/A Requesting Data...4290169863</v>
        <stp/>
        <stp>BDP|8743564865967192132</stp>
        <tr r="O32" s="22"/>
      </tp>
      <tp t="s">
        <v>#N/A Requesting Data...4293824545</v>
        <stp/>
        <stp>BDP|6714586372478857130</stp>
        <tr r="I16" s="9"/>
        <tr r="G24" s="10"/>
        <tr r="H13" s="15"/>
      </tp>
      <tp t="s">
        <v>#N/A Requesting Data...4294397424</v>
        <stp/>
        <stp>BDP|2815844047380586396</stp>
        <tr r="H24" s="9"/>
        <tr r="F19" s="10"/>
        <tr r="G22" s="15"/>
      </tp>
      <tp t="s">
        <v>#N/A Requesting Data...2219419240</v>
        <stp/>
        <stp>BDP|9511254664622447277</stp>
        <tr r="K100" s="29"/>
      </tp>
      <tp t="s">
        <v>#N/A Requesting Data...1139951772</v>
        <stp/>
        <stp>BDP|4541103843235057913</stp>
        <tr r="J49" s="29"/>
      </tp>
      <tp t="s">
        <v>#N/A Requesting Data...2233824678</v>
        <stp/>
        <stp>BDP|9483037130947902094</stp>
        <tr r="J25" s="29"/>
      </tp>
      <tp t="s">
        <v>#N/A Requesting Data...2634676405</v>
        <stp/>
        <stp>BDP|1705558085081844088</stp>
        <tr r="AM5" s="17"/>
        <tr r="W9" s="14"/>
        <tr r="W22" s="13"/>
      </tp>
      <tp t="s">
        <v>#N/A Requesting Data...2209432696</v>
        <stp/>
        <stp>BDP|6044945396078605309</stp>
        <tr r="AI55" s="12"/>
      </tp>
      <tp t="s">
        <v>#N/A Requesting Data...3863233177</v>
        <stp/>
        <stp>BDP|9308195569893008075</stp>
        <tr r="F44" s="18"/>
        <tr r="I128" s="19"/>
        <tr r="I33" s="19"/>
        <tr r="J41" s="17"/>
      </tp>
      <tp t="s">
        <v>#N/A Requesting Data...568131276</v>
        <stp/>
        <stp>BDP|9629330613065297306</stp>
        <tr r="X33" s="22"/>
      </tp>
      <tp t="s">
        <v>#N/A Requesting Data...2846330251</v>
        <stp/>
        <stp>BDP|4801235498533101160</stp>
        <tr r="AD36" s="9"/>
        <tr r="X34" s="14"/>
        <tr r="X40" s="13"/>
        <tr r="AA14" s="15"/>
      </tp>
      <tp t="s">
        <v>#N/A Requesting Data...3224452335</v>
        <stp/>
        <stp>BDP|8894288130304243079</stp>
        <tr r="R25" s="13"/>
        <tr r="R20" s="14"/>
      </tp>
      <tp t="s">
        <v>#N/A Requesting Data...2925424216</v>
        <stp/>
        <stp>BDP|2885298526577063822</stp>
        <tr r="AG20" s="12"/>
      </tp>
      <tp t="s">
        <v>#N/A Requesting Data...487097636</v>
        <stp/>
        <stp>BDP|4649914266111647724</stp>
        <tr r="X17" s="22"/>
      </tp>
      <tp t="s">
        <v>#N/A Requesting Data...198893599</v>
        <stp/>
        <stp>BDP|2907493230090065850</stp>
        <tr r="AI49" s="12"/>
      </tp>
      <tp t="s">
        <v>#N/A Requesting Data...3880312119</v>
        <stp/>
        <stp>BDP|5209580486755100370</stp>
        <tr r="T19" s="12"/>
      </tp>
      <tp t="s">
        <v>#N/A Requesting Data...1356096413</v>
        <stp/>
        <stp>BDP|5363194384764501608</stp>
        <tr r="J70" s="29"/>
      </tp>
      <tp t="s">
        <v>#N/A Requesting Data...2148530367</v>
        <stp/>
        <stp>BDP|1290958623130863472</stp>
        <tr r="AB6" s="19"/>
        <tr r="AJ27" s="17"/>
        <tr r="Y25" s="30"/>
      </tp>
      <tp t="s">
        <v>#N/A Requesting Data...122413673</v>
        <stp/>
        <stp>BDP|8790384504924775175</stp>
        <tr r="Z28" s="9"/>
        <tr r="S49" s="14"/>
        <tr r="S39" s="13"/>
        <tr r="V8" s="15"/>
      </tp>
      <tp t="s">
        <v>#N/A Requesting Data...1483068253</v>
        <stp/>
        <stp>BDP|6801618491130536752</stp>
        <tr r="Q50" s="29"/>
      </tp>
      <tp t="s">
        <v>#N/A Requesting Data...1633210266</v>
        <stp/>
        <stp>BDP|3141015897610910466</stp>
        <tr r="I6" s="9"/>
        <tr r="G8" s="10"/>
        <tr r="H26" s="15"/>
      </tp>
      <tp t="s">
        <v>#N/A Requesting Data...1734260962</v>
        <stp/>
        <stp>BDP|6288395196287712534</stp>
        <tr r="AC55" s="9"/>
        <tr r="W63" s="14"/>
        <tr r="W60" s="13"/>
        <tr r="Z48" s="15"/>
      </tp>
      <tp t="s">
        <v>#N/A Requesting Data...1483108371</v>
        <stp/>
        <stp>BDP|3435470968867461862</stp>
        <tr r="J22" s="12"/>
      </tp>
      <tp t="s">
        <v>#N/A Requesting Data...2624322576</v>
        <stp/>
        <stp>BDP|2323386135934609813</stp>
        <tr r="AC56" s="9"/>
        <tr r="W67" s="14"/>
        <tr r="W59" s="13"/>
        <tr r="Z53" s="15"/>
      </tp>
      <tp t="s">
        <v>#N/A Requesting Data...4120903527</v>
        <stp/>
        <stp>BDP|5940840294873496944</stp>
        <tr r="I5" s="9"/>
        <tr r="G6" s="10"/>
        <tr r="H33" s="15"/>
      </tp>
      <tp t="s">
        <v>#N/A Requesting Data...3495097475</v>
        <stp/>
        <stp>BDP|6603300754826877838</stp>
        <tr r="AC23" s="9"/>
        <tr r="W33" s="14"/>
        <tr r="W14" s="13"/>
        <tr r="Z27" s="15"/>
      </tp>
      <tp t="s">
        <v>#N/A Requesting Data...254182667</v>
        <stp/>
        <stp>BDP|5566355223812571887</stp>
        <tr r="X43" s="22"/>
      </tp>
      <tp t="s">
        <v>#N/A Requesting Data...1279964385</v>
        <stp/>
        <stp>BDP|4867530155233491941</stp>
        <tr r="J53" s="12"/>
      </tp>
      <tp t="s">
        <v>#N/A Requesting Data...3772249296</v>
        <stp/>
        <stp>BDP|1720669886295838415</stp>
        <tr r="Y25" s="9"/>
        <tr r="R18" s="14"/>
        <tr r="R24" s="13"/>
        <tr r="U5" s="15"/>
      </tp>
      <tp t="s">
        <v>#N/A Requesting Data...2640401938</v>
        <stp/>
        <stp>BDP|4446530599647573155</stp>
        <tr r="AD37" s="9"/>
        <tr r="X47" s="14"/>
        <tr r="X11" s="13"/>
        <tr r="AA12" s="15"/>
      </tp>
      <tp t="s">
        <v>#N/A Requesting Data...680374002</v>
        <stp/>
        <stp>BDP|8534265473115823665</stp>
        <tr r="Y15" s="12"/>
      </tp>
      <tp t="s">
        <v>#N/A Requesting Data...1118132098</v>
        <stp/>
        <stp>BDP|8682374311057697380</stp>
        <tr r="S48" s="13"/>
        <tr r="S40" s="14"/>
      </tp>
      <tp t="s">
        <v>#N/A Requesting Data...1500113818</v>
        <stp/>
        <stp>BDP|9549975499825325273</stp>
        <tr r="AE16" s="12"/>
      </tp>
      <tp t="s">
        <v>#N/A Requesting Data...3722742069</v>
        <stp/>
        <stp>BDP|5435161329309333179</stp>
        <tr r="C79" s="29"/>
      </tp>
      <tp t="s">
        <v>#N/A Requesting Data...1856273872</v>
        <stp/>
        <stp>BDP|6106418386130022495</stp>
        <tr r="AB35" s="19"/>
        <tr r="AJ7" s="17"/>
        <tr r="S25" s="14"/>
        <tr r="S27" s="13"/>
        <tr r="Y20" s="30"/>
      </tp>
      <tp t="s">
        <v>#N/A Requesting Data...4124312373</v>
        <stp/>
        <stp>BDP|4350858442172349489</stp>
        <tr r="G21" s="18"/>
        <tr r="J110" s="19"/>
        <tr r="J5" s="19"/>
        <tr r="K18" s="17"/>
        <tr r="J8" s="30"/>
      </tp>
      <tp t="s">
        <v>#N/A Requesting Data...3314854162</v>
        <stp/>
        <stp>BDP|2500039435488504798</stp>
        <tr r="Q18" s="29"/>
      </tp>
      <tp t="s">
        <v>#N/A Requesting Data...858728588</v>
        <stp/>
        <stp>BDP|8186234528651369754</stp>
        <tr r="H17" s="9"/>
        <tr r="G17" s="15"/>
      </tp>
      <tp t="s">
        <v>#N/A Requesting Data...3341074542</v>
        <stp/>
        <stp>BDP|6476191688852874312</stp>
        <tr r="J26" s="12"/>
      </tp>
      <tp t="s">
        <v>#N/A Requesting Data...522324118</v>
        <stp/>
        <stp>BDP|8279723125506898517</stp>
        <tr r="AC28" s="9"/>
        <tr r="W49" s="14"/>
        <tr r="W39" s="13"/>
        <tr r="Z8" s="15"/>
      </tp>
      <tp t="s">
        <v>#N/A Requesting Data...2320959016</v>
        <stp/>
        <stp>BDP|3615431153238879426</stp>
        <tr r="AC5" s="9"/>
        <tr r="W4" s="14"/>
        <tr r="W26" s="13"/>
        <tr r="Z33" s="15"/>
      </tp>
      <tp t="s">
        <v>#N/A Requesting Data...2690163424</v>
        <stp/>
        <stp>BDP|2208286161709289143</stp>
        <tr r="J54" s="29"/>
      </tp>
      <tp t="s">
        <v>#N/A Requesting Data...3341441194</v>
        <stp/>
        <stp>BDP|3356686376135396937</stp>
        <tr r="Y29" s="9"/>
        <tr r="R41" s="14"/>
        <tr r="R42" s="13"/>
        <tr r="U11" s="15"/>
      </tp>
      <tp t="s">
        <v>#N/A Requesting Data...2712600272</v>
        <stp/>
        <stp>BDP|6061894705815177503</stp>
        <tr r="AC60" s="9"/>
        <tr r="W70" s="14"/>
        <tr r="W67" s="13"/>
        <tr r="Z47" s="15"/>
      </tp>
      <tp t="s">
        <v>#N/A Requesting Data...4252669275</v>
        <stp/>
        <stp>BDP|4863735045428315100</stp>
        <tr r="H54" s="9"/>
        <tr r="F54" s="10"/>
        <tr r="G50" s="15"/>
      </tp>
      <tp t="s">
        <v>#N/A Requesting Data...3075700609</v>
        <stp/>
        <stp>BDP|3149820179504005677</stp>
        <tr r="I27" s="9"/>
        <tr r="G38" s="10"/>
        <tr r="H31" s="15"/>
      </tp>
      <tp t="s">
        <v>#N/A Requesting Data...3297244889</v>
        <stp/>
        <stp>BDP|6126572137668484675</stp>
        <tr r="F41" s="18"/>
        <tr r="I124" s="19"/>
        <tr r="I34" s="19"/>
        <tr r="J39" s="17"/>
        <tr r="I11" s="30"/>
      </tp>
      <tp t="s">
        <v>#N/A Requesting Data...1139882581</v>
        <stp/>
        <stp>BDP|9731002764346152708</stp>
        <tr r="B20" s="29"/>
      </tp>
      <tp t="s">
        <v>#N/A Requesting Data...1524738328</v>
        <stp/>
        <stp>BDP|5598618541108381147</stp>
        <tr r="E7" s="18"/>
        <tr r="H28" s="19"/>
        <tr r="H91" s="19"/>
        <tr r="I5" s="17"/>
        <tr r="G169" s="23"/>
        <tr r="G95" s="23"/>
        <tr r="H7" s="22"/>
        <tr r="H81" s="22"/>
        <tr r="E5" s="12"/>
      </tp>
      <tp t="s">
        <v>#N/A Requesting Data...651127524</v>
        <stp/>
        <stp>BDP|2269788490515104798</stp>
        <tr r="Z38" s="9"/>
      </tp>
      <tp t="s">
        <v>#N/A Requesting Data...1724540434</v>
        <stp/>
        <stp>BDP|7365886667521646686</stp>
        <tr r="AH7" s="12"/>
      </tp>
      <tp t="s">
        <v>#N/A Requesting Data...2025077296</v>
        <stp/>
        <stp>BDP|2016850697939404453</stp>
        <tr r="AC12" s="9"/>
        <tr r="W8" s="14"/>
        <tr r="W19" s="13"/>
        <tr r="Z20" s="15"/>
      </tp>
      <tp t="s">
        <v>#N/A Requesting Data...4117700783</v>
        <stp/>
        <stp>BDP|1833450989960313341</stp>
        <tr r="B19" s="12"/>
      </tp>
      <tp t="s">
        <v>#N/A Requesting Data...1322428642</v>
        <stp/>
        <stp>BDP|7627408460528455317</stp>
        <tr r="B18" s="29"/>
      </tp>
      <tp t="s">
        <v>#N/A Requesting Data...2002037152</v>
        <stp/>
        <stp>BDP|2816381384692400536</stp>
        <tr r="Y129" s="17"/>
      </tp>
      <tp t="s">
        <v>#N/A Requesting Data...1550725090</v>
        <stp/>
        <stp>BDP|4782844023335857583</stp>
        <tr r="AH40" s="12"/>
      </tp>
      <tp t="s">
        <v>#N/A Requesting Data...2884446928</v>
        <stp/>
        <stp>BDP|3837759988311317364</stp>
        <tr r="Y133" s="17"/>
      </tp>
      <tp t="s">
        <v>#N/A Requesting Data...1726813332</v>
        <stp/>
        <stp>BDP|8637568221130922195</stp>
        <tr r="AB41" s="19"/>
        <tr r="AJ42" s="17"/>
        <tr r="Y23" s="30"/>
      </tp>
      <tp t="s">
        <v>#N/A Requesting Data...2601324248</v>
        <stp/>
        <stp>BDP|9429468323760159116</stp>
        <tr r="AD59" s="9"/>
        <tr r="X69" s="14"/>
        <tr r="X68" s="13"/>
        <tr r="AA55" s="15"/>
      </tp>
      <tp t="s">
        <v>#N/A Requesting Data...4124178999</v>
        <stp/>
        <stp>BDP|5334151437919993090</stp>
        <tr r="F24" s="18"/>
        <tr r="I115" s="19"/>
        <tr r="I42" s="19"/>
        <tr r="J23" s="17"/>
        <tr r="I7" s="30"/>
      </tp>
      <tp t="s">
        <v>#N/A Requesting Data...3903299792</v>
        <stp/>
        <stp>BDP|9732690355010331496</stp>
        <tr r="Q97" s="29"/>
      </tp>
      <tp t="s">
        <v>#N/A Requesting Data...3702461090</v>
        <stp/>
        <stp>BDP|9853766849574326027</stp>
        <tr r="E41" s="18"/>
        <tr r="H124" s="19"/>
        <tr r="H34" s="19"/>
        <tr r="I39" s="17"/>
        <tr r="P175" s="23"/>
        <tr r="P96" s="23"/>
        <tr r="H38" s="22"/>
        <tr r="E37" s="12"/>
      </tp>
      <tp t="s">
        <v>#N/A Requesting Data...1105540801</v>
        <stp/>
        <stp>BDP|6771425437306524916</stp>
        <tr r="AA40" s="12"/>
      </tp>
      <tp t="s">
        <v>#N/A Requesting Data...1387999835</v>
        <stp/>
        <stp>BDP|2971846085945852969</stp>
        <tr r="Y42" s="9"/>
        <tr r="R54" s="14"/>
        <tr r="R29" s="13"/>
        <tr r="U23" s="15"/>
      </tp>
      <tp t="s">
        <v>#N/A Requesting Data...4204682129</v>
        <stp/>
        <stp>BDP|1455147703709003751</stp>
        <tr r="O8" s="22"/>
      </tp>
      <tp t="s">
        <v>#N/A Requesting Data...3723864917</v>
        <stp/>
        <stp>BDP|2431098728976049832</stp>
        <tr r="J56" s="12"/>
      </tp>
      <tp t="s">
        <v>#N/A Requesting Data...947702720</v>
        <stp/>
        <stp>BDP|4749212691103277220</stp>
        <tr r="L95" s="29"/>
      </tp>
      <tp t="s">
        <v>#N/A Requesting Data...4181972145</v>
        <stp/>
        <stp>BDP|9812988898640951769</stp>
        <tr r="L6" s="22"/>
        <tr r="I4" s="12"/>
      </tp>
      <tp t="s">
        <v>#N/A Requesting Data...916530399</v>
        <stp/>
        <stp>BDP|8712944063149073076</stp>
        <tr r="Z10" s="9"/>
        <tr r="S7" s="14"/>
        <tr r="S9" s="13"/>
        <tr r="V32" s="15"/>
      </tp>
      <tp t="s">
        <v>#N/A Requesting Data...3627050594</v>
        <stp/>
        <stp>BDP|9314657045540030569</stp>
        <tr r="L76" s="29"/>
      </tp>
      <tp t="s">
        <v>#N/A Requesting Data...4102040004</v>
        <stp/>
        <stp>BDP|7246829728082856154</stp>
        <tr r="X34" s="22"/>
      </tp>
      <tp t="s">
        <v>#N/A Requesting Data...2146321470</v>
        <stp/>
        <stp>BDP|7423052384017419641</stp>
        <tr r="K74" s="29"/>
      </tp>
      <tp t="s">
        <v>#N/A Requesting Data...4131500561</v>
        <stp/>
        <stp>BDP|1709563371584372894</stp>
        <tr r="L15" s="29"/>
      </tp>
      <tp t="s">
        <v>#N/A Requesting Data...1262141591</v>
        <stp/>
        <stp>BDP|7871468483870243457</stp>
        <tr r="J63" s="29"/>
      </tp>
      <tp t="s">
        <v>#N/A Requesting Data...1498918790</v>
        <stp/>
        <stp>BDP|5041265447794324882</stp>
        <tr r="AE54" s="12"/>
      </tp>
      <tp t="s">
        <v>#N/A Requesting Data...1785733352</v>
        <stp/>
        <stp>BDP|9805266573843118073</stp>
        <tr r="K61" s="29"/>
      </tp>
      <tp t="s">
        <v>#N/A Requesting Data...2301918414</v>
        <stp/>
        <stp>BDP|8278725699958093125</stp>
        <tr r="Q40" s="29"/>
      </tp>
      <tp t="s">
        <v>#N/A Requesting Data...3921847980</v>
        <stp/>
        <stp>BDP|6597884640773622631</stp>
        <tr r="G24" s="9"/>
        <tr r="G172" s="23"/>
        <tr r="G24" s="23"/>
        <tr r="T33" s="22"/>
        <tr r="E19" s="10"/>
        <tr r="F22" s="15"/>
        <tr r="E13" s="26"/>
        <tr r="E40" s="26"/>
        <tr r="E10" s="28"/>
        <tr r="E52" s="28"/>
        <tr r="E60" s="28"/>
      </tp>
      <tp t="s">
        <v>#N/A Requesting Data...2587190730</v>
        <stp/>
        <stp>BDP|3884819726686407039</stp>
        <tr r="F35" s="18"/>
        <tr r="I38" s="19"/>
        <tr r="J32" s="17"/>
      </tp>
      <tp t="s">
        <v>#N/A Requesting Data...1271021466</v>
        <stp/>
        <stp>BDP|1260867769720446017</stp>
        <tr r="L23" s="22"/>
        <tr r="I26" s="12"/>
      </tp>
      <tp t="s">
        <v>#N/A Requesting Data...1642541013</v>
        <stp/>
        <stp>BDP|1078866074057818624</stp>
        <tr r="AM24" s="17"/>
        <tr r="W45" s="14"/>
      </tp>
      <tp t="s">
        <v>#N/A Requesting Data...4060465948</v>
        <stp/>
        <stp>BDP|7976437237096539918</stp>
        <tr r="B15" s="29"/>
      </tp>
      <tp t="s">
        <v>#N/A Requesting Data...3606604622</v>
        <stp/>
        <stp>BDP|3314501804789887060</stp>
        <tr r="Y20" s="12"/>
      </tp>
      <tp t="s">
        <v>#N/A Requesting Data...847831968</v>
        <stp/>
        <stp>BDP|7743950639753137131</stp>
        <tr r="Y11" s="9"/>
        <tr r="R11" s="14"/>
        <tr r="R13" s="13"/>
        <tr r="U16" s="15"/>
      </tp>
      <tp t="s">
        <v>#N/A Requesting Data...1515370209</v>
        <stp/>
        <stp>BDP|1470544799893474134</stp>
        <tr r="AD28" s="12"/>
      </tp>
      <tp t="s">
        <v>#N/A Requesting Data...1051355544</v>
        <stp/>
        <stp>BDP|9875234509123583794</stp>
        <tr r="C64" s="29"/>
      </tp>
      <tp t="s">
        <v>#N/A Requesting Data...1117352042</v>
        <stp/>
        <stp>BDP|3529080184357480337</stp>
        <tr r="L9" s="29"/>
      </tp>
      <tp t="s">
        <v>#N/A Requesting Data...1920454196</v>
        <stp/>
        <stp>BDP|4345382374187948881</stp>
        <tr r="Q53" s="29"/>
      </tp>
      <tp t="s">
        <v>#N/A Requesting Data...2506144916</v>
        <stp/>
        <stp>BDP|8538039837960643488</stp>
        <tr r="AI16" s="12"/>
      </tp>
      <tp t="s">
        <v>#N/A Requesting Data...4215508408</v>
        <stp/>
        <stp>BDP|5785388805621688830</stp>
        <tr r="G40" s="9"/>
        <tr r="P15" s="23"/>
        <tr r="P164" s="23"/>
        <tr r="T50" s="22"/>
        <tr r="E40" s="10"/>
        <tr r="F29" s="15"/>
        <tr r="E56" s="26"/>
        <tr r="E58" s="28"/>
      </tp>
      <tp t="s">
        <v>#N/A Requesting Data...838440603</v>
        <stp/>
        <stp>BDP|2897016330507378964</stp>
        <tr r="AM6" s="17"/>
        <tr r="W24" s="14"/>
        <tr r="W5" s="13"/>
      </tp>
      <tp t="s">
        <v>#N/A Requesting Data...2962167361</v>
        <stp/>
        <stp>BDP|5923844526068360842</stp>
        <tr r="K83" s="29"/>
      </tp>
      <tp t="s">
        <v>#N/A Requesting Data...1869141105</v>
        <stp/>
        <stp>BDP|9387291403125604129</stp>
        <tr r="AI36" s="12"/>
      </tp>
      <tp t="s">
        <v>#N/A Requesting Data...4284276494</v>
        <stp/>
        <stp>BDP|4247943861383307765</stp>
        <tr r="I51" s="12"/>
      </tp>
      <tp t="s">
        <v>#N/A Requesting Data...4238781915</v>
        <stp/>
        <stp>BDP|2640856653993661357</stp>
        <tr r="I8" s="9"/>
        <tr r="G16" s="10"/>
        <tr r="H7" s="15"/>
      </tp>
      <tp t="s">
        <v>#N/A Requesting Data...4188178973</v>
        <stp/>
        <stp>BDP|5913645947958121083</stp>
        <tr r="G10" s="18"/>
        <tr r="J20" s="19"/>
        <tr r="J92" s="19"/>
        <tr r="K6" s="17"/>
        <tr r="G25" s="10"/>
        <tr r="J40" s="30"/>
      </tp>
      <tp t="s">
        <v>#N/A Requesting Data...1174224654</v>
        <stp/>
        <stp>BDP|6030879439291846350</stp>
        <tr r="B57" s="12"/>
      </tp>
      <tp t="s">
        <v>#N/A Requesting Data...1359260581</v>
        <stp/>
        <stp>BDP|1640897804311189798</stp>
        <tr r="AH35" s="12"/>
      </tp>
      <tp t="s">
        <v>#N/A Requesting Data...789167059</v>
        <stp/>
        <stp>BDP|1327933352150440251</stp>
        <tr r="Y58" s="9"/>
        <tr r="R64" s="14"/>
        <tr r="R61" s="13"/>
        <tr r="U51" s="15"/>
      </tp>
      <tp t="s">
        <v>#N/A Requesting Data...934207176</v>
        <stp/>
        <stp>BDP|5293416284807065145</stp>
        <tr r="AI17" s="12"/>
      </tp>
      <tp t="s">
        <v>#N/A Requesting Data...1222229971</v>
        <stp/>
        <stp>BDP|8829277907355345084</stp>
        <tr r="AN4" s="17"/>
        <tr r="X10" s="14"/>
        <tr r="X17" s="13"/>
      </tp>
      <tp t="s">
        <v>#N/A Requesting Data...3629442483</v>
        <stp/>
        <stp>BDP|2627414302179389060</stp>
        <tr r="L33" s="22"/>
        <tr r="I27" s="12"/>
      </tp>
      <tp t="s">
        <v>#N/A Requesting Data...910907674</v>
        <stp/>
        <stp>BDP|3843703052029812724</stp>
        <tr r="AA35" s="12"/>
      </tp>
      <tp t="s">
        <v>#N/A Requesting Data...1478474210</v>
        <stp/>
        <stp>BDP|2001945011655120045</stp>
        <tr r="G32" s="18"/>
        <tr r="J117" s="19"/>
        <tr r="J14" s="19"/>
        <tr r="K31" s="17"/>
        <tr r="J26" s="30"/>
      </tp>
      <tp t="s">
        <v>#N/A Requesting Data...4210439756</v>
        <stp/>
        <stp>BDP|2999640528000640939</stp>
        <tr r="Y54" s="9"/>
        <tr r="R62" s="14"/>
        <tr r="R69" s="13"/>
        <tr r="U50" s="15"/>
      </tp>
      <tp t="s">
        <v>#N/A Requesting Data...4202433050</v>
        <stp/>
        <stp>BDP|2127599367736604887</stp>
        <tr r="AA23" s="12"/>
      </tp>
      <tp t="s">
        <v>#N/A Requesting Data...3074036454</v>
        <stp/>
        <stp>BDP|6129000790828159813</stp>
        <tr r="Y55" s="9"/>
        <tr r="R63" s="14"/>
        <tr r="R60" s="13"/>
        <tr r="U48" s="15"/>
      </tp>
      <tp t="s">
        <v>#N/A Requesting Data...2562998547</v>
        <stp/>
        <stp>BDP|3295133732648620648</stp>
        <tr r="T4" s="12"/>
      </tp>
      <tp t="s">
        <v>#N/A Requesting Data...2289326319</v>
        <stp/>
        <stp>BDP|6347023789805759493</stp>
        <tr r="E40" s="18"/>
        <tr r="H125" s="19"/>
        <tr r="H23" s="19"/>
        <tr r="I37" s="17"/>
        <tr r="P141" s="23"/>
        <tr r="P225" s="23"/>
        <tr r="H39" s="22"/>
        <tr r="E38" s="12"/>
      </tp>
      <tp t="s">
        <v>#N/A Requesting Data...2140076653</v>
        <stp/>
        <stp>BDP|7132948835712523036</stp>
        <tr r="Z12" s="9"/>
        <tr r="S8" s="14"/>
        <tr r="S19" s="13"/>
        <tr r="V20" s="15"/>
      </tp>
      <tp t="s">
        <v>#N/A Requesting Data...3703119372</v>
        <stp/>
        <stp>BDP|2082836065810089305</stp>
        <tr r="AD26" s="12"/>
      </tp>
      <tp t="s">
        <v>#N/A Requesting Data...4209971035</v>
        <stp/>
        <stp>BDP|5838622343258766089</stp>
        <tr r="C13" s="27"/>
      </tp>
      <tp t="s">
        <v>#N/A Requesting Data...3519562253</v>
        <stp/>
        <stp>BDP|5075747735039531722</stp>
        <tr r="AA53" s="12"/>
      </tp>
      <tp t="s">
        <v>#N/A Requesting Data...4241090990</v>
        <stp/>
        <stp>BDP|3316706804698859386</stp>
        <tr r="AD23" s="12"/>
      </tp>
      <tp t="s">
        <v>#N/A Requesting Data...3492296907</v>
        <stp/>
        <stp>BDP|5533872363231025567</stp>
        <tr r="AN6" s="17"/>
        <tr r="X24" s="14"/>
        <tr r="X5" s="13"/>
      </tp>
      <tp t="s">
        <v>#N/A Requesting Data...1301179515</v>
        <stp/>
        <stp>BDP|3773848313486529311</stp>
        <tr r="Q57" s="29"/>
      </tp>
      <tp t="s">
        <v>#N/A Requesting Data...4193097180</v>
        <stp/>
        <stp>BDP|8894642801828831918</stp>
        <tr r="L74" s="29"/>
      </tp>
      <tp t="s">
        <v>#N/A Requesting Data...794497516</v>
        <stp/>
        <stp>BDP|2696106821616076833</stp>
        <tr r="X20" s="22"/>
      </tp>
      <tp t="s">
        <v>#N/A Requesting Data...2851044205</v>
        <stp/>
        <stp>BDP|2844420419931798908</stp>
        <tr r="C27" s="29"/>
      </tp>
      <tp t="s">
        <v>#N/A Requesting Data...2770147000</v>
        <stp/>
        <stp>BDP|9578328369517837426</stp>
        <tr r="J27" s="29"/>
      </tp>
      <tp t="s">
        <v>#N/A Requesting Data...2840011009</v>
        <stp/>
        <stp>BDP|2135307476060770943</stp>
        <tr r="K59" s="29"/>
      </tp>
      <tp t="s">
        <v>#N/A Requesting Data...4278588362</v>
        <stp/>
        <stp>BDP|6039599022057890975</stp>
        <tr r="J13" s="27"/>
      </tp>
      <tp t="s">
        <v>#N/A Requesting Data...1076467440</v>
        <stp/>
        <stp>BDP|7293537121599137645</stp>
        <tr r="X134" s="17"/>
      </tp>
      <tp t="s">
        <v>#N/A Requesting Data...457682065</v>
        <stp/>
        <stp>BDP|4791242196199768973</stp>
        <tr r="G34" s="9"/>
        <tr r="P174" s="23"/>
        <tr r="P25" s="23"/>
        <tr r="T49" s="22"/>
        <tr r="E44" s="10"/>
        <tr r="F19" s="15"/>
      </tp>
      <tp t="s">
        <v>#N/A Requesting Data...4013656694</v>
        <stp/>
        <stp>BDP|4897262899452611241</stp>
        <tr r="AD24" s="9"/>
        <tr r="X19" s="14"/>
        <tr r="X7" s="13"/>
        <tr r="AA22" s="15"/>
      </tp>
      <tp t="s">
        <v>#N/A Requesting Data...715295165</v>
        <stp/>
        <stp>BDP|8414259801430128548</stp>
        <tr r="Y46" s="9"/>
        <tr r="R31" s="14"/>
        <tr r="R49" s="13"/>
      </tp>
      <tp t="s">
        <v>#N/A Requesting Data...1776523591</v>
        <stp/>
        <stp>BDP|6703587630559366168</stp>
        <tr r="T55" s="12"/>
      </tp>
      <tp t="s">
        <v>#N/A Requesting Data...3515468265</v>
        <stp/>
        <stp>BDP|2663827918973171071</stp>
        <tr r="J27" s="12"/>
      </tp>
      <tp t="s">
        <v>#N/A Requesting Data...1948751010</v>
        <stp/>
        <stp>BDP|1841955657575638066</stp>
        <tr r="K6" s="29"/>
      </tp>
      <tp t="s">
        <v>#N/A Requesting Data...791801688</v>
        <stp/>
        <stp>BDP|5687480503088067178</stp>
        <tr r="E16" s="18"/>
        <tr r="H11" s="19"/>
        <tr r="H97" s="19"/>
        <tr r="I13" s="17"/>
        <tr r="G124" s="23"/>
        <tr r="G202" s="23"/>
        <tr r="H19" s="22"/>
        <tr r="H80" s="22"/>
        <tr r="E11" s="12"/>
      </tp>
      <tp t="s">
        <v>#N/A Requesting Data...4262110760</v>
        <stp/>
        <stp>BDP|9154262539669079940</stp>
        <tr r="I36" s="9"/>
        <tr r="G28" s="10"/>
        <tr r="H14" s="15"/>
      </tp>
      <tp t="s">
        <v>#N/A Requesting Data...2861209337</v>
        <stp/>
        <stp>BDP|9045823626002620999</stp>
        <tr r="X50" s="22"/>
      </tp>
      <tp t="s">
        <v>#N/A Requesting Data...1103625292</v>
        <stp/>
        <stp>BDP|3841540099994854367</stp>
        <tr r="AI32" s="12"/>
      </tp>
      <tp t="s">
        <v>#N/A Requesting Data...1310435368</v>
        <stp/>
        <stp>BDP|1896602451519009329</stp>
        <tr r="T39" s="12"/>
      </tp>
      <tp t="s">
        <v>#N/A Requesting Data...1318774250</v>
        <stp/>
        <stp>BDP|5335014756281862949</stp>
        <tr r="J28" s="17"/>
      </tp>
      <tp t="s">
        <v>#N/A Requesting Data...533198613</v>
        <stp/>
        <stp>BDP|8996811513109579063</stp>
        <tr r="Z46" s="9"/>
        <tr r="S31" s="14"/>
        <tr r="S49" s="13"/>
      </tp>
      <tp t="s">
        <v>#N/A Requesting Data...1650752128</v>
        <stp/>
        <stp>BDP|4544463096993806253</stp>
        <tr r="C47" s="29"/>
      </tp>
      <tp t="s">
        <v>#N/A Requesting Data...4257596736</v>
        <stp/>
        <stp>BDP|1634507109704710807</stp>
        <tr r="E24" s="18"/>
        <tr r="H115" s="19"/>
        <tr r="H42" s="19"/>
        <tr r="I23" s="17"/>
        <tr r="G158" s="23"/>
        <tr r="G83" s="23"/>
        <tr r="H27" s="22"/>
        <tr r="E30" s="12"/>
      </tp>
      <tp t="s">
        <v>#N/A Requesting Data...3161203199</v>
        <stp/>
        <stp>BDP|2764857239213349200</stp>
        <tr r="C53" s="29"/>
      </tp>
      <tp t="s">
        <v>#N/A Requesting Data...1758633130</v>
        <stp/>
        <stp>BDP|5650114769659243353</stp>
        <tr r="E38" s="18"/>
        <tr r="H122" s="19"/>
        <tr r="H17" s="19"/>
        <tr r="I35" s="17"/>
        <tr r="G111" s="23"/>
        <tr r="G188" s="23"/>
        <tr r="H37" s="22"/>
        <tr r="E36" s="12"/>
      </tp>
      <tp t="s">
        <v>#N/A Requesting Data...3176168399</v>
        <stp/>
        <stp>BDP|1770371579814005977</stp>
        <tr r="AB10" s="19"/>
        <tr r="AJ9" s="17"/>
        <tr r="Y28" s="30"/>
      </tp>
      <tp t="s">
        <v>#N/A Requesting Data...3051072340</v>
        <stp/>
        <stp>BDP|1206607915326983802</stp>
        <tr r="X37" s="22"/>
      </tp>
      <tp t="s">
        <v>#N/A Requesting Data...2300040089</v>
        <stp/>
        <stp>BDP|4316773982210901315</stp>
        <tr r="AE30" s="12"/>
      </tp>
      <tp t="s">
        <v>#N/A Requesting Data...3308857986</v>
        <stp/>
        <stp>BDP|6793991211401778772</stp>
        <tr r="K70" s="29"/>
      </tp>
      <tp t="s">
        <v>#N/A Requesting Data...2245174235</v>
        <stp/>
        <stp>BDP|4034301950243880974</stp>
        <tr r="AA54" s="12"/>
      </tp>
      <tp t="s">
        <v>#N/A Requesting Data...3697429789</v>
        <stp/>
        <stp>BDP|2808114718062644885</stp>
        <tr r="J31" s="29"/>
      </tp>
      <tp t="s">
        <v>#N/A Requesting Data...4272662559</v>
        <stp/>
        <stp>BDP|5087199164143214907</stp>
        <tr r="E10" s="26"/>
        <tr r="E50" s="26"/>
        <tr r="E64" s="26"/>
        <tr r="E65" s="26"/>
        <tr r="E72" s="28"/>
        <tr r="T24" s="22"/>
        <tr r="E55" s="26"/>
        <tr r="E59" s="26"/>
        <tr r="E61" s="26"/>
        <tr r="E32" s="10"/>
      </tp>
      <tp t="s">
        <v>#N/A Requesting Data...3843103898</v>
        <stp/>
        <stp>BDP|4614598113931025901</stp>
        <tr r="Z4" s="9"/>
        <tr r="S5" s="14"/>
        <tr r="S28" s="13"/>
        <tr r="V9" s="15"/>
      </tp>
      <tp t="s">
        <v>#N/A Requesting Data...2575005534</v>
        <stp/>
        <stp>BDP|7837303524589611767</stp>
        <tr r="AH31" s="12"/>
      </tp>
      <tp t="s">
        <v>#N/A Requesting Data...1732321049</v>
        <stp/>
        <stp>BDP|9211253623978916904</stp>
        <tr r="AN30" s="17"/>
      </tp>
      <tp t="s">
        <v>#N/A Requesting Data...2786895371</v>
        <stp/>
        <stp>BDP|4013652208999862372</stp>
        <tr r="AI20" s="12"/>
      </tp>
      <tp t="s">
        <v>#N/A Requesting Data...2453544387</v>
        <stp/>
        <stp>BDP|8309665172633407212</stp>
        <tr r="AM13" s="17"/>
        <tr r="W28" s="14"/>
        <tr r="W4" s="13"/>
      </tp>
      <tp t="s">
        <v>#N/A Requesting Data...3833735764</v>
        <stp/>
        <stp>BDP|7837999108550368689</stp>
        <tr r="C80" s="29"/>
      </tp>
      <tp t="s">
        <v>#N/A Requesting Data...4083702364</v>
        <stp/>
        <stp>BDP|5565645824779708007</stp>
        <tr r="L34" s="29"/>
      </tp>
      <tp t="s">
        <v>#N/A Requesting Data...1877411580</v>
        <stp/>
        <stp>BDP|8375800990095722460</stp>
        <tr r="Q103" s="29"/>
      </tp>
      <tp t="s">
        <v>#N/A Requesting Data...4284533265</v>
        <stp/>
        <stp>BDP|6992386206898388576</stp>
        <tr r="I70" s="9"/>
        <tr r="J48" s="19"/>
        <tr r="K49" s="17"/>
        <tr r="J23" s="27"/>
        <tr r="J47" s="30"/>
      </tp>
      <tp t="s">
        <v>#N/A Requesting Data...1525514141</v>
        <stp/>
        <stp>BDP|2524440179961276896</stp>
        <tr r="L71" s="29"/>
      </tp>
      <tp t="s">
        <v>#N/A Requesting Data...1289639198</v>
        <stp/>
        <stp>BDP|5053215525424292965</stp>
        <tr r="AA12" s="19"/>
        <tr r="AI15" s="17"/>
        <tr r="X14" s="30"/>
      </tp>
      <tp t="s">
        <v>#N/A Requesting Data...2987782308</v>
        <stp/>
        <stp>BDP|4432088068359272365</stp>
        <tr r="J8" s="29"/>
      </tp>
      <tp t="s">
        <v>#N/A Requesting Data...4289010801</v>
        <stp/>
        <stp>BDP|9523255980278199311</stp>
        <tr r="X30" s="22"/>
      </tp>
      <tp t="s">
        <v>#N/A Requesting Data...3119621718</v>
        <stp/>
        <stp>BDP|8721305643445335273</stp>
        <tr r="E30" s="18"/>
        <tr r="H111" s="19"/>
        <tr r="H8" s="19"/>
        <tr r="G137" s="23"/>
        <tr r="G220" s="23"/>
        <tr r="H34" s="22"/>
      </tp>
      <tp t="s">
        <v>#N/A Requesting Data...751757898</v>
        <stp/>
        <stp>BDP|1270926030371250225</stp>
        <tr r="AD13" s="9"/>
        <tr r="X17" s="14"/>
        <tr r="X8" s="13"/>
        <tr r="AA18" s="15"/>
      </tp>
      <tp t="s">
        <v>#N/A Requesting Data...3968612206</v>
        <stp/>
        <stp>BDP|4546603445776475841</stp>
        <tr r="I42" s="9"/>
        <tr r="G46" s="10"/>
        <tr r="H23" s="15"/>
      </tp>
      <tp t="s">
        <v>#N/A Requesting Data...3986433829</v>
        <stp/>
        <stp>BDP|1125324415892450936</stp>
        <tr r="AD27" s="12"/>
      </tp>
      <tp t="s">
        <v>#N/A Requesting Data...2262936471</v>
        <stp/>
        <stp>BDP|5345337573320124934</stp>
        <tr r="AE13" s="12"/>
      </tp>
      <tp t="s">
        <v>#N/A Requesting Data...2841048408</v>
        <stp/>
        <stp>BDP|5059953277605269665</stp>
        <tr r="AC4" s="9"/>
        <tr r="W5" s="14"/>
        <tr r="W28" s="13"/>
        <tr r="Z9" s="15"/>
      </tp>
      <tp t="s">
        <v>#N/A Requesting Data...2933820128</v>
        <stp/>
        <stp>BDP|4676794020629898003</stp>
        <tr r="J98" s="29"/>
      </tp>
      <tp t="s">
        <v>#N/A Requesting Data...400040407</v>
        <stp/>
        <stp>BDP|8924049079365647258</stp>
        <tr r="AD31" s="9"/>
        <tr r="AA4" s="15"/>
      </tp>
      <tp t="s">
        <v>#N/A Requesting Data...3168947397</v>
        <stp/>
        <stp>BDP|7039550995534440735</stp>
        <tr r="R43" s="14"/>
        <tr r="R18" s="13"/>
      </tp>
      <tp t="s">
        <v>#N/A Requesting Data...3820228632</v>
        <stp/>
        <stp>BDP|7779278209399840451</stp>
        <tr r="I17" s="9"/>
        <tr r="H17" s="15"/>
      </tp>
      <tp t="s">
        <v>#N/A Requesting Data...1513739216</v>
        <stp/>
        <stp>BDP|8193876088797942731</stp>
        <tr r="AH33" s="12"/>
      </tp>
      <tp t="s">
        <v>#N/A Requesting Data...3881641179</v>
        <stp/>
        <stp>BDP|2636621430416406946</stp>
        <tr r="C11" s="29"/>
      </tp>
      <tp t="s">
        <v>#N/A Requesting Data...2614174148</v>
        <stp/>
        <stp>BDP|5328215542423255864</stp>
        <tr r="Y135" s="17"/>
      </tp>
      <tp t="s">
        <v>#N/A Requesting Data...2643841420</v>
        <stp/>
        <stp>BDP|1501495979043553944</stp>
        <tr r="AM8" s="17"/>
      </tp>
      <tp t="s">
        <v>#N/A Requesting Data...2049414333</v>
        <stp/>
        <stp>BDP|9768740704341290718</stp>
        <tr r="C8" s="29"/>
      </tp>
      <tp t="s">
        <v>#N/A Requesting Data...3803277247</v>
        <stp/>
        <stp>BDP|8863220234931971020</stp>
        <tr r="AN19" s="17"/>
      </tp>
      <tp t="s">
        <v>#N/A Requesting Data...2966649405</v>
        <stp/>
        <stp>BDP|6561900997586387846</stp>
        <tr r="B42" s="17"/>
        <tr r="C41" s="22"/>
      </tp>
      <tp t="s">
        <v>#N/A Requesting Data...4163071069</v>
        <stp/>
        <stp>BDP|4174636808592954862</stp>
        <tr r="AB7" s="19"/>
        <tr r="AJ29" s="17"/>
        <tr r="Y15" s="30"/>
      </tp>
      <tp t="s">
        <v>#N/A Requesting Data...3854927131</v>
        <stp/>
        <stp>BDP|4178307933985135893</stp>
        <tr r="L48" s="29"/>
      </tp>
      <tp t="s">
        <v>#N/A Requesting Data...296629786</v>
        <stp/>
        <stp>BDP|1805594383991854401</stp>
        <tr r="AA21" s="19"/>
        <tr r="AI24" s="17"/>
        <tr r="R45" s="14"/>
        <tr r="X22" s="30"/>
      </tp>
      <tp t="s">
        <v>#N/A Requesting Data...2785387444</v>
        <stp/>
        <stp>BDP|9019006468511366718</stp>
        <tr r="AB27" s="19"/>
        <tr r="AJ11" s="17"/>
        <tr r="Y17" s="30"/>
      </tp>
      <tp t="s">
        <v>#N/A Requesting Data...1763457038</v>
        <stp/>
        <stp>BDP|7094749611449623196</stp>
        <tr r="AG39" s="12"/>
      </tp>
      <tp t="s">
        <v>#N/A Requesting Data...1082466269</v>
        <stp/>
        <stp>BDP|4668120152651833853</stp>
        <tr r="AC25" s="9"/>
        <tr r="W18" s="14"/>
        <tr r="W24" s="13"/>
        <tr r="Z5" s="15"/>
      </tp>
      <tp t="s">
        <v>#N/A Requesting Data...1045142992</v>
        <stp/>
        <stp>BDP|9329915582850289194</stp>
        <tr r="B4" s="12"/>
      </tp>
      <tp t="s">
        <v>#N/A Requesting Data...2829009605</v>
        <stp/>
        <stp>BDP|5544123933207846973</stp>
        <tr r="L46" s="29"/>
      </tp>
      <tp t="s">
        <v>#N/A Requesting Data...1279885282</v>
        <stp/>
        <stp>BDP|3287896027537666726</stp>
        <tr r="B41" s="12"/>
      </tp>
      <tp t="s">
        <v>#N/A Requesting Data...2658843364</v>
        <stp/>
        <stp>BDP|8680982265337056936</stp>
        <tr r="AA8" s="19"/>
        <tr r="X6" s="30"/>
      </tp>
      <tp t="s">
        <v>#N/A Requesting Data...1423999078</v>
        <stp/>
        <stp>BDP|6218295533716718871</stp>
        <tr r="AD11" s="9"/>
        <tr r="X11" s="14"/>
        <tr r="X13" s="13"/>
        <tr r="AA16" s="15"/>
      </tp>
      <tp t="s">
        <v>#N/A Requesting Data...2494959963</v>
        <stp/>
        <stp>BDP|1939353790981060352</stp>
        <tr r="K68" s="29"/>
      </tp>
      <tp t="s">
        <v>#N/A Requesting Data...3649982397</v>
        <stp/>
        <stp>BDP|4795556184638995814</stp>
        <tr r="L19" s="29"/>
      </tp>
      <tp t="s">
        <v>#N/A Requesting Data...314634297</v>
        <stp/>
        <stp>BDP|9098588677333913194</stp>
        <tr r="AD6" s="9"/>
        <tr r="X6" s="14"/>
        <tr r="X35" s="13"/>
        <tr r="AA26" s="15"/>
      </tp>
      <tp t="s">
        <v>#N/A Requesting Data...4163083682</v>
        <stp/>
        <stp>BDP|7811198076750823836</stp>
        <tr r="C32" s="29"/>
      </tp>
      <tp t="s">
        <v>#N/A Requesting Data...3957204631</v>
        <stp/>
        <stp>BDP|2434057259208469600</stp>
        <tr r="AN15" s="17"/>
      </tp>
      <tp t="s">
        <v>#N/A Requesting Data...2133592035</v>
        <stp/>
        <stp>BDP|4448389386071490721</stp>
        <tr r="I10" s="27"/>
      </tp>
      <tp t="s">
        <v>#N/A Requesting Data...1533126810</v>
        <stp/>
        <stp>BDP|5903102010129349562</stp>
        <tr r="AN33" s="17"/>
      </tp>
      <tp t="s">
        <v>#N/A Requesting Data...1944229769</v>
        <stp/>
        <stp>BDP|4173083095467309323</stp>
        <tr r="L68" s="29"/>
      </tp>
      <tp t="s">
        <v>#N/A Requesting Data...3491733162</v>
        <stp/>
        <stp>BDP|2679862232810753071</stp>
        <tr r="G38" s="9"/>
        <tr r="G204" s="23"/>
        <tr r="G50" s="23"/>
      </tp>
      <tp t="s">
        <v>#N/A Requesting Data...1718196357</v>
        <stp/>
        <stp>BDP|2505967798108970318</stp>
        <tr r="AA13" s="12"/>
      </tp>
      <tp t="s">
        <v>#N/A Requesting Data...1584258190</v>
        <stp/>
        <stp>BDP|3370993196063651999</stp>
        <tr r="AA14" s="19"/>
        <tr r="AI31" s="17"/>
        <tr r="X26" s="30"/>
      </tp>
      <tp t="s">
        <v>#N/A Requesting Data...3385078088</v>
        <stp/>
        <stp>BDP|4877925755657875643</stp>
        <tr r="AD31" s="12"/>
      </tp>
      <tp t="s">
        <v>#N/A Requesting Data...3169403688</v>
        <stp/>
        <stp>BDP|6192810183968979797</stp>
        <tr r="AA34" s="12"/>
      </tp>
      <tp t="s">
        <v>#N/A Requesting Data...2008377168</v>
        <stp/>
        <stp>BDP|2680909916142660168</stp>
        <tr r="AD12" s="9"/>
        <tr r="X8" s="14"/>
        <tr r="X19" s="13"/>
        <tr r="AA20" s="15"/>
      </tp>
      <tp t="s">
        <v>#N/A Requesting Data...3579257752</v>
        <stp/>
        <stp>BDP|2760041418908369286</stp>
        <tr r="J57" s="29"/>
      </tp>
      <tp t="s">
        <v>#N/A Requesting Data...3116242404</v>
        <stp/>
        <stp>BDP|8026062970611556732</stp>
        <tr r="AG4" s="12"/>
      </tp>
      <tp t="s">
        <v>#N/A Requesting Data...3923006911</v>
        <stp/>
        <stp>BDP|1990032878668400768</stp>
        <tr r="AD9" s="12"/>
      </tp>
      <tp t="s">
        <v>#N/A Requesting Data...2199685388</v>
        <stp/>
        <stp>BDP|3924841135917850608</stp>
        <tr r="AN40" s="17"/>
      </tp>
      <tp t="s">
        <v>#N/A Requesting Data...1795840253</v>
        <stp/>
        <stp>BDP|7556956604842747539</stp>
        <tr r="L17" s="29"/>
      </tp>
      <tp t="s">
        <v>#N/A Requesting Data...2910843458</v>
        <stp/>
        <stp>BDP|5024234125409270550</stp>
        <tr r="AA38" s="19"/>
      </tp>
      <tp t="s">
        <v>#N/A Requesting Data...2126122640</v>
        <stp/>
        <stp>BDP|9667349274271587520</stp>
        <tr r="H138" s="22"/>
      </tp>
      <tp t="s">
        <v>#N/A Requesting Data...3557542372</v>
        <stp/>
        <stp>BDP|4879351212917118887</stp>
        <tr r="AA50" s="12"/>
      </tp>
      <tp t="s">
        <v>#N/A Requesting Data...590150817</v>
        <stp/>
        <stp>BDP|6290527297192964185</stp>
        <tr r="X11" s="22"/>
      </tp>
      <tp t="s">
        <v>#N/A Requesting Data...1320513429</v>
        <stp/>
        <stp>BDP|6455498025679651089</stp>
        <tr r="AA11" s="19"/>
        <tr r="AI13" s="17"/>
        <tr r="R28" s="14"/>
        <tr r="R4" s="13"/>
        <tr r="X35" s="30"/>
      </tp>
      <tp t="s">
        <v>#N/A Requesting Data...2164300968</v>
        <stp/>
        <stp>BDP|4198897834064819229</stp>
        <tr r="Q102" s="29"/>
      </tp>
      <tp t="s">
        <v>#N/A Requesting Data...710108537</v>
        <stp/>
        <stp>BDP|5892639530288580192</stp>
        <tr r="AA32" s="12"/>
      </tp>
      <tp t="s">
        <v>#N/A Requesting Data...3171759219</v>
        <stp/>
        <stp>BDP|5815728899965360777</stp>
        <tr r="AI24" s="12"/>
      </tp>
      <tp t="s">
        <v>#N/A Requesting Data...420928359</v>
        <stp/>
        <stp>BDP|4591113037297117859</stp>
        <tr r="I57" s="9"/>
        <tr r="G58" s="10"/>
        <tr r="H54" s="15"/>
      </tp>
      <tp t="s">
        <v>#N/A Requesting Data...2840193536</v>
        <stp/>
        <stp>BDP|1470154187198032916</stp>
        <tr r="AD60" s="9"/>
        <tr r="X70" s="14"/>
        <tr r="X67" s="13"/>
        <tr r="AA47" s="15"/>
      </tp>
      <tp t="s">
        <v>#N/A Requesting Data...1085699224</v>
        <stp/>
        <stp>BDP|8256650091338656675</stp>
        <tr r="AA52" s="12"/>
      </tp>
      <tp t="s">
        <v>#N/A Requesting Data...1693826779</v>
        <stp/>
        <stp>BDP|2941377542695978919</stp>
        <tr r="O37" s="22"/>
      </tp>
      <tp t="s">
        <v>#N/A Requesting Data...2161414223</v>
        <stp/>
        <stp>BDP|6564070483955165243</stp>
        <tr r="J20" s="29"/>
      </tp>
      <tp t="s">
        <v>#N/A Requesting Data...3466520577</v>
        <stp/>
        <stp>BDP|3566835736435002441</stp>
        <tr r="C4" s="29"/>
      </tp>
      <tp t="s">
        <v>#N/A Requesting Data...4177074756</v>
        <stp/>
        <stp>BDP|8440045835385795778</stp>
        <tr r="Z36" s="9"/>
        <tr r="S34" s="14"/>
        <tr r="S40" s="13"/>
        <tr r="V14" s="15"/>
      </tp>
      <tp t="s">
        <v>#N/A Requesting Data...1094331377</v>
        <stp/>
        <stp>BDP|8447721504161633712</stp>
        <tr r="J52" s="12"/>
      </tp>
      <tp t="s">
        <v>#N/A Requesting Data...1446987763</v>
        <stp/>
        <stp>BDP|2278083346898109788</stp>
        <tr r="Y30" s="9"/>
        <tr r="R37" s="14"/>
        <tr r="R37" s="13"/>
        <tr r="U24" s="15"/>
      </tp>
      <tp t="s">
        <v>#N/A Requesting Data...1126909699</v>
        <stp/>
        <stp>BDP|5610513281771753046</stp>
        <tr r="X55" s="12"/>
      </tp>
      <tp t="s">
        <v>#N/A Requesting Data...3998239633</v>
        <stp/>
        <stp>BDP|4242166324389327499</stp>
        <tr r="Y41" s="9"/>
      </tp>
      <tp t="s">
        <v>#N/A Requesting Data...3617649842</v>
        <stp/>
        <stp>BDP|2846728280211795672</stp>
        <tr r="J62" s="29"/>
      </tp>
      <tp t="s">
        <v>#N/A Requesting Data...2932318183</v>
        <stp/>
        <stp>BDP|5097542842577865951</stp>
        <tr r="L21" s="22"/>
        <tr r="I16" s="12"/>
      </tp>
      <tp t="s">
        <v>#N/A Requesting Data...2353413981</v>
        <stp/>
        <stp>BDP|5096239596875962175</stp>
        <tr r="Z25" s="9"/>
        <tr r="S18" s="14"/>
        <tr r="S24" s="13"/>
        <tr r="V5" s="15"/>
      </tp>
      <tp t="s">
        <v>#N/A Requesting Data...620708192</v>
        <stp/>
        <stp>BDP|2415434262899812360</stp>
        <tr r="H42" s="9"/>
        <tr r="F46" s="10"/>
        <tr r="G23" s="15"/>
      </tp>
      <tp t="s">
        <v>#N/A Requesting Data...3641113455</v>
        <stp/>
        <stp>BDP|1669560862171857912</stp>
        <tr r="L37" s="29"/>
      </tp>
      <tp t="s">
        <v>#N/A Requesting Data...3359291148</v>
        <stp/>
        <stp>BDP|8174261714344811503</stp>
        <tr r="AA33" s="19"/>
      </tp>
      <tp t="s">
        <v>#N/A Requesting Data...296043505</v>
        <stp/>
        <stp>BDP|2092833931067335490</stp>
        <tr r="B19" s="17"/>
        <tr r="C18" s="22"/>
      </tp>
      <tp t="s">
        <v>#N/A Requesting Data...1760445004</v>
        <stp/>
        <stp>BDP|2134890667722275458</stp>
        <tr r="AG5" s="12"/>
      </tp>
      <tp t="s">
        <v>#N/A Requesting Data...4292943387</v>
        <stp/>
        <stp>BDP|8804648095274171901</stp>
        <tr r="C49" s="29"/>
      </tp>
      <tp t="s">
        <v>#N/A Requesting Data...2475203574</v>
        <stp/>
        <stp>BDP|8294430364593562385</stp>
        <tr r="I21" s="9"/>
        <tr r="G23" s="10"/>
        <tr r="H21" s="15"/>
      </tp>
      <tp t="s">
        <v>#N/A Requesting Data...3667754854</v>
        <stp/>
        <stp>BDP|7270303632418127592</stp>
        <tr r="C17" s="29"/>
      </tp>
      <tp t="s">
        <v>#N/A Requesting Data...3169703814</v>
        <stp/>
        <stp>BDP|7559585798112863357</stp>
        <tr r="Q95" s="29"/>
      </tp>
      <tp t="s">
        <v>#N/A Requesting Data...3545307625</v>
        <stp/>
        <stp>BDP|2959460843701447901</stp>
        <tr r="X32" s="22"/>
      </tp>
      <tp t="s">
        <v>#N/A Requesting Data...3307817071</v>
        <stp/>
        <stp>BDP|7221277879388200060</stp>
        <tr r="C5" s="29"/>
      </tp>
      <tp t="s">
        <v>#N/A Requesting Data...2131167690</v>
        <stp/>
        <stp>BDP|2098501886102821772</stp>
        <tr r="AD52" s="12"/>
      </tp>
      <tp t="s">
        <v>#N/A Requesting Data...2115839933</v>
        <stp/>
        <stp>BDP|5348979168111552101</stp>
        <tr r="AI6" s="12"/>
      </tp>
      <tp t="s">
        <v>#N/A Requesting Data...3334647058</v>
        <stp/>
        <stp>BDP|5501479695402750095</stp>
        <tr r="I54" s="9"/>
        <tr r="G54" s="10"/>
        <tr r="H50" s="15"/>
      </tp>
      <tp t="s">
        <v>#N/A Requesting Data...3669336598</v>
        <stp/>
        <stp>BDP|5434901917472466598</stp>
        <tr r="F19" s="18"/>
        <tr r="I106" s="19"/>
        <tr r="I18" s="19"/>
        <tr r="J16" s="17"/>
        <tr r="I39" s="30"/>
      </tp>
      <tp t="s">
        <v>#N/A Requesting Data...322842207</v>
        <stp/>
        <stp>BDP|7174865429340754779</stp>
        <tr r="F6" s="18"/>
        <tr r="I9" s="19"/>
        <tr r="I90" s="19"/>
        <tr r="J4" s="17"/>
        <tr r="F13" s="10"/>
        <tr r="I9" s="30"/>
      </tp>
      <tp t="s">
        <v>#N/A Requesting Data...3048809290</v>
        <stp/>
        <stp>BDP|5883765195468215974</stp>
        <tr r="G33" s="9"/>
        <tr r="G173" s="23"/>
        <tr r="G25" s="23"/>
        <tr r="E9" s="28"/>
        <tr r="T44" s="22"/>
        <tr r="E26" s="10"/>
        <tr r="F36" s="15"/>
        <tr r="E12" s="26"/>
        <tr r="E66" s="26"/>
        <tr r="E50" s="28"/>
        <tr r="E57" s="28"/>
      </tp>
      <tp t="s">
        <v>#N/A Requesting Data...1941017549</v>
        <stp/>
        <stp>BDP|8561941188170009373</stp>
        <tr r="B35" s="17"/>
        <tr r="C37" s="22"/>
      </tp>
      <tp t="s">
        <v>#N/A Requesting Data...3082115705</v>
        <stp/>
        <stp>BDP|8990017630915093477</stp>
        <tr r="AB22" s="19"/>
        <tr r="AJ14" s="17"/>
        <tr r="Y18" s="30"/>
      </tp>
      <tp t="s">
        <v>#N/A Requesting Data...3143274545</v>
        <stp/>
        <stp>BDP|8833436469938816857</stp>
        <tr r="AE17" s="12"/>
      </tp>
      <tp t="s">
        <v>#N/A Requesting Data...2997092125</v>
        <stp/>
        <stp>BDP|5822014670871053966</stp>
        <tr r="J21" s="29"/>
      </tp>
      <tp t="s">
        <v>#N/A Requesting Data...1990983897</v>
        <stp/>
        <stp>BDP|4763220787726808255</stp>
        <tr r="C59" s="29"/>
      </tp>
      <tp t="s">
        <v>#N/A Requesting Data...2979338325</v>
        <stp/>
        <stp>BDP|9306881771059607501</stp>
        <tr r="H5" s="9"/>
        <tr r="F6" s="10"/>
        <tr r="G33" s="15"/>
      </tp>
      <tp t="s">
        <v>#N/A Requesting Data...2611069045</v>
        <stp/>
        <stp>BDP|9208042256997876149</stp>
        <tr r="AA30" s="12"/>
      </tp>
      <tp t="s">
        <v>#N/A Requesting Data...2169979116</v>
        <stp/>
        <stp>BDP|1047142269879907595</stp>
        <tr r="AE15" s="12"/>
      </tp>
      <tp t="s">
        <v>#N/A Requesting Data...2791878111</v>
        <stp/>
        <stp>BDP|4965820501046528029</stp>
        <tr r="O40" s="22"/>
      </tp>
      <tp t="s">
        <v>#N/A Requesting Data...2507538527</v>
        <stp/>
        <stp>BDP|5078552154638853749</stp>
        <tr r="J50" s="12"/>
      </tp>
      <tp t="s">
        <v>#N/A Requesting Data...664743550</v>
        <stp/>
        <stp>BDP|2600294246939356776</stp>
        <tr r="AC15" s="9"/>
        <tr r="W23" s="14"/>
        <tr r="W41" s="13"/>
        <tr r="Z34" s="15"/>
      </tp>
      <tp t="s">
        <v>#N/A Requesting Data...3098375708</v>
        <stp/>
        <stp>BDP|9951163153446134101</stp>
        <tr r="L53" s="29"/>
      </tp>
      <tp t="s">
        <v>#N/A Requesting Data...4123026214</v>
        <stp/>
        <stp>BDP|9614000908616506562</stp>
        <tr r="AD54" s="12"/>
      </tp>
      <tp t="s">
        <v>#N/A Requesting Data...2190951836</v>
        <stp/>
        <stp>BDP|6968225766260863880</stp>
        <tr r="AD23" s="9"/>
        <tr r="X33" s="14"/>
        <tr r="X14" s="13"/>
        <tr r="AA27" s="15"/>
      </tp>
      <tp t="s">
        <v>#N/A Requesting Data...1022313256</v>
        <stp/>
        <stp>BDP|4468039403689059766</stp>
        <tr r="AC9" s="9"/>
        <tr r="W12" s="14"/>
        <tr r="W12" s="13"/>
        <tr r="Z10" s="15"/>
      </tp>
      <tp t="s">
        <v>#N/A Requesting Data...3223941696</v>
        <stp/>
        <stp>BDP|1384841234408918880</stp>
        <tr r="C21" s="29"/>
      </tp>
      <tp t="s">
        <v>#N/A Requesting Data...2084519039</v>
        <stp/>
        <stp>BDP|7714962235332180576</stp>
        <tr r="Y29" s="12"/>
      </tp>
      <tp t="s">
        <v>#N/A Requesting Data...1705291897</v>
        <stp/>
        <stp>BDP|8533426467937425776</stp>
        <tr r="L86" s="29"/>
      </tp>
      <tp t="s">
        <v>#N/A Requesting Data...2363417310</v>
        <stp/>
        <stp>BDP|9797031820099134863</stp>
        <tr r="AM22" s="17"/>
        <tr r="W39" s="14"/>
        <tr r="W30" s="13"/>
      </tp>
      <tp t="s">
        <v>#N/A Requesting Data...2179530869</v>
        <stp/>
        <stp>BDP|3339743533054255951</stp>
        <tr r="AA11" s="12"/>
      </tp>
      <tp t="s">
        <v>#N/A Requesting Data...3128078160</v>
        <stp/>
        <stp>BDP|2080004285951252171</stp>
        <tr r="AJ16" s="17"/>
      </tp>
      <tp t="s">
        <v>#N/A Requesting Data...4122645961</v>
        <stp/>
        <stp>BDP|8384629173213019022</stp>
        <tr r="I24" s="9"/>
        <tr r="G19" s="10"/>
        <tr r="H22" s="15"/>
      </tp>
      <tp t="s">
        <v>#N/A N/A</v>
        <stp/>
        <stp>BDP|6165143280844791126</stp>
        <tr r="AC44" s="9"/>
      </tp>
      <tp t="s">
        <v>#N/A Requesting Data...3838082088</v>
        <stp/>
        <stp>BDP|4851057150468599389</stp>
        <tr r="Q81" s="29"/>
      </tp>
      <tp t="s">
        <v>#N/A Requesting Data...2657312940</v>
        <stp/>
        <stp>BDP|4335437485037089545</stp>
        <tr r="AN12" s="17"/>
      </tp>
      <tp t="s">
        <v>#N/A Requesting Data...3630897354</v>
        <stp/>
        <stp>BDP|2532217743767303950</stp>
        <tr r="B23" s="12"/>
      </tp>
      <tp t="s">
        <v>#N/A Requesting Data...1943573841</v>
        <stp/>
        <stp>BDP|1733233014619691178</stp>
        <tr r="AI10" s="12"/>
      </tp>
      <tp t="s">
        <v>#N/A Requesting Data...3811521991</v>
        <stp/>
        <stp>BDP|6185767091902812088</stp>
        <tr r="F39" s="10"/>
      </tp>
      <tp t="s">
        <v>#N/A Requesting Data...3115558729</v>
        <stp/>
        <stp>BDP|1594860157724408261</stp>
        <tr r="B37" s="17"/>
        <tr r="C39" s="22"/>
        <tr r="X38" s="12"/>
      </tp>
      <tp t="s">
        <v>#N/A Requesting Data...2139088389</v>
        <stp/>
        <stp>BDP|9580643366901998288</stp>
        <tr r="Y145" s="17"/>
      </tp>
      <tp t="s">
        <v>#N/A Requesting Data...1410407352</v>
        <stp/>
        <stp>BDP|2179961732712513078</stp>
        <tr r="O17" s="22"/>
      </tp>
      <tp t="s">
        <v>#N/A Requesting Data...3736905850</v>
        <stp/>
        <stp>BDP|7994361975628843150</stp>
        <tr r="B27" s="17"/>
        <tr r="C31" s="22"/>
        <tr r="X28" s="12"/>
      </tp>
      <tp t="s">
        <v>#N/A Requesting Data...2335632999</v>
        <stp/>
        <stp>BDP|9231742189008148495</stp>
        <tr r="J12" s="12"/>
      </tp>
      <tp t="s">
        <v>#N/A Requesting Data...2176100898</v>
        <stp/>
        <stp>BDP|7747411863339109631</stp>
        <tr r="C66" s="29"/>
      </tp>
      <tp t="s">
        <v>#N/A Requesting Data...2649773354</v>
        <stp/>
        <stp>BDP|6293949829056840102</stp>
        <tr r="G29" s="9"/>
        <tr r="G10" s="23"/>
        <tr r="G156" s="23"/>
        <tr r="T42" s="22"/>
        <tr r="E37" s="10"/>
        <tr r="F11" s="15"/>
      </tp>
      <tp t="s">
        <v>#N/A Requesting Data...4052915644</v>
        <stp/>
        <stp>BDP|8448807243269269715</stp>
        <tr r="AH24" s="12"/>
      </tp>
      <tp t="s">
        <v>#N/A Requesting Data...4080374350</v>
        <stp/>
        <stp>BDP|9716522637220301554</stp>
        <tr r="J28" s="29"/>
      </tp>
      <tp t="s">
        <v>#N/A Requesting Data...221653315</v>
        <stp/>
        <stp>BDP|5194321586246438244</stp>
        <tr r="G23" s="18"/>
        <tr r="J105" s="19"/>
        <tr r="J16" s="19"/>
        <tr r="K20" s="17"/>
        <tr r="J30" s="30"/>
      </tp>
      <tp t="s">
        <v>#N/A Requesting Data...2139885212</v>
        <stp/>
        <stp>BDP|6942259009527611966</stp>
        <tr r="J23" s="29"/>
      </tp>
      <tp t="s">
        <v>#N/A Requesting Data...2337910630</v>
        <stp/>
        <stp>BDP|9228631573421202353</stp>
        <tr r="K66" s="29"/>
      </tp>
      <tp t="s">
        <v>#N/A Requesting Data...1764736805</v>
        <stp/>
        <stp>BDP|9934669311154347176</stp>
        <tr r="Z42" s="9"/>
        <tr r="S54" s="14"/>
        <tr r="S29" s="13"/>
        <tr r="V23" s="15"/>
      </tp>
      <tp t="s">
        <v>#N/A Requesting Data...2508255290</v>
        <stp/>
        <stp>BDP|9872230495979432007</stp>
        <tr r="B34" s="17"/>
        <tr r="C30" s="22"/>
        <tr r="X34" s="12"/>
      </tp>
      <tp t="s">
        <v>#N/A Requesting Data...3168806607</v>
        <stp/>
        <stp>BDP|5483166549418448352</stp>
        <tr r="Q12" s="29"/>
      </tp>
      <tp t="s">
        <v>#N/A Requesting Data...2208753163</v>
        <stp/>
        <stp>BDP|2891529046591192960</stp>
        <tr r="L56" s="29"/>
      </tp>
      <tp t="s">
        <v>#N/A Requesting Data...3186990834</v>
        <stp/>
        <stp>BDP|8982894587627943465</stp>
        <tr r="AA17" s="19"/>
        <tr r="AI35" s="17"/>
        <tr r="X33" s="30"/>
      </tp>
      <tp t="s">
        <v>#N/A Requesting Data...2169674372</v>
        <stp/>
        <stp>BDP|7556503723613838868</stp>
        <tr r="F17" s="18"/>
        <tr r="I103" s="19"/>
        <tr r="I22" s="19"/>
        <tr r="J14" s="17"/>
        <tr r="I18" s="30"/>
      </tp>
      <tp t="s">
        <v>#N/A Requesting Data...2288387940</v>
        <stp/>
        <stp>BDP|9707834958537012850</stp>
        <tr r="AD25" s="12"/>
      </tp>
      <tp t="s">
        <v>#N/A Requesting Data...2524105346</v>
        <stp/>
        <stp>BDP|2467844876633806570</stp>
        <tr r="AN24" s="17"/>
        <tr r="X45" s="14"/>
      </tp>
      <tp t="s">
        <v>#N/A Requesting Data...2623418197</v>
        <stp/>
        <stp>BDP|9858436333150704518</stp>
        <tr r="L94" s="29"/>
      </tp>
      <tp t="s">
        <v>#N/A Requesting Data...4219823031</v>
        <stp/>
        <stp>BDP|7716797737661601910</stp>
        <tr r="E20" s="18"/>
        <tr r="H109" s="19"/>
        <tr r="H25" s="19"/>
        <tr r="I17" s="17"/>
        <tr r="P138" s="23"/>
        <tr r="P222" s="23"/>
        <tr r="H24" s="22"/>
        <tr r="E18" s="12"/>
      </tp>
      <tp t="s">
        <v>#N/A Requesting Data...3671300344</v>
        <stp/>
        <stp>BDP|7173892277361594248</stp>
        <tr r="J9" s="29"/>
      </tp>
      <tp t="s">
        <v>#N/A Requesting Data...861348096</v>
        <stp/>
        <stp>BDP|1072865029890058000</stp>
        <tr r="H18" s="9"/>
      </tp>
      <tp t="s">
        <v>#N/A Requesting Data...2641427472</v>
        <stp/>
        <stp>BDP|9740357573720793693</stp>
        <tr r="L15" s="22"/>
        <tr r="I12" s="12"/>
      </tp>
      <tp t="s">
        <v>#N/A Requesting Data...4106304349</v>
        <stp/>
        <stp>BDP|3590522461312150988</stp>
        <tr r="J67" s="29"/>
      </tp>
      <tp t="s">
        <v>#N/A Requesting Data...2770947619</v>
        <stp/>
        <stp>BDP|1189200985725223599</stp>
        <tr r="X10" s="22"/>
      </tp>
      <tp t="s">
        <v>#N/A Requesting Data...2667557810</v>
        <stp/>
        <stp>BDP|9589143612965510795</stp>
        <tr r="B22" s="12"/>
      </tp>
      <tp t="s">
        <v>#N/A Requesting Data...3864436251</v>
        <stp/>
        <stp>BDP|3363528385357977212</stp>
        <tr r="E50" s="12"/>
      </tp>
      <tp t="s">
        <v>#N/A Requesting Data...2089364667</v>
        <stp/>
        <stp>BDP|7733944348223673218</stp>
        <tr r="G36" s="18"/>
        <tr r="J118" s="19"/>
        <tr r="J26" s="19"/>
        <tr r="K33" s="17"/>
        <tr r="J13" s="30"/>
      </tp>
      <tp t="s">
        <v>#N/A Requesting Data...2774507832</v>
        <stp/>
        <stp>BDP|7986826550611001072</stp>
        <tr r="B41" s="29"/>
      </tp>
      <tp t="s">
        <v>#N/A Requesting Data...2651606494</v>
        <stp/>
        <stp>BDP|2541769669841383953</stp>
        <tr r="C37" s="29"/>
      </tp>
      <tp t="s">
        <v>#N/A Requesting Data...1457564386</v>
        <stp/>
        <stp>BDP|4035762614881654896</stp>
        <tr r="AH55" s="12"/>
      </tp>
      <tp t="s">
        <v>#N/A Requesting Data...2097005453</v>
        <stp/>
        <stp>BDP|4036444300768811311</stp>
        <tr r="C30" s="29"/>
      </tp>
      <tp t="s">
        <v>#N/A Requesting Data...2769114190</v>
        <stp/>
        <stp>BDP|7670917275200946264</stp>
        <tr r="O51" s="22"/>
      </tp>
      <tp t="s">
        <v>#N/A Requesting Data...3992916371</v>
        <stp/>
        <stp>BDP|1737104351518825632</stp>
        <tr r="AG34" s="12"/>
      </tp>
      <tp t="s">
        <v>#N/A Requesting Data...2757695315</v>
        <stp/>
        <stp>BDP|9181590800272165548</stp>
        <tr r="Y39" s="12"/>
      </tp>
      <tp t="s">
        <v>#N/A Requesting Data...3438843189</v>
        <stp/>
        <stp>BDP|3681099067709756724</stp>
        <tr r="L19" s="22"/>
        <tr r="I11" s="12"/>
      </tp>
      <tp t="s">
        <v>#N/A Requesting Data...1932785286</v>
        <stp/>
        <stp>BDP|9824843587341129376</stp>
        <tr r="L69" s="29"/>
      </tp>
      <tp t="s">
        <v>#N/A Requesting Data...4137778601</v>
        <stp/>
        <stp>BDP|2512109632973587800</stp>
        <tr r="Z43" s="9"/>
      </tp>
      <tp t="s">
        <v>#N/A Requesting Data...2477619285</v>
        <stp/>
        <stp>BDP|4495931467792035225</stp>
        <tr r="G54" s="9"/>
        <tr r="P184" s="23"/>
        <tr r="P36" s="23"/>
        <tr r="T7" s="22"/>
        <tr r="E54" s="10"/>
        <tr r="F50" s="15"/>
        <tr r="E57" s="26"/>
      </tp>
      <tp t="s">
        <v>#N/A Requesting Data...3184335827</v>
        <stp/>
        <stp>BDP|2288257521208477101</stp>
        <tr r="L30" s="22"/>
        <tr r="I34" s="12"/>
      </tp>
      <tp t="s">
        <v>#N/A Requesting Data...2607230616</v>
        <stp/>
        <stp>BDP|1799056581133839190</stp>
        <tr r="Q7" s="29"/>
      </tp>
      <tp t="s">
        <v>#N/A Requesting Data...1930297966</v>
        <stp/>
        <stp>BDP|2764468249530257982</stp>
        <tr r="G37" s="9"/>
        <tr r="G189" s="23"/>
        <tr r="G39" s="23"/>
        <tr r="H130" s="22"/>
        <tr r="T48" s="22"/>
        <tr r="E41" s="10"/>
        <tr r="F12" s="15"/>
      </tp>
      <tp t="s">
        <v>#N/A Requesting Data...2576985178</v>
        <stp/>
        <stp>BDP|8953732202027340396</stp>
        <tr r="J30" s="29"/>
      </tp>
      <tp t="s">
        <v>#N/A Requesting Data...673416541</v>
        <stp/>
        <stp>BDP|2641233174225460977</stp>
        <tr r="J21" s="12"/>
      </tp>
      <tp t="s">
        <v>#N/A Requesting Data...802715160</v>
        <stp/>
        <stp>BDP|2522695383062920542</stp>
        <tr r="AC59" s="9"/>
        <tr r="W69" s="14"/>
        <tr r="W68" s="13"/>
        <tr r="Z55" s="15"/>
      </tp>
      <tp t="s">
        <v>#N/A Requesting Data...2852391873</v>
        <stp/>
        <stp>BDP|5854409897941471288</stp>
        <tr r="AI7" s="12"/>
      </tp>
      <tp t="s">
        <v>#N/A Requesting Data...2562594504</v>
        <stp/>
        <stp>BDP|2045642183591335677</stp>
        <tr r="J38" s="12"/>
      </tp>
      <tp t="s">
        <v>#N/A Requesting Data...1997770905</v>
        <stp/>
        <stp>BDP|7526807713743621636</stp>
        <tr r="AI15" s="12"/>
      </tp>
      <tp t="s">
        <v>#N/A Requesting Data...2095729951</v>
        <stp/>
        <stp>BDP|3097286397585878675</stp>
        <tr r="I9" s="9"/>
        <tr r="G14" s="10"/>
        <tr r="H10" s="15"/>
      </tp>
      <tp t="s">
        <v>#N/A Requesting Data...4044150164</v>
        <stp/>
        <stp>BDP|4506883109197469007</stp>
        <tr r="AD20" s="9"/>
        <tr r="X14" s="14"/>
        <tr r="X20" s="13"/>
        <tr r="AA15" s="15"/>
      </tp>
      <tp t="s">
        <v>#N/A Requesting Data...2990471085</v>
        <stp/>
        <stp>BDP|5207418040059699755</stp>
        <tr r="AD22" s="9"/>
        <tr r="X35" s="14"/>
        <tr r="X43" s="13"/>
        <tr r="AA37" s="15"/>
      </tp>
      <tp t="s">
        <v>#N/A Requesting Data...3646451666</v>
        <stp/>
        <stp>BDP|9770437011615660229</stp>
        <tr r="K48" s="29"/>
      </tp>
      <tp t="s">
        <v>#N/A Requesting Data...4042732924</v>
        <stp/>
        <stp>BDP|8611311370133552439</stp>
        <tr r="AM26" s="17"/>
      </tp>
      <tp t="s">
        <v>#N/A Requesting Data...1584923634</v>
        <stp/>
        <stp>BDP|7895414793059881835</stp>
        <tr r="AB37" s="19"/>
        <tr r="AJ22" s="17"/>
        <tr r="S39" s="14"/>
        <tr r="S30" s="13"/>
        <tr r="Y10" s="30"/>
      </tp>
      <tp t="s">
        <v>#N/A Requesting Data...3126539301</v>
        <stp/>
        <stp>BDP|4036548681390609228</stp>
        <tr r="B10" s="17"/>
        <tr r="C15" s="22"/>
        <tr r="X12" s="12"/>
      </tp>
      <tp t="s">
        <v>#N/A Requesting Data...3011141208</v>
        <stp/>
        <stp>BDP|8202408232227685376</stp>
        <tr r="C76" s="29"/>
      </tp>
      <tp t="s">
        <v>#N/A Requesting Data...2786744576</v>
        <stp/>
        <stp>BDP|3468912252253478727</stp>
        <tr r="AN29" s="17"/>
      </tp>
      <tp t="s">
        <v>#N/A Requesting Data...2752424730</v>
        <stp/>
        <stp>BDP|8400417365505568435</stp>
        <tr r="F26" s="18"/>
        <tr r="I108" s="19"/>
        <tr r="I30" s="19"/>
        <tr r="J21" s="17"/>
        <tr r="I19" s="30"/>
      </tp>
      <tp t="s">
        <v>#N/A Requesting Data...3289411075</v>
        <stp/>
        <stp>BDP|3172257441556345801</stp>
        <tr r="I38" s="9"/>
      </tp>
      <tp t="s">
        <v>#N/A Requesting Data...2136803782</v>
        <stp/>
        <stp>BDP|1017348282588683964</stp>
        <tr r="AA18" s="12"/>
      </tp>
      <tp t="s">
        <v>#N/A Requesting Data...4067325423</v>
        <stp/>
        <stp>BDP|2316315264249222526</stp>
        <tr r="C87" s="29"/>
      </tp>
      <tp t="s">
        <v>#N/A Requesting Data...2877004678</v>
        <stp/>
        <stp>BDP|6664187075003821856</stp>
        <tr r="C91" s="29"/>
      </tp>
      <tp t="s">
        <v>#N/A Requesting Data...2488358220</v>
        <stp/>
        <stp>BDP|4833881965637797648</stp>
        <tr r="O31" s="22"/>
      </tp>
      <tp t="s">
        <v>#N/A Requesting Data...2051593391</v>
        <stp/>
        <stp>BDP|9064923666428192523</stp>
        <tr r="X48" s="13"/>
        <tr r="X40" s="14"/>
      </tp>
      <tp t="s">
        <v>#N/A Requesting Data...3020456034</v>
        <stp/>
        <stp>BDP|8401344800843699319</stp>
        <tr r="X48" s="22"/>
      </tp>
      <tp t="s">
        <v>#N/A Requesting Data...2048590931</v>
        <stp/>
        <stp>BDP|1136628884066635267</stp>
        <tr r="AI26" s="12"/>
      </tp>
      <tp t="s">
        <v>#N/A Requesting Data...2746767238</v>
        <stp/>
        <stp>BDP|7551847286088541451</stp>
        <tr r="J35" s="12"/>
      </tp>
      <tp t="s">
        <v>#N/A Requesting Data...2462687488</v>
        <stp/>
        <stp>BDP|9495521905424340343</stp>
        <tr r="AI51" s="12"/>
      </tp>
      <tp t="s">
        <v>#N/A Requesting Data...2855720037</v>
        <stp/>
        <stp>BDP|7791143085175409061</stp>
        <tr r="AI25" s="12"/>
      </tp>
      <tp t="s">
        <v>#N/A Requesting Data...3500898485</v>
        <stp/>
        <stp>BDP|3753143365866781954</stp>
        <tr r="B29" s="17"/>
        <tr r="C33" s="22"/>
      </tp>
      <tp t="s">
        <v>#N/A Requesting Data...4037457778</v>
        <stp/>
        <stp>BDP|8893153699469149206</stp>
        <tr r="AB38" s="19"/>
      </tp>
      <tp t="s">
        <v>#N/A Requesting Data...3104438140</v>
        <stp/>
        <stp>BDP|3962063631352250992</stp>
        <tr r="AM10" s="17"/>
        <tr r="W36" s="14"/>
        <tr r="W6" s="13"/>
      </tp>
      <tp t="s">
        <v>#N/A Requesting Data...3777150716</v>
        <stp/>
        <stp>BDP|9025443529461819506</stp>
        <tr r="Q61" s="29"/>
      </tp>
      <tp t="s">
        <v>#N/A Requesting Data...3451506126</v>
        <stp/>
        <stp>BDP|7318846632471745672</stp>
        <tr r="L66" s="29"/>
      </tp>
      <tp t="s">
        <v>#N/A Requesting Data...3162688678</v>
        <stp/>
        <stp>BDP|2770075010160380794</stp>
        <tr r="Q39" s="29"/>
      </tp>
      <tp t="s">
        <v>#N/A Requesting Data...3383570473</v>
        <stp/>
        <stp>BDP|4768420528913671516</stp>
        <tr r="F7" s="18"/>
        <tr r="I28" s="19"/>
        <tr r="I91" s="19"/>
        <tr r="J5" s="17"/>
        <tr r="I16" s="30"/>
      </tp>
      <tp t="s">
        <v>#N/A Requesting Data...2914376672</v>
        <stp/>
        <stp>BDP|3819813561249053021</stp>
        <tr r="K30" s="29"/>
      </tp>
      <tp t="s">
        <v>#N/A Requesting Data...4058915964</v>
        <stp/>
        <stp>BDP|8472281181742536439</stp>
        <tr r="L28" s="22"/>
        <tr r="I23" s="12"/>
      </tp>
      <tp t="s">
        <v>#N/A Requesting Data...2053753823</v>
        <stp/>
        <stp>BDP|3131538209727001506</stp>
        <tr r="Y13" s="9"/>
        <tr r="R17" s="14"/>
        <tr r="R8" s="13"/>
        <tr r="U18" s="15"/>
      </tp>
      <tp t="s">
        <v>#N/A Requesting Data...2876177065</v>
        <stp/>
        <stp>BDP|1931043216287768375</stp>
        <tr r="J44" s="29"/>
      </tp>
      <tp t="s">
        <v>#N/A Requesting Data...2567185880</v>
        <stp/>
        <stp>BDP|4256331825249906862</stp>
        <tr r="AH51" s="12"/>
      </tp>
      <tp t="s">
        <v>#N/A Requesting Data...2340013532</v>
        <stp/>
        <stp>BDP|4865218866383481703</stp>
        <tr r="F45" s="18"/>
        <tr r="I127" s="19"/>
        <tr r="I41" s="19"/>
        <tr r="J42" s="17"/>
        <tr r="I23" s="30"/>
      </tp>
      <tp t="s">
        <v>#N/A Requesting Data...3454817066</v>
        <stp/>
        <stp>BDP|6166647142827475788</stp>
        <tr r="G17" s="18"/>
        <tr r="J103" s="19"/>
        <tr r="J22" s="19"/>
        <tr r="K14" s="17"/>
        <tr r="J18" s="30"/>
      </tp>
      <tp t="s">
        <v>#N/A Requesting Data...612250474</v>
        <stp/>
        <stp>BDP|9850248765240859994</stp>
        <tr r="Z5" s="9"/>
        <tr r="S4" s="14"/>
        <tr r="S26" s="13"/>
        <tr r="V33" s="15"/>
      </tp>
      <tp t="s">
        <v>#N/A Requesting Data...3015211217</v>
        <stp/>
        <stp>BDP|3163354281188907444</stp>
        <tr r="I12" s="27"/>
      </tp>
      <tp t="s">
        <v>#N/A Requesting Data...3904937857</v>
        <stp/>
        <stp>BDP|7586794781464575816</stp>
        <tr r="AG49" s="12"/>
      </tp>
      <tp t="s">
        <v>#N/A Requesting Data...3795368314</v>
        <stp/>
        <stp>BDP|9445429709508639101</stp>
        <tr r="AD12" s="12"/>
      </tp>
      <tp t="s">
        <v>#N/A Requesting Data...3076462488</v>
        <stp/>
        <stp>BDP|3337615037860474288</stp>
        <tr r="G46" s="9"/>
        <tr r="G11" s="23"/>
        <tr r="G159" s="23"/>
      </tp>
      <tp t="s">
        <v>#N/A Requesting Data...1067564067</v>
        <stp/>
        <stp>BDP|4528506945862098397</stp>
        <tr r="B49" s="12"/>
      </tp>
      <tp t="s">
        <v>#N/A Requesting Data...2632641712</v>
        <stp/>
        <stp>BDP|5259266558373302518</stp>
        <tr r="U89" s="9"/>
        <tr r="V67" s="19"/>
      </tp>
      <tp t="s">
        <v>#N/A Requesting Data...1852203342</v>
        <stp/>
        <stp>BDP|5332235493912848856</stp>
        <tr r="H36" s="9"/>
        <tr r="F28" s="10"/>
        <tr r="G14" s="15"/>
      </tp>
      <tp t="s">
        <v>#N/A Requesting Data...3206719524</v>
        <stp/>
        <stp>BDP|8495863007034935028</stp>
        <tr r="Y38" s="9"/>
      </tp>
      <tp t="s">
        <v>#N/A Requesting Data...3149708156</v>
        <stp/>
        <stp>BDP|5649634201404853325</stp>
        <tr r="L103" s="29"/>
      </tp>
      <tp t="s">
        <v>#N/A Requesting Data...2604416983</v>
        <stp/>
        <stp>BDP|5702017058677954392</stp>
        <tr r="AI14" s="12"/>
      </tp>
      <tp t="s">
        <v>#N/A Requesting Data...3628369393</v>
        <stp/>
        <stp>BDP|2532046874269830829</stp>
        <tr r="L51" s="29"/>
      </tp>
      <tp t="s">
        <v>#N/A Requesting Data...4185965338</v>
        <stp/>
        <stp>BDP|8157803175822882135</stp>
        <tr r="AM12" s="17"/>
      </tp>
      <tp t="s">
        <v>#N/A Requesting Data...2094410888</v>
        <stp/>
        <stp>BDP|3762001771418034892</stp>
        <tr r="Q26" s="29"/>
      </tp>
      <tp t="s">
        <v>#N/A Requesting Data...2876665875</v>
        <stp/>
        <stp>BDP|9657582940709360523</stp>
        <tr r="Y12" s="12"/>
      </tp>
      <tp t="s">
        <v>#N/A Requesting Data...633651654</v>
        <stp/>
        <stp>BDP|5858263312486280422</stp>
        <tr r="U84" s="9"/>
        <tr r="V62" s="19"/>
      </tp>
      <tp t="s">
        <v>#N/A Requesting Data...3340056921</v>
        <stp/>
        <stp>BDP|4508062757650809507</stp>
        <tr r="K73" s="29"/>
      </tp>
      <tp t="s">
        <v>#N/A Requesting Data...1746197256</v>
        <stp/>
        <stp>BDP|8550990673601345301</stp>
        <tr r="X26" s="22"/>
      </tp>
      <tp t="s">
        <v>#N/A Requesting Data...3767060724</v>
        <stp/>
        <stp>BDP|8139992848688584985</stp>
        <tr r="C78" s="29"/>
      </tp>
      <tp t="s">
        <v>#N/A Requesting Data...3756670691</v>
        <stp/>
        <stp>BDP|1158584717160357109</stp>
        <tr r="J18" s="12"/>
      </tp>
      <tp t="s">
        <v>#N/A Requesting Data...3098514115</v>
        <stp/>
        <stp>BDP|6125762494248997474</stp>
        <tr r="K24" s="29"/>
      </tp>
      <tp t="s">
        <v>#N/A Requesting Data...3317454256</v>
        <stp/>
        <stp>BDP|9652418998845523575</stp>
        <tr r="J84" s="29"/>
      </tp>
      <tp t="s">
        <v>#N/A Requesting Data...1276754507</v>
        <stp/>
        <stp>BDP|8034051398291175410</stp>
        <tr r="Y54" s="12"/>
      </tp>
      <tp t="s">
        <v>#N/A Requesting Data...3916403697</v>
        <stp/>
        <stp>BDP|4435574804957656233</stp>
        <tr r="AC7" s="9"/>
        <tr r="W13" s="14"/>
        <tr r="W46" s="13"/>
        <tr r="Z6" s="15"/>
      </tp>
      <tp t="s">
        <v>#N/A Requesting Data...3819157082</v>
        <stp/>
        <stp>BDP|3625410433885061567</stp>
        <tr r="B31" s="17"/>
        <tr r="C29" s="22"/>
        <tr r="X29" s="12"/>
      </tp>
      <tp t="s">
        <v>#N/A Requesting Data...4200440250</v>
        <stp/>
        <stp>BDP|1883791844477216151</stp>
        <tr r="AD22" s="12"/>
      </tp>
      <tp t="s">
        <v>#N/A Requesting Data...1365541702</v>
        <stp/>
        <stp>BDP|9507959741569328901</stp>
        <tr r="Z19" s="9"/>
        <tr r="S30" s="14"/>
        <tr r="S36" s="13"/>
        <tr r="V25" s="15"/>
      </tp>
      <tp t="s">
        <v>#N/A Requesting Data...2287944663</v>
        <stp/>
        <stp>BDP|5450044212401653165</stp>
        <tr r="Q16" s="29"/>
      </tp>
      <tp t="s">
        <v>#N/A Requesting Data...3823994492</v>
        <stp/>
        <stp>BDP|3494842598892898434</stp>
        <tr r="AI13" s="12"/>
      </tp>
      <tp t="s">
        <v>#N/A Requesting Data...2587421686</v>
        <stp/>
        <stp>BDP|8192843620781495724</stp>
        <tr r="Y143" s="17"/>
        <tr r="C9" s="27"/>
      </tp>
      <tp t="s">
        <v>#N/A Requesting Data...3232287763</v>
        <stp/>
        <stp>BDP|7492915492606517518</stp>
        <tr r="L63" s="29"/>
      </tp>
      <tp t="s">
        <v>#N/A Requesting Data...2880133804</v>
        <stp/>
        <stp>BDP|3420001603113612427</stp>
        <tr r="AE51" s="12"/>
      </tp>
      <tp t="s">
        <v>#N/A Requesting Data...3266400345</v>
        <stp/>
        <stp>BDP|6267002281642526854</stp>
        <tr r="AG53" s="12"/>
      </tp>
      <tp t="s">
        <v>#N/A Requesting Data...3166705351</v>
        <stp/>
        <stp>BDP|9761246889955338292</stp>
        <tr r="Y62" s="9"/>
        <tr r="R68" s="14"/>
        <tr r="R64" s="13"/>
        <tr r="U52" s="15"/>
      </tp>
      <tp t="s">
        <v>#N/A Requesting Data...4060083816</v>
        <stp/>
        <stp>BDP|5127495300835856000</stp>
        <tr r="W33" s="13"/>
        <tr r="W53" s="14"/>
      </tp>
      <tp t="s">
        <v>#N/A Requesting Data...4043591739</v>
        <stp/>
        <stp>BDP|1097676212153268172</stp>
        <tr r="L35" s="29"/>
      </tp>
      <tp t="s">
        <v>#N/A Requesting Data...4173254393</v>
        <stp/>
        <stp>BDP|9297832591194086807</stp>
        <tr r="K94" s="29"/>
      </tp>
      <tp t="s">
        <v>#N/A Requesting Data...2396921184</v>
        <stp/>
        <stp>BDP|4808088424165772739</stp>
        <tr r="Q34" s="29"/>
      </tp>
      <tp t="s">
        <v>#N/A Requesting Data...2934180019</v>
        <stp/>
        <stp>BDP|7009079481473345840</stp>
        <tr r="G14" s="9"/>
        <tr r="P11" s="23"/>
        <tr r="P157" s="23"/>
        <tr r="T25" s="22"/>
        <tr r="E17" s="10"/>
        <tr r="F35" s="15"/>
        <tr r="E39" s="28"/>
      </tp>
      <tp t="s">
        <v>#N/A Requesting Data...941004665</v>
        <stp/>
        <stp>BDP|6066377102649055849</stp>
        <tr r="S71" s="14"/>
        <tr r="S63" s="13"/>
      </tp>
      <tp t="s">
        <v>#N/A Requesting Data...2265657421</v>
        <stp/>
        <stp>BDP|1594344171739428853</stp>
        <tr r="J65" s="29"/>
      </tp>
      <tp t="s">
        <v>#N/A Requesting Data...685285494</v>
        <stp/>
        <stp>BDP|6391732176782057072</stp>
        <tr r="AC31" s="9"/>
        <tr r="Z4" s="15"/>
      </tp>
      <tp t="s">
        <v>#N/A Requesting Data...2668579336</v>
        <stp/>
        <stp>BDP|1477000440365672432</stp>
        <tr r="Q93" s="29"/>
      </tp>
      <tp t="s">
        <v>#N/A Requesting Data...2464140947</v>
        <stp/>
        <stp>BDP|4646198568364476328</stp>
        <tr r="AD11" s="12"/>
      </tp>
      <tp t="s">
        <v>#N/A Requesting Data...2783516732</v>
        <stp/>
        <stp>BDP|3219339660615651768</stp>
        <tr r="C63" s="29"/>
      </tp>
      <tp t="s">
        <v>#N/A Requesting Data...2717983161</v>
        <stp/>
        <stp>BDP|2393211655267059668</stp>
        <tr r="K103" s="29"/>
      </tp>
      <tp t="s">
        <v>#N/A Requesting Data...2901965908</v>
        <stp/>
        <stp>BDP|1506130403080477476</stp>
        <tr r="AN11" s="17"/>
      </tp>
      <tp t="s">
        <v>#N/A Requesting Data...3798570096</v>
        <stp/>
        <stp>BDP|6642238250030595565</stp>
        <tr r="S53" s="14"/>
        <tr r="S33" s="13"/>
      </tp>
      <tp t="s">
        <v>#N/A Requesting Data...3823506388</v>
        <stp/>
        <stp>BDP|2720548937687232708</stp>
        <tr r="AG36" s="12"/>
      </tp>
      <tp t="s">
        <v>#N/A Requesting Data...966648616</v>
        <stp/>
        <stp>BDP|5762766603894611235</stp>
        <tr r="F36" s="10"/>
      </tp>
      <tp t="s">
        <v>#N/A Requesting Data...3568980906</v>
        <stp/>
        <stp>BDP|3592663327367465470</stp>
        <tr r="L14" s="29"/>
      </tp>
      <tp t="s">
        <v>#N/A Requesting Data...3506962707</v>
        <stp/>
        <stp>BDP|2306324635154646250</stp>
        <tr r="G22" s="9"/>
        <tr r="G171" s="23"/>
        <tr r="G23" s="23"/>
        <tr r="T32" s="22"/>
        <tr r="E29" s="10"/>
        <tr r="F37" s="15"/>
        <tr r="E35" s="28"/>
        <tr r="E36" s="28"/>
      </tp>
      <tp t="s">
        <v>#N/A Requesting Data...2578667095</v>
        <stp/>
        <stp>BDP|2863107343553865041</stp>
        <tr r="I39" s="9"/>
        <tr r="H39" s="15"/>
      </tp>
      <tp t="s">
        <v>#N/A Requesting Data...1810231351</v>
        <stp/>
        <stp>BDP|6098805434129673059</stp>
        <tr r="X39" s="22"/>
      </tp>
      <tp t="s">
        <v>#N/A Requesting Data...3246900592</v>
        <stp/>
        <stp>BDP|8761116706904691912</stp>
        <tr r="L40" s="22"/>
        <tr r="I39" s="12"/>
      </tp>
      <tp t="s">
        <v>#N/A Requesting Data...1211609574</v>
        <stp/>
        <stp>BDP|6678142357870055612</stp>
        <tr r="AG54" s="12"/>
      </tp>
      <tp t="s">
        <v>#N/A Requesting Data...2361023774</v>
        <stp/>
        <stp>BDP|3717411072115740178</stp>
        <tr r="J12" s="29"/>
      </tp>
      <tp t="s">
        <v>#N/A Requesting Data...4090508598</v>
        <stp/>
        <stp>BDP|7510349740314264073</stp>
        <tr r="AA33" s="12"/>
      </tp>
      <tp t="s">
        <v>#N/A Requesting Data...3402188829</v>
        <stp/>
        <stp>BDP|5495860082291072051</stp>
        <tr r="H4" s="9"/>
        <tr r="F7" s="10"/>
        <tr r="G9" s="15"/>
      </tp>
      <tp t="s">
        <v>#N/A Requesting Data...2254441682</v>
        <stp/>
        <stp>BDP|8725763542768571730</stp>
        <tr r="G35" s="18"/>
        <tr r="J38" s="19"/>
        <tr r="K32" s="17"/>
      </tp>
      <tp t="s">
        <v>#N/A Requesting Data...2447165373</v>
        <stp/>
        <stp>BDP|3561284328011215620</stp>
        <tr r="C29" s="29"/>
      </tp>
      <tp t="s">
        <v>#N/A Requesting Data...2627569571</v>
        <stp/>
        <stp>BDP|7461057944824182313</stp>
        <tr r="L5" s="29"/>
      </tp>
      <tp t="s">
        <v>#N/A Requesting Data...826541521</v>
        <stp/>
        <stp>BDP|5430160537320049302</stp>
        <tr r="AI50" s="12"/>
      </tp>
      <tp t="s">
        <v>#N/A Requesting Data...4238583418</v>
        <stp/>
        <stp>BDP|7963922187466751512</stp>
        <tr r="L13" s="29"/>
      </tp>
      <tp t="s">
        <v>#N/A Requesting Data...3165230667</v>
        <stp/>
        <stp>BDP|6641049669911797476</stp>
        <tr r="S43" s="14"/>
        <tr r="S18" s="13"/>
      </tp>
      <tp t="s">
        <v>#N/A Requesting Data...2578595682</v>
        <stp/>
        <stp>BDP|9270264421438858469</stp>
        <tr r="B17" s="17"/>
        <tr r="C24" s="22"/>
        <tr r="X18" s="12"/>
      </tp>
      <tp t="s">
        <v>#N/A Requesting Data...3774900195</v>
        <stp/>
        <stp>BDP|4355140562423653589</stp>
        <tr r="AG40" s="12"/>
      </tp>
      <tp t="s">
        <v>#N/A Requesting Data...2392376116</v>
        <stp/>
        <stp>BDP|5070519372285154797</stp>
        <tr r="G40" s="18"/>
        <tr r="J125" s="19"/>
        <tr r="J23" s="19"/>
        <tr r="K37" s="17"/>
        <tr r="J38" s="30"/>
      </tp>
      <tp t="s">
        <v>#N/A Requesting Data...1590173812</v>
        <stp/>
        <stp>BDP|7075080415250008364</stp>
        <tr r="Z61" s="9"/>
        <tr r="S65" s="14"/>
        <tr r="S62" s="13"/>
        <tr r="V49" s="15"/>
      </tp>
      <tp t="s">
        <v>#N/A Requesting Data...3285366101</v>
        <stp/>
        <stp>BDP|5373962596585003587</stp>
        <tr r="AG23" s="12"/>
      </tp>
      <tp t="s">
        <v>#N/A Requesting Data...3563368554</v>
        <stp/>
        <stp>BDP|5077365548010075769</stp>
        <tr r="AA10" s="19"/>
        <tr r="AI9" s="17"/>
        <tr r="X28" s="30"/>
      </tp>
      <tp t="s">
        <v>#N/A Requesting Data...3575648861</v>
        <stp/>
        <stp>BDP|5242115560685988223</stp>
        <tr r="AA32" s="19"/>
        <tr r="AI19" s="17"/>
        <tr r="X24" s="30"/>
      </tp>
      <tp t="s">
        <v>#N/A Requesting Data...3445660312</v>
        <stp/>
        <stp>BDP|3895025403041311729</stp>
        <tr r="L98" s="29"/>
      </tp>
      <tp t="s">
        <v>#N/A Requesting Data...3880279675</v>
        <stp/>
        <stp>BDP|8920484509970431957</stp>
        <tr r="B5" s="12"/>
      </tp>
      <tp t="s">
        <v>#N/A Requesting Data...3734750901</v>
        <stp/>
        <stp>BDP|9506997693308164478</stp>
        <tr r="L80" s="29"/>
      </tp>
      <tp t="s">
        <v>#N/A Requesting Data...3793366731</v>
        <stp/>
        <stp>BDP|2966053783968157775</stp>
        <tr r="Q14" s="29"/>
      </tp>
      <tp t="s">
        <v>#N/A Requesting Data...4283493736</v>
        <stp/>
        <stp>BDP|8884222072361773968</stp>
        <tr r="T40" s="12"/>
      </tp>
      <tp t="s">
        <v>#N/A Requesting Data...3369061644</v>
        <stp/>
        <stp>BDP|9797796281027824496</stp>
        <tr r="X49" s="22"/>
      </tp>
      <tp t="s">
        <v>#N/A Requesting Data...1734542732</v>
        <stp/>
        <stp>BDP|2769686634956373461</stp>
        <tr r="Z58" s="9"/>
        <tr r="S64" s="14"/>
        <tr r="S61" s="13"/>
        <tr r="V51" s="15"/>
      </tp>
      <tp t="s">
        <v>#N/A Requesting Data...2666897755</v>
        <stp/>
        <stp>BDP|2090707809985120560</stp>
        <tr r="AA28" s="19"/>
        <tr r="AI5" s="17"/>
        <tr r="R9" s="14"/>
        <tr r="R22" s="13"/>
        <tr r="X16" s="30"/>
      </tp>
      <tp t="s">
        <v>#N/A Requesting Data...3830120699</v>
        <stp/>
        <stp>BDP|3034164478995131500</stp>
        <tr r="Q86" s="29"/>
      </tp>
      <tp t="s">
        <v>#N/A Requesting Data...3422689862</v>
        <stp/>
        <stp>BDP|6050452068292713369</stp>
        <tr r="T36" s="22"/>
        <tr r="E39" s="10"/>
        <tr r="E37" s="26"/>
        <tr r="E38" s="26"/>
        <tr r="E39" s="26"/>
        <tr r="E62" s="26"/>
        <tr r="E9" s="26"/>
        <tr r="E71" s="28"/>
      </tp>
      <tp t="s">
        <v>#N/A Requesting Data...3719745582</v>
        <stp/>
        <stp>BDP|5202629379829387866</stp>
        <tr r="H4" s="27"/>
      </tp>
      <tp t="s">
        <v>#N/A Requesting Data...2547493928</v>
        <stp/>
        <stp>BDP|3941732316027618764</stp>
        <tr r="K91" s="29"/>
      </tp>
      <tp t="s">
        <v>#N/A Requesting Data...3431968820</v>
        <stp/>
        <stp>BDP|1159684310486060551</stp>
        <tr r="Y16" s="12"/>
      </tp>
      <tp t="s">
        <v>#N/A Requesting Data...3529687682</v>
        <stp/>
        <stp>BDP|5016723246097971412</stp>
        <tr r="AI18" s="12"/>
      </tp>
      <tp t="s">
        <v>#N/A Requesting Data...2770377538</v>
        <stp/>
        <stp>BDP|7887453256656373558</stp>
        <tr r="B30" s="12"/>
      </tp>
      <tp t="s">
        <v>#N/A Requesting Data...3934451257</v>
        <stp/>
        <stp>BDP|2308196195127354816</stp>
        <tr r="P84" s="9"/>
      </tp>
      <tp t="s">
        <v>#N/A Requesting Data...1865260331</v>
        <stp/>
        <stp>BDP|6558458140017637447</stp>
        <tr r="O46" s="22"/>
      </tp>
      <tp t="s">
        <v>#N/A Requesting Data...2510744205</v>
        <stp/>
        <stp>BDP|6565035769107982246</stp>
        <tr r="AB12" s="19"/>
        <tr r="AJ15" s="17"/>
        <tr r="Y14" s="30"/>
      </tp>
      <tp t="s">
        <v>#N/A Requesting Data...3293384049</v>
        <stp/>
        <stp>BDP|4245563056980525152</stp>
        <tr r="AA30" s="19"/>
        <tr r="AI21" s="17"/>
        <tr r="X19" s="30"/>
      </tp>
      <tp t="s">
        <v>#N/A Requesting Data...3711529741</v>
        <stp/>
        <stp>BDP|8776932908353861762</stp>
        <tr r="Z11" s="9"/>
        <tr r="S11" s="14"/>
        <tr r="S13" s="13"/>
        <tr r="V16" s="15"/>
      </tp>
      <tp t="s">
        <v>#N/A Requesting Data...3437614740</v>
        <stp/>
        <stp>BDP|1633664716113158057</stp>
        <tr r="K54" s="29"/>
      </tp>
      <tp t="s">
        <v>#N/A Requesting Data...819310552</v>
        <stp/>
        <stp>BDP|7634457181739617779</stp>
        <tr r="H7" s="9"/>
        <tr r="F12" s="10"/>
        <tr r="G6" s="15"/>
      </tp>
      <tp t="s">
        <v>#N/A Requesting Data...2613349109</v>
        <stp/>
        <stp>BDP|2336716704713718328</stp>
        <tr r="K57" s="29"/>
      </tp>
      <tp t="s">
        <v>#N/A Requesting Data...2781986520</v>
        <stp/>
        <stp>BDP|1265781109925933690</stp>
        <tr r="G58" s="9"/>
        <tr r="U87" s="9"/>
        <tr r="V65" s="19"/>
        <tr r="G185" s="23"/>
        <tr r="G37" s="23"/>
        <tr r="T16" s="22"/>
        <tr r="E56" s="10"/>
        <tr r="F51" s="15"/>
      </tp>
      <tp t="s">
        <v>#N/A Requesting Data...3336588314</v>
        <stp/>
        <stp>BDP|6793043123354279511</stp>
        <tr r="Y34" s="12"/>
      </tp>
      <tp t="s">
        <v>#N/A Requesting Data...2602015269</v>
        <stp/>
        <stp>BDP|8352306704468119654</stp>
        <tr r="H56" s="9"/>
        <tr r="F60" s="10"/>
        <tr r="G53" s="15"/>
      </tp>
      <tp t="s">
        <v>#N/A Requesting Data...4013212837</v>
        <stp/>
        <stp>BDP|5533669561119960988</stp>
        <tr r="Y35" s="9"/>
        <tr r="U30" s="15"/>
      </tp>
      <tp t="s">
        <v>#N/A Requesting Data...3670057456</v>
        <stp/>
        <stp>BDP|4054115064495279347</stp>
        <tr r="Q59" s="29"/>
      </tp>
      <tp t="s">
        <v>#N/A Requesting Data...2472415528</v>
        <stp/>
        <stp>BDP|5865310734098971876</stp>
        <tr r="S72" s="14"/>
        <tr r="S65" s="13"/>
      </tp>
      <tp t="s">
        <v>#N/A Requesting Data...3159720682</v>
        <stp/>
        <stp>BDP|7970102118903445158</stp>
        <tr r="L23" s="29"/>
      </tp>
      <tp t="s">
        <v>#N/A Requesting Data...780408047</v>
        <stp/>
        <stp>BDP|3687157552960321222</stp>
        <tr r="AH49" s="12"/>
      </tp>
      <tp t="s">
        <v>#N/A Requesting Data...895427524</v>
        <stp/>
        <stp>BDP|6820198854842715538</stp>
        <tr r="G26" s="9"/>
        <tr r="P192" s="23"/>
        <tr r="P44" s="23"/>
        <tr r="T31" s="22"/>
        <tr r="E31" s="10"/>
        <tr r="F28" s="15"/>
      </tp>
      <tp t="s">
        <v>#N/A Requesting Data...3793654734</v>
        <stp/>
        <stp>BDP|5676759322267267224</stp>
        <tr r="G30" s="18"/>
        <tr r="J111" s="19"/>
        <tr r="J8" s="19"/>
        <tr r="J6" s="30"/>
      </tp>
      <tp t="s">
        <v>#N/A Requesting Data...3972451528</v>
        <stp/>
        <stp>BDP|6373210406177452612</stp>
        <tr r="Z15" s="9"/>
        <tr r="S23" s="14"/>
        <tr r="S41" s="13"/>
        <tr r="V34" s="15"/>
      </tp>
      <tp t="s">
        <v>#N/A Requesting Data...1620074773</v>
        <stp/>
        <stp>BDP|8459907474422931185</stp>
        <tr r="H35" s="9"/>
        <tr r="F45" s="10"/>
        <tr r="G30" s="15"/>
      </tp>
      <tp t="s">
        <v>#N/A Requesting Data...4077265191</v>
        <stp/>
        <stp>BDP|5100135767923273468</stp>
        <tr r="AN16" s="17"/>
      </tp>
      <tp t="s">
        <v>#N/A Requesting Data...2799186123</v>
        <stp/>
        <stp>BDP|6232648509863625686</stp>
        <tr r="AA31" s="12"/>
      </tp>
      <tp t="s">
        <v>#N/A Requesting Data...1625197846</v>
        <stp/>
        <stp>BDP|7796400431236216322</stp>
        <tr r="AC14" s="9"/>
        <tr r="W16" s="14"/>
        <tr r="W34" s="13"/>
        <tr r="Z35" s="15"/>
      </tp>
      <tp t="s">
        <v>#N/A Requesting Data...2571014885</v>
        <stp/>
        <stp>BDP|8704885238483204530</stp>
        <tr r="AM36" s="17"/>
      </tp>
      <tp t="s">
        <v>#N/A Requesting Data...2778704528</v>
        <stp/>
        <stp>BDP|4446183849221042534</stp>
        <tr r="AA26" s="12"/>
      </tp>
      <tp t="s">
        <v>#N/A Requesting Data...2491846162</v>
        <stp/>
        <stp>BDP|2828693754155326105</stp>
        <tr r="J16" s="12"/>
      </tp>
      <tp t="s">
        <v>#N/A Requesting Data...4088441308</v>
        <stp/>
        <stp>BDP|3297404266892076639</stp>
        <tr r="Z32" s="9"/>
        <tr r="S46" s="14"/>
        <tr r="V38" s="15"/>
      </tp>
      <tp t="s">
        <v>#N/A Requesting Data...4182907559</v>
        <stp/>
        <stp>BDP|4075249205465720614</stp>
        <tr r="Q73" s="29"/>
      </tp>
      <tp t="s">
        <v>#N/A Requesting Data...3770316151</v>
        <stp/>
        <stp>BDP|6359605762383274044</stp>
        <tr r="G28" s="18"/>
        <tr r="J13" s="19"/>
        <tr r="J119" s="19"/>
        <tr r="K25" s="17"/>
        <tr r="J5" s="30"/>
      </tp>
      <tp t="s">
        <v>#N/A Requesting Data...2798484718</v>
        <stp/>
        <stp>BDP|6759117150182159503</stp>
        <tr r="G27" s="18"/>
        <tr r="J116" s="19"/>
        <tr r="J4" s="19"/>
        <tr r="K26" s="17"/>
        <tr r="J4" s="30"/>
      </tp>
      <tp t="s">
        <v>#N/A Requesting Data...2741597476</v>
        <stp/>
        <stp>BDP|6577932371395626860</stp>
        <tr r="Q13" s="29"/>
      </tp>
      <tp t="s">
        <v>#N/A Requesting Data...2995690942</v>
        <stp/>
        <stp>BDP|3790046226724838096</stp>
        <tr r="AI23" s="12"/>
      </tp>
      <tp t="s">
        <v>#N/A Requesting Data...2804866725</v>
        <stp/>
        <stp>BDP|6129799315927879219</stp>
        <tr r="X127" s="17"/>
      </tp>
      <tp t="s">
        <v>#N/A Requesting Data...1063918305</v>
        <stp/>
        <stp>BDP|3259226553095249459</stp>
        <tr r="AC13" s="9"/>
        <tr r="W17" s="14"/>
        <tr r="W8" s="13"/>
        <tr r="Z18" s="15"/>
      </tp>
      <tp t="s">
        <v>#N/A Requesting Data...1096068432</v>
        <stp/>
        <stp>BDP|3063916857593208906</stp>
        <tr r="G13" s="9"/>
        <tr r="P12" s="23"/>
        <tr r="P158" s="23"/>
        <tr r="T20" s="22"/>
        <tr r="E18" s="10"/>
        <tr r="F18" s="15"/>
        <tr r="E54" s="26"/>
        <tr r="E60" s="26"/>
      </tp>
      <tp t="s">
        <v>#N/A Requesting Data...2645520329</v>
        <stp/>
        <stp>BDP|5959360227867987647</stp>
        <tr r="L36" s="22"/>
        <tr r="I40" s="12"/>
      </tp>
      <tp t="s">
        <v>#N/A Requesting Data...2748504460</v>
        <stp/>
        <stp>BDP|4499966321138211248</stp>
        <tr r="L8" s="29"/>
      </tp>
      <tp t="s">
        <v>#N/A Requesting Data...760052333</v>
        <stp/>
        <stp>BDP|7619433476155416424</stp>
        <tr r="AN13" s="17"/>
        <tr r="X28" s="14"/>
        <tr r="X4" s="13"/>
      </tp>
    </main>
    <main first="bofaddin.rtdserver">
      <tp t="s">
        <v>#N/A Requesting Data...3031839473</v>
        <stp/>
        <stp>BDP|1959038435933481716</stp>
        <tr r="B13" s="29"/>
      </tp>
      <tp t="s">
        <v>#N/A Requesting Data...3232923577</v>
        <stp/>
        <stp>BDP|7491894525522626947</stp>
        <tr r="K86" s="29"/>
      </tp>
      <tp t="s">
        <v>#N/A Requesting Data...3715298110</v>
        <stp/>
        <stp>BDP|1077537498282765967</stp>
        <tr r="E29" s="18"/>
        <tr r="H112" s="19"/>
        <tr r="H21" s="19"/>
        <tr r="I24" s="17"/>
        <tr r="P172" s="23"/>
        <tr r="P95" s="23"/>
        <tr r="H131" s="22"/>
        <tr r="H28" s="22"/>
        <tr r="H88" s="22"/>
        <tr r="E23" s="12"/>
      </tp>
      <tp t="s">
        <v>#N/A Requesting Data...2778834359</v>
        <stp/>
        <stp>BDP|5050818082626924510</stp>
        <tr r="AH14" s="12"/>
      </tp>
      <tp t="s">
        <v>#N/A Requesting Data...2725957448</v>
        <stp/>
        <stp>BDP|1459225264435162688</stp>
        <tr r="L54" s="29"/>
      </tp>
      <tp t="s">
        <v>#N/A Requesting Data...3694462234</v>
        <stp/>
        <stp>BDP|1908540912882074140</stp>
        <tr r="AN25" s="17"/>
      </tp>
      <tp t="s">
        <v>#N/A Requesting Data...3787063759</v>
        <stp/>
        <stp>BDP|7331860768396336953</stp>
        <tr r="J36" s="12"/>
      </tp>
      <tp t="s">
        <v>#N/A Requesting Data...2173688348</v>
        <stp/>
        <stp>BDP|1218294501720087522</stp>
        <tr r="C11" s="22"/>
      </tp>
      <tp t="s">
        <v>#N/A Requesting Data...3614279457</v>
        <stp/>
        <stp>BDP|6757694153910702324</stp>
        <tr r="J9" s="12"/>
      </tp>
      <tp t="s">
        <v>#N/A Requesting Data...2463383927</v>
        <stp/>
        <stp>BDP|4887049227583074330</stp>
        <tr r="Y28" s="9"/>
        <tr r="R49" s="14"/>
        <tr r="R39" s="13"/>
        <tr r="U8" s="15"/>
      </tp>
      <tp t="s">
        <v>#N/A Requesting Data...3910668133</v>
        <stp/>
        <stp>BDP|9305380967452159854</stp>
        <tr r="AB40" s="19"/>
        <tr r="AJ30" s="17"/>
        <tr r="Y41" s="30"/>
      </tp>
      <tp t="s">
        <v>#N/A Requesting Data...3530411713</v>
        <stp/>
        <stp>BDP|2179287538607117298</stp>
        <tr r="R44" s="13"/>
        <tr r="R38" s="14"/>
      </tp>
      <tp t="s">
        <v>#N/A Requesting Data...1439889862</v>
        <stp/>
        <stp>BDP|1892276602771585414</stp>
        <tr r="I7" s="27"/>
      </tp>
      <tp t="s">
        <v>#N/A Requesting Data...4009457919</v>
        <stp/>
        <stp>BDP|6419694466026210600</stp>
        <tr r="G15" s="18"/>
        <tr r="J29" s="19"/>
        <tr r="J98" s="19"/>
        <tr r="K12" s="17"/>
        <tr r="J37" s="30"/>
      </tp>
      <tp t="s">
        <v>#N/A Requesting Data...4288356848</v>
        <stp/>
        <stp>BDP|3773607668024949185</stp>
        <tr r="I49" s="12"/>
      </tp>
      <tp t="s">
        <v>#N/A Requesting Data...2957979586</v>
        <stp/>
        <stp>BDP|9766667814218376086</stp>
        <tr r="J16" s="29"/>
      </tp>
      <tp t="s">
        <v>#N/A Requesting Data...4143000893</v>
        <stp/>
        <stp>BDP|2423486067762408408</stp>
        <tr r="J32" s="29"/>
      </tp>
      <tp t="s">
        <v>#N/A Requesting Data...2717219845</v>
        <stp/>
        <stp>BDP|1427372517154389184</stp>
        <tr r="C26" s="29"/>
      </tp>
      <tp t="s">
        <v>#N/A Requesting Data...1881687337</v>
        <stp/>
        <stp>BDP|3435448378796285053</stp>
        <tr r="Z40" s="9"/>
        <tr r="S44" s="14"/>
        <tr r="S50" s="13"/>
        <tr r="V29" s="15"/>
      </tp>
      <tp t="s">
        <v>#N/A Requesting Data...1149054064</v>
        <stp/>
        <stp>BDP|1668517080098294295</stp>
        <tr r="X31" s="22"/>
      </tp>
      <tp t="s">
        <v>#N/A Requesting Data...2617363868</v>
        <stp/>
        <stp>BDP|9970664983031597055</stp>
        <tr r="K88" s="29"/>
      </tp>
      <tp t="s">
        <v>#N/A Requesting Data...4196370553</v>
        <stp/>
        <stp>BDP|1791318953194813516</stp>
        <tr r="AI16" s="17"/>
      </tp>
      <tp t="s">
        <v>#N/A Requesting Data...2421668182</v>
        <stp/>
        <stp>BDP|4892482068604206474</stp>
        <tr r="Z20" s="9"/>
        <tr r="S14" s="14"/>
        <tr r="S20" s="13"/>
        <tr r="V15" s="15"/>
      </tp>
      <tp t="s">
        <v>#N/A Requesting Data...3026957087</v>
        <stp/>
        <stp>BDP|8081914078961548118</stp>
        <tr r="AA39" s="12"/>
      </tp>
      <tp t="s">
        <v>#N/A Requesting Data...3567884446</v>
        <stp/>
        <stp>BDP|5155883072509745519</stp>
        <tr r="L90" s="29"/>
      </tp>
      <tp t="s">
        <v>#N/A Requesting Data...4256268837</v>
        <stp/>
        <stp>BDP|6207354937760724059</stp>
        <tr r="I55" s="12"/>
      </tp>
      <tp t="s">
        <v>#N/A Requesting Data...3259639883</v>
        <stp/>
        <stp>BDP|3705619695079639370</stp>
        <tr r="L47" s="29"/>
      </tp>
      <tp t="s">
        <v>#N/A Requesting Data...2467432630</v>
        <stp/>
        <stp>BDP|5012185748767298106</stp>
        <tr r="I37" s="9"/>
        <tr r="G41" s="10"/>
        <tr r="H12" s="15"/>
      </tp>
      <tp t="s">
        <v>#N/A Requesting Data...3077160702</v>
        <stp/>
        <stp>BDP|9226826564861446029</stp>
        <tr r="AH39" s="12"/>
      </tp>
      <tp t="s">
        <v>#N/A Requesting Data...4062842393</v>
        <stp/>
        <stp>BDP|8913973651096441495</stp>
        <tr r="Q91" s="29"/>
      </tp>
      <tp t="s">
        <v>#N/A Requesting Data...2108284825</v>
        <stp/>
        <stp>BDP|6528097611318616990</stp>
        <tr r="W48" s="13"/>
        <tr r="W40" s="14"/>
      </tp>
      <tp t="s">
        <v>#N/A Requesting Data...3971047392</v>
        <stp/>
        <stp>BDP|4250330223997076416</stp>
        <tr r="J4" s="27"/>
      </tp>
      <tp t="s">
        <v>#N/A Requesting Data...3742302271</v>
        <stp/>
        <stp>BDP|4466222865892881487</stp>
        <tr r="AM16" s="17"/>
      </tp>
      <tp t="s">
        <v>#N/A Requesting Data...4236449259</v>
        <stp/>
        <stp>BDP|5181041120784611508</stp>
        <tr r="Y7" s="9"/>
        <tr r="R13" s="14"/>
        <tr r="R46" s="13"/>
        <tr r="U6" s="15"/>
      </tp>
      <tp t="s">
        <v>#N/A Requesting Data...3963838455</v>
        <stp/>
        <stp>BDP|4293332933092340016</stp>
        <tr r="Z31" s="9"/>
        <tr r="V4" s="15"/>
      </tp>
      <tp t="s">
        <v>#N/A Requesting Data...2842410085</v>
        <stp/>
        <stp>BDP|7607562922814763255</stp>
        <tr r="J11" s="29"/>
      </tp>
      <tp t="s">
        <v>#N/A Requesting Data...2848732866</v>
        <stp/>
        <stp>BDP|1036532000825579767</stp>
        <tr r="J17" s="29"/>
      </tp>
      <tp t="s">
        <v>#N/A Requesting Data...3827984337</v>
        <stp/>
        <stp>BDP|3409541331443186001</stp>
        <tr r="G12" s="18"/>
        <tr r="J10" s="19"/>
        <tr r="J99" s="19"/>
        <tr r="K9" s="17"/>
        <tr r="J28" s="30"/>
      </tp>
      <tp t="s">
        <v>#N/A Requesting Data...4195372683</v>
        <stp/>
        <stp>BDP|3779838690697557313</stp>
        <tr r="Q71" s="29"/>
      </tp>
      <tp t="s">
        <v>#N/A Requesting Data...3607997526</v>
        <stp/>
        <stp>BDP|4557851461769691579</stp>
        <tr r="J6" s="29"/>
      </tp>
      <tp t="s">
        <v>#N/A Requesting Data...3575551670</v>
        <stp/>
        <stp>BDP|7554369741675313306</stp>
        <tr r="L7" s="22"/>
        <tr r="I5" s="12"/>
      </tp>
      <tp t="s">
        <v>#N/A Requesting Data...3471232329</v>
        <stp/>
        <stp>BDP|6450648503647669135</stp>
        <tr r="J55" s="29"/>
      </tp>
      <tp t="s">
        <v>#N/A Requesting Data...3051592281</v>
        <stp/>
        <stp>BDP|4067856082153472157</stp>
        <tr r="I21" s="26"/>
        <tr r="I21" s="28"/>
      </tp>
      <tp t="s">
        <v>#N/A Requesting Data...2848523596</v>
        <stp/>
        <stp>BDP|5610317741290811480</stp>
        <tr r="B9" s="12"/>
      </tp>
      <tp t="s">
        <v>#N/A Requesting Data...1275653106</v>
        <stp/>
        <stp>BDP|3062285064338957932</stp>
        <tr r="I46" s="9"/>
      </tp>
      <tp t="s">
        <v>#N/A Requesting Data...2754862010</v>
        <stp/>
        <stp>BDP|7651932292401878082</stp>
        <tr r="L87" s="29"/>
      </tp>
      <tp t="s">
        <v>#N/A Requesting Data...746652907</v>
        <stp/>
        <stp>BDP|3074213274335261532</stp>
        <tr r="B26" s="17"/>
        <tr r="C16" s="22"/>
      </tp>
      <tp t="s">
        <v>#N/A Requesting Data...3347969615</v>
        <stp/>
        <stp>BDP|2928733041773712484</stp>
        <tr r="X135" s="17"/>
      </tp>
      <tp t="s">
        <v>#N/A Requesting Data...3893286165</v>
        <stp/>
        <stp>BDP|2433467294080752955</stp>
        <tr r="AE29" s="12"/>
      </tp>
      <tp t="s">
        <v>#N/A Requesting Data...2667656196</v>
        <stp/>
        <stp>BDP|8335413064224306815</stp>
        <tr r="W71" s="14"/>
        <tr r="W63" s="13"/>
      </tp>
      <tp t="s">
        <v>#N/A Requesting Data...3140998108</v>
        <stp/>
        <stp>BDP|2701633026764514432</stp>
        <tr r="Y136" s="17"/>
      </tp>
      <tp t="s">
        <v>#N/A Requesting Data...3830566583</v>
        <stp/>
        <stp>BDP|4039490478259214876</stp>
        <tr r="B45" s="29"/>
      </tp>
      <tp t="s">
        <v>#N/A Requesting Data...2995576454</v>
        <stp/>
        <stp>BDP|9982283908424840946</stp>
        <tr r="AD34" s="9"/>
        <tr r="X52" s="14"/>
        <tr r="X51" s="13"/>
        <tr r="AA19" s="15"/>
      </tp>
      <tp t="s">
        <v>#N/A Requesting Data...3718625983</v>
        <stp/>
        <stp>BDP|1687646832823725128</stp>
        <tr r="F21" s="18"/>
        <tr r="I110" s="19"/>
        <tr r="I5" s="19"/>
        <tr r="J18" s="17"/>
        <tr r="I8" s="30"/>
      </tp>
      <tp t="s">
        <v>#N/A Requesting Data...3707895165</v>
        <stp/>
        <stp>BDP|7020744433501205407</stp>
        <tr r="AB33" s="19"/>
      </tp>
      <tp t="s">
        <v>#N/A Requesting Data...4077937935</v>
        <stp/>
        <stp>BDP|2649225307271910603</stp>
        <tr r="F38" s="18"/>
        <tr r="I122" s="19"/>
        <tr r="I17" s="19"/>
        <tr r="J35" s="17"/>
        <tr r="I33" s="30"/>
      </tp>
      <tp t="s">
        <v>#N/A Requesting Data...3325390318</v>
        <stp/>
        <stp>BDP|6606071660734376382</stp>
        <tr r="Q89" s="29"/>
      </tp>
      <tp t="s">
        <v>#N/A Requesting Data...3150034011</v>
        <stp/>
        <stp>BDP|3733309097868842620</stp>
        <tr r="E36" s="18"/>
        <tr r="H118" s="19"/>
        <tr r="H26" s="19"/>
        <tr r="I33" s="17"/>
        <tr r="G140" s="23"/>
        <tr r="G224" s="23"/>
        <tr r="H32" s="22"/>
        <tr r="E33" s="12"/>
      </tp>
      <tp t="s">
        <v>#N/A Requesting Data...4235386046</v>
        <stp/>
        <stp>BDP|6794299093209071366</stp>
        <tr r="L67" s="29"/>
      </tp>
      <tp t="s">
        <v>#N/A Requesting Data...4215105093</v>
        <stp/>
        <stp>BDP|6657756097977955868</stp>
        <tr r="T15" s="12"/>
      </tp>
      <tp t="s">
        <v>#N/A Requesting Data...3322206230</v>
        <stp/>
        <stp>BDP|5708681442072757228</stp>
        <tr r="I15" s="9"/>
        <tr r="G21" s="10"/>
        <tr r="H34" s="15"/>
      </tp>
      <tp t="s">
        <v>#N/A Requesting Data...2906801517</v>
        <stp/>
        <stp>BDP|5273135643354817321</stp>
        <tr r="Y39" s="9"/>
        <tr r="U39" s="15"/>
      </tp>
      <tp t="s">
        <v>#N/A Requesting Data...3972169850</v>
        <stp/>
        <stp>BDP|8597369344820619898</stp>
        <tr r="C6" s="29"/>
      </tp>
      <tp t="s">
        <v>#N/A Requesting Data...3012048454</v>
        <stp/>
        <stp>BDP|7392174806432871333</stp>
        <tr r="AM21" s="17"/>
      </tp>
      <tp t="s">
        <v>#N/A Requesting Data...3680378265</v>
        <stp/>
        <stp>BDP|6868131207189003925</stp>
        <tr r="K26" s="29"/>
      </tp>
      <tp t="s">
        <v>#N/A Requesting Data...2809974230</v>
        <stp/>
        <stp>BDP|6276678707797956040</stp>
        <tr r="AD37" s="12"/>
      </tp>
      <tp t="s">
        <v>#N/A Requesting Data...1791430422</v>
        <stp/>
        <stp>BDP|9677807683248261683</stp>
        <tr r="I19" s="9"/>
        <tr r="G27" s="10"/>
        <tr r="H25" s="15"/>
      </tp>
      <tp t="s">
        <v>#N/A Requesting Data...2272267442</v>
        <stp/>
        <stp>BDP|6683008804811661086</stp>
        <tr r="H22" s="9"/>
        <tr r="F29" s="10"/>
        <tr r="G37" s="15"/>
      </tp>
      <tp t="s">
        <v>#N/A Requesting Data...2596626883</v>
        <stp/>
        <stp>BDP|5383894987482626071</stp>
        <tr r="I61" s="9"/>
        <tr r="G57" s="10"/>
        <tr r="H49" s="15"/>
      </tp>
      <tp t="s">
        <v>#N/A Requesting Data...3077434272</v>
        <stp/>
        <stp>BDP|6067299064402493753</stp>
        <tr r="H143" s="22"/>
      </tp>
      <tp t="s">
        <v>#N/A Requesting Data...2343499784</v>
        <stp/>
        <stp>BDP|8531404319272910895</stp>
        <tr r="B51" s="12"/>
      </tp>
      <tp t="s">
        <v>#N/A Requesting Data...4229815251</v>
        <stp/>
        <stp>BDP|1086311819497472309</stp>
        <tr r="C72" s="29"/>
      </tp>
      <tp t="s">
        <v>#N/A Requesting Data...2926606270</v>
        <stp/>
        <stp>BDP|2598719450991905600</stp>
        <tr r="C83" s="29"/>
      </tp>
      <tp t="s">
        <v>#N/A Requesting Data...3935216682</v>
        <stp/>
        <stp>BDP|4625002925794669588</stp>
        <tr r="C60" s="29"/>
      </tp>
      <tp t="s">
        <v>#N/A Requesting Data...3749726765</v>
        <stp/>
        <stp>BDP|7859215995459188200</stp>
        <tr r="K56" s="29"/>
      </tp>
      <tp t="s">
        <v>#N/A Requesting Data...4194110088</v>
        <stp/>
        <stp>BDP|6331115322364578680</stp>
        <tr r="T10" s="12"/>
      </tp>
      <tp t="s">
        <v>#N/A Requesting Data...3275752586</v>
        <stp/>
        <stp>BDP|5446513291576954803</stp>
        <tr r="L25" s="22"/>
        <tr r="I15" s="12"/>
      </tp>
      <tp t="s">
        <v>#N/A Requesting Data...4018762685</v>
        <stp/>
        <stp>BDP|9818374920698917749</stp>
        <tr r="J42" s="12"/>
      </tp>
      <tp t="s">
        <v>#N/A Requesting Data...3175644365</v>
        <stp/>
        <stp>BDP|8015337413974142935</stp>
        <tr r="AH17" s="12"/>
      </tp>
      <tp t="s">
        <v>#N/A Requesting Data...3819694401</v>
        <stp/>
        <stp>BDP|9902181692517462151</stp>
        <tr r="J15" s="12"/>
      </tp>
      <tp t="s">
        <v>#N/A Requesting Data...1574832481</v>
        <stp/>
        <stp>BDP|8783926057902138117</stp>
        <tr r="I29" s="9"/>
        <tr r="G37" s="10"/>
        <tr r="H11" s="15"/>
      </tp>
      <tp t="s">
        <v>#N/A Requesting Data...3219667834</v>
        <stp/>
        <stp>BDP|7555332424024566553</stp>
        <tr r="C45" s="29"/>
      </tp>
      <tp t="s">
        <v>#N/A Requesting Data...3663719183</v>
        <stp/>
        <stp>BDP|4072702335785487238</stp>
        <tr r="AG52" s="12"/>
      </tp>
      <tp t="s">
        <v>#N/A Requesting Data...3198355066</v>
        <stp/>
        <stp>BDP|6844092530143682158</stp>
        <tr r="X128" s="17"/>
      </tp>
      <tp t="s">
        <v>#N/A Requesting Data...1203808715</v>
        <stp/>
        <stp>BDP|6147895897942561289</stp>
        <tr r="H26" s="9"/>
        <tr r="F31" s="10"/>
        <tr r="G28" s="15"/>
      </tp>
      <tp t="s">
        <v>#N/A Requesting Data...2442150207</v>
        <stp/>
        <stp>BDP|6776273960814165125</stp>
        <tr r="X51" s="22"/>
      </tp>
      <tp t="s">
        <v>#N/A Requesting Data...4134108985</v>
        <stp/>
        <stp>BDP|1777313856216750641</stp>
        <tr r="C56" s="29"/>
      </tp>
      <tp t="s">
        <v>#N/A Requesting Data...3660307492</v>
        <stp/>
        <stp>BDP|8919896876965736514</stp>
        <tr r="E26" s="18"/>
        <tr r="H108" s="19"/>
        <tr r="H30" s="19"/>
        <tr r="I21" s="17"/>
        <tr r="P109" s="23"/>
        <tr r="P194" s="23"/>
        <tr r="H22" s="22"/>
        <tr r="E21" s="12"/>
      </tp>
      <tp t="s">
        <v>#N/A Requesting Data...3377070340</v>
        <stp/>
        <stp>BDP|2015072016453269738</stp>
        <tr r="H5" s="27"/>
      </tp>
      <tp t="s">
        <v>#N/A Requesting Data...3782149236</v>
        <stp/>
        <stp>BDP|3393590600313378295</stp>
        <tr r="AG55" s="12"/>
      </tp>
      <tp t="s">
        <v>#N/A Requesting Data...3817651467</v>
        <stp/>
        <stp>BDP|7535679853583967086</stp>
        <tr r="G19" s="18"/>
        <tr r="J106" s="19"/>
        <tr r="J18" s="19"/>
        <tr r="K16" s="17"/>
        <tr r="J39" s="30"/>
      </tp>
      <tp t="s">
        <v>#N/A Requesting Data...3476285829</v>
        <stp/>
        <stp>BDP|4299684037801961746</stp>
        <tr r="J24" s="12"/>
      </tp>
      <tp t="s">
        <v>#N/A Requesting Data...3214280253</v>
        <stp/>
        <stp>BDP|6763024329037823447</stp>
        <tr r="L97" s="29"/>
      </tp>
      <tp t="s">
        <v>#N/A Requesting Data...4095377585</v>
        <stp/>
        <stp>BDP|3198859602658270451</stp>
        <tr r="Y127" s="17"/>
      </tp>
      <tp t="s">
        <v>#N/A Requesting Data...3924788975</v>
        <stp/>
        <stp>BDP|5495402504425932388</stp>
        <tr r="J34" s="12"/>
      </tp>
      <tp t="s">
        <v>#N/A Requesting Data...3971397765</v>
        <stp/>
        <stp>BDP|2695474194119503168</stp>
        <tr r="G33" s="18"/>
        <tr r="J107" s="19"/>
        <tr r="J40" s="19"/>
        <tr r="K30" s="17"/>
        <tr r="J41" s="30"/>
      </tp>
      <tp t="s">
        <v>#N/A Requesting Data...3342913562</v>
        <stp/>
        <stp>BDP|5251141112403392100</stp>
        <tr r="F37" s="18"/>
        <tr r="I121" s="19"/>
        <tr r="I31" s="19"/>
        <tr r="J34" s="17"/>
        <tr r="I36" s="30"/>
      </tp>
      <tp t="s">
        <v>#N/A Requesting Data...2929196075</v>
        <stp/>
        <stp>BDP|5556400721904001031</stp>
        <tr r="Q32" s="29"/>
      </tp>
      <tp t="s">
        <v>#N/A Requesting Data...2921175873</v>
        <stp/>
        <stp>BDP|4497805854029553726</stp>
        <tr r="B15" s="12"/>
      </tp>
      <tp t="s">
        <v>#N/A Requesting Data...1970825882</v>
        <stp/>
        <stp>BDP|9160565260229911492</stp>
        <tr r="T17" s="12"/>
      </tp>
      <tp t="s">
        <v>#N/A Requesting Data...1067203466</v>
        <stp/>
        <stp>BDP|8178544917128245372</stp>
        <tr r="X29" s="22"/>
      </tp>
      <tp t="s">
        <v>#N/A Requesting Data...3813432822</v>
        <stp/>
        <stp>BDP|5153200922771216367</stp>
        <tr r="AH11" s="12"/>
      </tp>
      <tp t="s">
        <v>#N/A Requesting Data...3382113164</v>
        <stp/>
        <stp>BDP|6218210837147429748</stp>
        <tr r="AB26" s="19"/>
        <tr r="AJ33" s="17"/>
        <tr r="Y13" s="30"/>
      </tp>
      <tp t="s">
        <v>#N/A Requesting Data...2772047508</v>
        <stp/>
        <stp>BDP|3193717604752231127</stp>
        <tr r="I40" s="9"/>
        <tr r="G40" s="10"/>
        <tr r="H29" s="15"/>
      </tp>
      <tp t="s">
        <v>#N/A Requesting Data...4120699822</v>
        <stp/>
        <stp>BDP|4550994412762877923</stp>
        <tr r="Y14" s="9"/>
        <tr r="R16" s="14"/>
        <tr r="R34" s="13"/>
        <tr r="U35" s="15"/>
      </tp>
      <tp t="s">
        <v>#N/A Requesting Data...3142077471</v>
        <stp/>
        <stp>BDP|9658136891633904590</stp>
        <tr r="K19" s="29"/>
      </tp>
      <tp t="s">
        <v>#N/A Requesting Data...2215985781</v>
        <stp/>
        <stp>BDP|3993877837606977952</stp>
        <tr r="AD9" s="9"/>
        <tr r="X12" s="14"/>
        <tr r="X12" s="13"/>
        <tr r="AA10" s="15"/>
      </tp>
      <tp t="s">
        <v>#N/A Requesting Data...874717201</v>
        <stp/>
        <stp>BDP|9191579710109743340</stp>
        <tr r="AD10" s="9"/>
        <tr r="X7" s="14"/>
        <tr r="X9" s="13"/>
        <tr r="AA32" s="15"/>
      </tp>
      <tp t="s">
        <v>#N/A Requesting Data...3701597843</v>
        <stp/>
        <stp>BDP|4711625312331536570</stp>
        <tr r="K25" s="29"/>
      </tp>
      <tp t="s">
        <v>#N/A Requesting Data...2963644918</v>
        <stp/>
        <stp>BDP|1859004369355573512</stp>
        <tr r="L31" s="29"/>
      </tp>
      <tp t="s">
        <v>#N/A Requesting Data...3509008615</v>
        <stp/>
        <stp>BDP|3850381166477410188</stp>
        <tr r="E43" s="18"/>
        <tr r="H123" s="19"/>
        <tr r="H39" s="19"/>
        <tr r="I40" s="17"/>
        <tr r="P133" s="23"/>
        <tr r="P215" s="23"/>
        <tr r="H36" s="22"/>
        <tr r="E40" s="12"/>
      </tp>
      <tp t="s">
        <v>#N/A Requesting Data...4255427493</v>
        <stp/>
        <stp>BDP|1950827381382800389</stp>
        <tr r="R21" s="14"/>
        <tr r="R23" s="13"/>
        <tr r="X21" s="30"/>
      </tp>
      <tp t="s">
        <v>#N/A Requesting Data...4087859440</v>
        <stp/>
        <stp>BDP|6357766718744463439</stp>
        <tr r="AG9" s="12"/>
      </tp>
      <tp t="s">
        <v>#N/A Requesting Data...3790592882</v>
        <stp/>
        <stp>BDP|2780391823333145064</stp>
        <tr r="C12" s="27"/>
      </tp>
      <tp t="s">
        <v>#N/A Requesting Data...4200240771</v>
        <stp/>
        <stp>BDP|5713207098736389872</stp>
        <tr r="C99" s="29"/>
      </tp>
      <tp t="s">
        <v>#N/A Requesting Data...3167484323</v>
        <stp/>
        <stp>BDP|7834225955465071549</stp>
        <tr r="AH5" s="12"/>
      </tp>
      <tp t="s">
        <v>#N/A Requesting Data...824706668</v>
        <stp/>
        <stp>BDP|6728339115345899120</stp>
        <tr r="G7" s="9"/>
        <tr r="G168" s="23"/>
        <tr r="G21" s="23"/>
        <tr r="T10" s="22"/>
        <tr r="E12" s="10"/>
        <tr r="F6" s="15"/>
      </tp>
      <tp t="s">
        <v>#N/A Requesting Data...1985318652</v>
        <stp/>
        <stp>BDP|3174093113175671762</stp>
        <tr r="E17" s="18"/>
        <tr r="H103" s="19"/>
        <tr r="H22" s="19"/>
        <tr r="I14" s="17"/>
        <tr r="G136" s="23"/>
        <tr r="G218" s="23"/>
        <tr r="H21" s="22"/>
        <tr r="E16" s="12"/>
      </tp>
      <tp t="s">
        <v>#N/A Requesting Data...3426637647</v>
        <stp/>
        <stp>BDP|5680490817401373109</stp>
        <tr r="K58" s="29"/>
      </tp>
      <tp t="s">
        <v>#N/A Requesting Data...3644817257</v>
        <stp/>
        <stp>BDP|7930523037476563727</stp>
        <tr r="J92" s="29"/>
      </tp>
      <tp t="s">
        <v>#N/A Requesting Data...4000477578</v>
        <stp/>
        <stp>BDP|2988965789700959373</stp>
        <tr r="H10" s="27"/>
      </tp>
      <tp t="s">
        <v>#N/A Requesting Data...2084336366</v>
        <stp/>
        <stp>BDP|3991598718510843787</stp>
        <tr r="O47" s="22"/>
      </tp>
      <tp t="s">
        <v>#N/A Requesting Data...3481298366</v>
        <stp/>
        <stp>BDP|7720414888838595330</stp>
        <tr r="AB21" s="19"/>
        <tr r="AJ24" s="17"/>
        <tr r="S45" s="14"/>
        <tr r="Y22" s="30"/>
      </tp>
      <tp t="s">
        <v>#N/A Requesting Data...3470739813</v>
        <stp/>
        <stp>BDP|8480956661681021693</stp>
        <tr r="AD40" s="12"/>
      </tp>
      <tp t="s">
        <v>#N/A Requesting Data...2687446781</v>
        <stp/>
        <stp>BDP|1348850974858951621</stp>
        <tr r="AN10" s="17"/>
        <tr r="X36" s="14"/>
        <tr r="X6" s="13"/>
      </tp>
      <tp t="s">
        <v>#N/A Requesting Data...3152856199</v>
        <stp/>
        <stp>BDP|7787438307794212781</stp>
        <tr r="L27" s="22"/>
      </tp>
      <tp t="s">
        <v>#N/A Requesting Data...3542951074</v>
        <stp/>
        <stp>BDP|3234492674624813499</stp>
        <tr r="Q36" s="29"/>
      </tp>
      <tp t="s">
        <v>#N/A Requesting Data...3775758387</v>
        <stp/>
        <stp>BDP|9051943353014930118</stp>
        <tr r="AG18" s="12"/>
      </tp>
      <tp t="s">
        <v>#N/A Requesting Data...2447801561</v>
        <stp/>
        <stp>BDP|2440021126103730386</stp>
        <tr r="H19" s="9"/>
        <tr r="F27" s="10"/>
        <tr r="G25" s="15"/>
      </tp>
      <tp t="s">
        <v>#N/A Requesting Data...4268339166</v>
        <stp/>
        <stp>BDP|8270293483171420330</stp>
        <tr r="AD39" s="12"/>
      </tp>
      <tp t="s">
        <v>#N/A Requesting Data...3321258674</v>
        <stp/>
        <stp>BDP|4063514839167799535</stp>
        <tr r="AD38" s="12"/>
      </tp>
      <tp t="s">
        <v>#N/A Requesting Data...2073025821</v>
        <stp/>
        <stp>BDP|4373482875773228401</stp>
        <tr r="AC43" s="9"/>
      </tp>
      <tp t="s">
        <v>#N/A Requesting Data...3807319951</v>
        <stp/>
        <stp>BDP|6375840440288324286</stp>
        <tr r="L62" s="29"/>
      </tp>
      <tp t="s">
        <v>#N/A Requesting Data...1477515425</v>
        <stp/>
        <stp>BDP|9542995171546778162</stp>
        <tr r="AB9" s="19"/>
        <tr r="AJ4" s="17"/>
        <tr r="S10" s="14"/>
        <tr r="S17" s="13"/>
        <tr r="Y9" s="30"/>
      </tp>
      <tp t="s">
        <v>#N/A Requesting Data...3316119932</v>
        <stp/>
        <stp>BDP|8371198412020125845</stp>
        <tr r="AI56" s="12"/>
      </tp>
      <tp t="s">
        <v>#N/A Requesting Data...4289626655</v>
        <stp/>
        <stp>BDP|5427308827823849767</stp>
        <tr r="AH9" s="12"/>
      </tp>
      <tp t="s">
        <v>#N/A Requesting Data...3795429533</v>
        <stp/>
        <stp>BDP|9145877951313334792</stp>
        <tr r="X136" s="17"/>
      </tp>
      <tp t="s">
        <v>#N/A Requesting Data...1346081827</v>
        <stp/>
        <stp>BDP|9269476390164107090</stp>
        <tr r="Y33" s="9"/>
        <tr r="R27" s="14"/>
        <tr r="R16" s="13"/>
        <tr r="U36" s="15"/>
      </tp>
      <tp t="s">
        <v>#N/A Requesting Data...4159724302</v>
        <stp/>
        <stp>BDP|1069185008058482899</stp>
        <tr r="AC29" s="9"/>
        <tr r="W41" s="14"/>
        <tr r="W42" s="13"/>
        <tr r="Z11" s="15"/>
      </tp>
      <tp t="s">
        <v>#N/A Requesting Data...3287795890</v>
        <stp/>
        <stp>BDP|2502050975874761106</stp>
        <tr r="B39" s="17"/>
        <tr r="C38" s="22"/>
      </tp>
      <tp t="s">
        <v>#N/A Requesting Data...3785759275</v>
        <stp/>
        <stp>BDP|9369725787771689727</stp>
        <tr r="AD18" s="12"/>
      </tp>
      <tp t="s">
        <v>#N/A Requesting Data...3365844733</v>
        <stp/>
        <stp>BDP|7825274072142730089</stp>
        <tr r="AA29" s="19"/>
        <tr r="AI12" s="17"/>
        <tr r="X37" s="30"/>
      </tp>
      <tp t="s">
        <v>#N/A Requesting Data...3585888540</v>
        <stp/>
        <stp>BDP|4512260900671730765</stp>
        <tr r="O45" s="22"/>
      </tp>
      <tp t="s">
        <v>#N/A Requesting Data...2960869657</v>
        <stp/>
        <stp>BDP|6246654511260421100</stp>
        <tr r="I13" s="27"/>
      </tp>
      <tp t="s">
        <v>#N/A Requesting Data...3914472950</v>
        <stp/>
        <stp>BDP|2065415456125251677</stp>
        <tr r="B16" s="12"/>
      </tp>
      <tp t="s">
        <v>#N/A Requesting Data...3867986725</v>
        <stp/>
        <stp>BDP|1229965267466983889</stp>
        <tr r="X131" s="17"/>
      </tp>
      <tp t="s">
        <v>#N/A Requesting Data...2774869129</v>
        <stp/>
        <stp>BDP|3554415871521221153</stp>
        <tr r="AD32" s="9"/>
        <tr r="X46" s="14"/>
        <tr r="AA38" s="15"/>
      </tp>
      <tp t="s">
        <v>#N/A Requesting Data...3729185090</v>
        <stp/>
        <stp>BDP|4811895483413689770</stp>
        <tr r="AB20" s="19"/>
        <tr r="AJ6" s="17"/>
        <tr r="S24" s="14"/>
        <tr r="S5" s="13"/>
        <tr r="Y40" s="30"/>
      </tp>
      <tp t="s">
        <v>#N/A Requesting Data...3434025559</v>
        <stp/>
        <stp>BDP|8550872297000398956</stp>
        <tr r="Z60" s="9"/>
        <tr r="S70" s="14"/>
        <tr r="S67" s="13"/>
        <tr r="V47" s="15"/>
      </tp>
      <tp t="s">
        <v>#N/A Requesting Data...2155689755</v>
        <stp/>
        <stp>BDP|7855862856748867234</stp>
        <tr r="AB24" s="19"/>
        <tr r="AJ10" s="17"/>
        <tr r="S36" s="14"/>
        <tr r="S6" s="13"/>
        <tr r="Y32" s="30"/>
      </tp>
      <tp t="s">
        <v>#N/A Requesting Data...4224398504</v>
        <stp/>
        <stp>BDP|1424537045280625077</stp>
        <tr r="AI31" s="12"/>
      </tp>
      <tp t="s">
        <v>#N/A Requesting Data...3599803927</v>
        <stp/>
        <stp>BDP|6515045153701374221</stp>
        <tr r="L61" s="29"/>
      </tp>
      <tp t="s">
        <v>#N/A Requesting Data...3696481706</v>
        <stp/>
        <stp>BDP|4512866847668023077</stp>
        <tr r="L26" s="22"/>
        <tr r="I19" s="12"/>
      </tp>
      <tp t="s">
        <v>#N/A Requesting Data...2045139681</v>
        <stp/>
        <stp>BDP|4798814687892396620</stp>
        <tr r="AE23" s="12"/>
      </tp>
      <tp t="s">
        <v>#N/A Requesting Data...3406122490</v>
        <stp/>
        <stp>BDP|7450651942403363606</stp>
        <tr r="C93" s="29"/>
      </tp>
      <tp t="s">
        <v>#N/A Requesting Data...3388580395</v>
        <stp/>
        <stp>BDP|9551928400834776406</stp>
        <tr r="AB5" s="19"/>
        <tr r="AJ18" s="17"/>
        <tr r="Y8" s="30"/>
      </tp>
      <tp t="s">
        <v>#N/A Requesting Data...3290236279</v>
        <stp/>
        <stp>BDP|6953442509474508614</stp>
        <tr r="G42" s="18"/>
        <tr r="J126" s="19"/>
        <tr r="J19" s="19"/>
        <tr r="K38" s="17"/>
        <tr r="J27" s="30"/>
      </tp>
      <tp t="s">
        <v>#N/A Requesting Data...3252688137</v>
        <stp/>
        <stp>BDP|3741980706253102980</stp>
        <tr r="AA15" s="19"/>
        <tr r="AI8" s="17"/>
        <tr r="X29" s="30"/>
      </tp>
      <tp t="s">
        <v>#N/A Requesting Data...4257090586</v>
        <stp/>
        <stp>BDP|7202141012593677425</stp>
        <tr r="E11" s="18"/>
        <tr r="H15" s="19"/>
        <tr r="H94" s="19"/>
        <tr r="I8" s="17"/>
        <tr r="P156" s="23"/>
        <tr r="P80" s="23"/>
        <tr r="H12" s="22"/>
        <tr r="E9" s="12"/>
      </tp>
      <tp t="s">
        <v>#N/A Requesting Data...1191930672</v>
        <stp/>
        <stp>BDP|9169070781701151062</stp>
        <tr r="G19" s="9"/>
        <tr r="P189" s="23"/>
        <tr r="P41" s="23"/>
        <tr r="T29" s="22"/>
        <tr r="E27" s="10"/>
        <tr r="F25" s="15"/>
        <tr r="E37" s="28"/>
        <tr r="E38" s="28"/>
      </tp>
      <tp t="s">
        <v>#N/A Requesting Data...3206416225</v>
        <stp/>
        <stp>BDP|3545063139176269697</stp>
        <tr r="J66" s="29"/>
      </tp>
      <tp t="s">
        <v>#N/A Requesting Data...3417666996</v>
        <stp/>
        <stp>BDP|2642172132810551003</stp>
        <tr r="AA7" s="12"/>
      </tp>
      <tp t="s">
        <v>#N/A Requesting Data...3539039728</v>
        <stp/>
        <stp>BDP|5138669885002123954</stp>
        <tr r="J5" s="29"/>
      </tp>
      <tp t="s">
        <v>#N/A Requesting Data...3463842202</v>
        <stp/>
        <stp>BDP|4768857912418366552</stp>
        <tr r="F36" s="18"/>
        <tr r="I118" s="19"/>
        <tr r="I26" s="19"/>
        <tr r="J33" s="17"/>
        <tr r="I13" s="30"/>
      </tp>
      <tp t="s">
        <v>#N/A Requesting Data...2763346499</v>
        <stp/>
        <stp>BDP|4287220265925049536</stp>
        <tr r="X33" s="13"/>
        <tr r="X53" s="14"/>
      </tp>
      <tp t="s">
        <v>#N/A Requesting Data...2541198816</v>
        <stp/>
        <stp>BDP|6723562674821435561</stp>
        <tr r="AC20" s="9"/>
        <tr r="W14" s="14"/>
        <tr r="W20" s="13"/>
        <tr r="Z15" s="15"/>
      </tp>
      <tp t="s">
        <v>#N/A Requesting Data...4000768024</v>
        <stp/>
        <stp>BDP|3215428345713334010</stp>
        <tr r="B21" s="12"/>
      </tp>
      <tp t="s">
        <v>#N/A Requesting Data...3746639853</v>
        <stp/>
        <stp>BDP|8131838257193643641</stp>
        <tr r="AC26" s="9"/>
        <tr r="W32" s="14"/>
        <tr r="W15" s="13"/>
        <tr r="Z28" s="15"/>
      </tp>
      <tp t="s">
        <v>#N/A Requesting Data...3792184413</v>
        <stp/>
        <stp>BDP|3278073300655993681</stp>
        <tr r="J41" s="12"/>
      </tp>
      <tp t="s">
        <v>#N/A Requesting Data...4080111876</v>
        <stp/>
        <stp>BDP|5390127500797509307</stp>
        <tr r="T24" s="12"/>
      </tp>
      <tp t="s">
        <v>#N/A Requesting Data...3301719392</v>
        <stp/>
        <stp>BDP|7170024786828292733</stp>
        <tr r="K52" s="29"/>
      </tp>
      <tp t="s">
        <v>#N/A Requesting Data...4145558490</v>
        <stp/>
        <stp>BDP|1790148954427333207</stp>
        <tr r="AA23" s="19"/>
        <tr r="AI37" s="17"/>
        <tr r="X38" s="30"/>
      </tp>
      <tp t="s">
        <v>#N/A Requesting Data...1433695971</v>
        <stp/>
        <stp>BDP|6485744297409058127</stp>
        <tr r="U82" s="9"/>
        <tr r="V60" s="19"/>
      </tp>
      <tp t="s">
        <v>#N/A Requesting Data...3888636334</v>
        <stp/>
        <stp>BDP|7250372356226114771</stp>
        <tr r="H141" s="22"/>
      </tp>
      <tp t="s">
        <v>#N/A Requesting Data...2623097154</v>
        <stp/>
        <stp>BDP|6121082187398823635</stp>
        <tr r="Y23" s="9"/>
        <tr r="R33" s="14"/>
        <tr r="R14" s="13"/>
        <tr r="U27" s="15"/>
      </tp>
      <tp t="s">
        <v>#N/A Requesting Data...3661043261</v>
        <stp/>
        <stp>BDP|1796830949478187474</stp>
        <tr r="I45" s="9"/>
      </tp>
      <tp t="s">
        <v>#N/A Requesting Data...3639595591</v>
        <stp/>
        <stp>BDP|3151641532681996659</stp>
        <tr r="L72" s="29"/>
      </tp>
      <tp t="s">
        <v>#N/A Requesting Data...1215570583</v>
        <stp/>
        <stp>BDP|9855225527298725015</stp>
        <tr r="Y21" s="12"/>
      </tp>
      <tp t="s">
        <v>#N/A Requesting Data...2812073862</v>
        <stp/>
        <stp>BDP|7890962001958570711</stp>
        <tr r="E27" s="18"/>
        <tr r="H116" s="19"/>
        <tr r="H4" s="19"/>
        <tr r="I26" s="17"/>
        <tr r="P111" s="23"/>
        <tr r="P196" s="23"/>
        <tr r="H16" s="22"/>
        <tr r="E32" s="12"/>
        <tr r="E5" s="26"/>
        <tr r="E73" s="28"/>
      </tp>
      <tp t="s">
        <v>#N/A Requesting Data...3366378862</v>
        <stp/>
        <stp>BDP|5084631623467120792</stp>
        <tr r="Y9" s="12"/>
      </tp>
      <tp t="s">
        <v>#N/A Requesting Data...4090161120</v>
        <stp/>
        <stp>BDP|7166565726445908406</stp>
        <tr r="AG27" s="12"/>
      </tp>
      <tp t="s">
        <v>#N/A Requesting Data...4268584478</v>
        <stp/>
        <stp>BDP|6511335754297373696</stp>
        <tr r="AC11" s="9"/>
        <tr r="W11" s="14"/>
        <tr r="W13" s="13"/>
        <tr r="Z16" s="15"/>
      </tp>
      <tp t="s">
        <v>#N/A Requesting Data...4144420686</v>
        <stp/>
        <stp>BDP|4402594585401797969</stp>
        <tr r="AG19" s="12"/>
      </tp>
      <tp t="s">
        <v>#N/A Requesting Data...3482173439</v>
        <stp/>
        <stp>BDP|3068712426261700695</stp>
        <tr r="AE6" s="12"/>
      </tp>
      <tp t="s">
        <v>#N/A Requesting Data...3646357445</v>
        <stp/>
        <stp>BDP|3333038704655493790</stp>
        <tr r="C48" s="29"/>
      </tp>
      <tp t="s">
        <v>#N/A Requesting Data...1853235672</v>
        <stp/>
        <stp>BDP|5102262108117138109</stp>
        <tr r="G42" s="9"/>
        <tr r="G225" s="23"/>
        <tr r="G66" s="23"/>
        <tr r="T51" s="22"/>
        <tr r="E46" s="10"/>
        <tr r="F23" s="15"/>
      </tp>
      <tp t="s">
        <v>#N/A Requesting Data...3385985700</v>
        <stp/>
        <stp>BDP|5532082028364280292</stp>
        <tr r="Q52" s="29"/>
      </tp>
      <tp t="s">
        <v>#N/A Requesting Data...4102618577</v>
        <stp/>
        <stp>BDP|2731945854789836617</stp>
        <tr r="C14" s="29"/>
      </tp>
      <tp t="s">
        <v>#N/A Requesting Data...3899241481</v>
        <stp/>
        <stp>BDP|4235326677783001289</stp>
        <tr r="F28" s="18"/>
        <tr r="I13" s="19"/>
        <tr r="I119" s="19"/>
        <tr r="J25" s="17"/>
        <tr r="I5" s="30"/>
      </tp>
      <tp t="s">
        <v>#N/A Requesting Data...4181137701</v>
        <stp/>
        <stp>BDP|3105866758247071809</stp>
        <tr r="J34" s="29"/>
      </tp>
      <tp t="s">
        <v>#N/A Requesting Data...4031728446</v>
        <stp/>
        <stp>BDP|5913691995968964333</stp>
        <tr r="AB30" s="19"/>
        <tr r="AJ21" s="17"/>
        <tr r="Y19" s="30"/>
      </tp>
      <tp t="s">
        <v>#N/A Requesting Data...3253771276</v>
        <stp/>
        <stp>BDP|6880845395141168775</stp>
        <tr r="AC38" s="9"/>
      </tp>
      <tp t="s">
        <v>#N/A Requesting Data...3651730953</v>
        <stp/>
        <stp>BDP|1459628155623906058</stp>
        <tr r="AE7" s="12"/>
      </tp>
      <tp t="s">
        <v>#N/A Requesting Data...3658597166</v>
        <stp/>
        <stp>BDP|4000106955493278282</stp>
        <tr r="K35" s="29"/>
      </tp>
      <tp t="s">
        <v>#N/A Requesting Data...4247781983</v>
        <stp/>
        <stp>BDP|3066486412844147378</stp>
        <tr r="AB13" s="19"/>
        <tr r="AJ25" s="17"/>
        <tr r="Y5" s="30"/>
      </tp>
      <tp t="s">
        <v>#N/A Requesting Data...1320903978</v>
        <stp/>
        <stp>BDP|4784213159195486768</stp>
        <tr r="AC41" s="9"/>
      </tp>
      <tp t="s">
        <v>#N/A Requesting Data...4024412069</v>
        <stp/>
        <stp>BDP|2966043082878251306</stp>
        <tr r="AI30" s="12"/>
      </tp>
      <tp t="s">
        <v>#N/A Requesting Data...4227175722</v>
        <stp/>
        <stp>BDP|5986404767483760549</stp>
        <tr r="AE12" s="12"/>
      </tp>
      <tp t="s">
        <v>#N/A Requesting Data...1884630887</v>
        <stp/>
        <stp>BDP|6026176551262672129</stp>
        <tr r="AD26" s="9"/>
        <tr r="X32" s="14"/>
        <tr r="X15" s="13"/>
        <tr r="AA28" s="15"/>
      </tp>
      <tp t="s">
        <v>#N/A Requesting Data...4000250191</v>
        <stp/>
        <stp>BDP|5865678928455640536</stp>
        <tr r="K53" s="29"/>
      </tp>
      <tp t="s">
        <v>#N/A Requesting Data...2318468790</v>
        <stp/>
        <stp>BDP|7347604352713582662</stp>
        <tr r="I59" s="9"/>
        <tr r="G61" s="10"/>
        <tr r="H55" s="15"/>
      </tp>
      <tp t="s">
        <v>#N/A Requesting Data...3396962713</v>
        <stp/>
        <stp>BDP|9931945921892605181</stp>
        <tr r="AJ28" s="17"/>
      </tp>
      <tp t="s">
        <v>#N/A Requesting Data...2947922980</v>
        <stp/>
        <stp>BDP|4356064372190052254</stp>
        <tr r="Y59" s="9"/>
        <tr r="R69" s="14"/>
        <tr r="R68" s="13"/>
        <tr r="U55" s="15"/>
      </tp>
      <tp t="s">
        <v>#N/A Requesting Data...4203227800</v>
        <stp/>
        <stp>BDP|4241679654855664354</stp>
        <tr r="K50" s="29"/>
      </tp>
      <tp t="s">
        <v>#N/A Requesting Data...2096455955</v>
        <stp/>
        <stp>BDP|7167065096469318613</stp>
        <tr r="G29" s="18"/>
        <tr r="J112" s="19"/>
        <tr r="J21" s="19"/>
        <tr r="K24" s="17"/>
        <tr r="J22" s="30"/>
      </tp>
      <tp t="s">
        <v>#N/A Requesting Data...3431416157</v>
        <stp/>
        <stp>BDP|1011700287277288853</stp>
        <tr r="B28" s="12"/>
      </tp>
      <tp t="s">
        <v>#N/A Requesting Data...1136058512</v>
        <stp/>
        <stp>BDP|7289275903272355658</stp>
        <tr r="AD54" s="9"/>
        <tr r="X62" s="14"/>
        <tr r="X69" s="13"/>
        <tr r="AA50" s="15"/>
      </tp>
      <tp t="s">
        <v>#N/A Requesting Data...3892350916</v>
        <stp/>
        <stp>BDP|4745115260856134461</stp>
        <tr r="Q64" s="29"/>
      </tp>
      <tp t="s">
        <v>#N/A Requesting Data...1058657852</v>
        <stp/>
        <stp>BDP|2282284058726146223</stp>
        <tr r="X36" s="22"/>
      </tp>
      <tp t="s">
        <v>#N/A Requesting Data...1773149131</v>
        <stp/>
        <stp>BDP|7051187829233097605</stp>
        <tr r="AE49" s="12"/>
      </tp>
      <tp t="s">
        <v>#N/A Requesting Data...3950927461</v>
        <stp/>
        <stp>BDP|8112958470810641734</stp>
        <tr r="J28" s="12"/>
      </tp>
      <tp t="s">
        <v>#N/A Requesting Data...3747205935</v>
        <stp/>
        <stp>BDP|4066364207166130011</stp>
        <tr r="C13" s="29"/>
      </tp>
      <tp t="s">
        <v>#N/A Requesting Data...3798618105</v>
        <stp/>
        <stp>BDP|1111432707642694629</stp>
        <tr r="AD55" s="12"/>
      </tp>
      <tp t="s">
        <v>#N/A Requesting Data...1834871731</v>
        <stp/>
        <stp>BDP|3840214274434267399</stp>
        <tr r="T56" s="12"/>
      </tp>
      <tp t="s">
        <v>#N/A Requesting Data...1858021142</v>
        <stp/>
        <stp>BDP|2176887045578266782</stp>
        <tr r="X18" s="22"/>
      </tp>
      <tp t="s">
        <v>#N/A Requesting Data...3583659348</v>
        <stp/>
        <stp>BDP|6351256734545303372</stp>
        <tr r="F16" s="18"/>
        <tr r="I11" s="19"/>
        <tr r="I97" s="19"/>
        <tr r="J13" s="17"/>
        <tr r="I35" s="30"/>
      </tp>
      <tp t="s">
        <v>#N/A Requesting Data...4017796713</v>
        <stp/>
        <stp>BDP|2491331200200872084</stp>
        <tr r="B13" s="17"/>
        <tr r="C19" s="22"/>
        <tr r="X11" s="12"/>
      </tp>
      <tp t="s">
        <v>#N/A Requesting Data...2661288212</v>
        <stp/>
        <stp>BDP|5506222254936250563</stp>
        <tr r="I26" s="9"/>
        <tr r="G31" s="10"/>
        <tr r="H28" s="15"/>
      </tp>
      <tp t="s">
        <v>#N/A Requesting Data...1723737024</v>
        <stp/>
        <stp>BDP|6507692847232591796</stp>
        <tr r="I28" s="9"/>
        <tr r="G43" s="10"/>
        <tr r="H8" s="15"/>
      </tp>
      <tp t="s">
        <v>#N/A Requesting Data...3982744626</v>
        <stp/>
        <stp>BDP|9722818010171045011</stp>
        <tr r="J69" s="29"/>
      </tp>
      <tp t="s">
        <v>#N/A Requesting Data...4289128646</v>
        <stp/>
        <stp>BDP|1015420539906599190</stp>
        <tr r="AE38" s="12"/>
      </tp>
      <tp t="s">
        <v>#N/A Requesting Data...2192789290</v>
        <stp/>
        <stp>BDP|4613677482339677221</stp>
        <tr r="AH57" s="12"/>
      </tp>
      <tp t="s">
        <v>#N/A Requesting Data...2131259165</v>
        <stp/>
        <stp>BDP|4409875082174467125</stp>
        <tr r="F8" s="18"/>
        <tr r="I93" s="19"/>
        <tr r="I21" s="30"/>
      </tp>
      <tp t="s">
        <v>#N/A Requesting Data...2377609997</v>
        <stp/>
        <stp>BDP|9210443906119161562</stp>
        <tr r="I60" s="9"/>
        <tr r="G62" s="10"/>
        <tr r="H47" s="15"/>
      </tp>
      <tp t="s">
        <v>#N/A Requesting Data...1865960062</v>
        <stp/>
        <stp>BDP|7924128003146923153</stp>
        <tr r="AC35" s="9"/>
        <tr r="Z30" s="15"/>
      </tp>
      <tp t="s">
        <v>#N/A Requesting Data...4148947330</v>
        <stp/>
        <stp>BDP|9492674422199723523</stp>
        <tr r="L8" s="22"/>
        <tr r="I22" s="12"/>
      </tp>
      <tp t="s">
        <v>#N/A Requesting Data...3888028553</v>
        <stp/>
        <stp>BDP|8749839603158267917</stp>
        <tr r="X132" s="17"/>
      </tp>
      <tp t="s">
        <v>#N/A Requesting Data...3756139249</v>
        <stp/>
        <stp>BDP|3227709421416299154</stp>
        <tr r="I14" s="9"/>
        <tr r="G17" s="10"/>
        <tr r="H35" s="15"/>
      </tp>
      <tp t="s">
        <v>#N/A Requesting Data...809499105</v>
        <stp/>
        <stp>BDP|3357267035736127550</stp>
        <tr r="H13" s="27"/>
      </tp>
      <tp t="s">
        <v>#N/A Requesting Data...4218841631</v>
        <stp/>
        <stp>BDP|3867811656169928639</stp>
        <tr r="AI12" s="12"/>
      </tp>
      <tp t="s">
        <v>#N/A Requesting Data...1587703411</v>
        <stp/>
        <stp>BDP|1849915028702014947</stp>
        <tr r="I50" s="12"/>
      </tp>
      <tp t="s">
        <v>#N/A Requesting Data...4030691417</v>
        <stp/>
        <stp>BDP|5955490718110495199</stp>
        <tr r="AA13" s="19"/>
        <tr r="AI25" s="17"/>
        <tr r="X5" s="30"/>
      </tp>
      <tp t="s">
        <v>#N/A Requesting Data...1427312687</v>
        <stp/>
        <stp>BDP|4460735136699575816</stp>
        <tr r="H25" s="9"/>
        <tr r="F20" s="10"/>
        <tr r="G5" s="15"/>
      </tp>
      <tp t="s">
        <v>#N/A Requesting Data...3985590734</v>
        <stp/>
        <stp>BDP|9882499030898914424</stp>
        <tr r="J86" s="29"/>
      </tp>
      <tp t="s">
        <v>#N/A Requesting Data...4293593337</v>
        <stp/>
        <stp>BDP|3872921186333253342</stp>
        <tr r="AI35" s="12"/>
      </tp>
      <tp t="s">
        <v>#N/A Requesting Data...4121273034</v>
        <stp/>
        <stp>BDP|1996033772563235708</stp>
        <tr r="C20" s="29"/>
      </tp>
      <tp t="s">
        <v>#N/A Requesting Data...3979228146</v>
        <stp/>
        <stp>BDP|2501976131993085990</stp>
        <tr r="L102" s="29"/>
      </tp>
      <tp t="s">
        <v>#N/A Requesting Data...1280406916</v>
        <stp/>
        <stp>BDP|7147299652020770262</stp>
        <tr r="B17" s="12"/>
      </tp>
      <tp t="s">
        <v>#N/A Requesting Data...3987629351</v>
        <stp/>
        <stp>BDP|7910042055069958995</stp>
        <tr r="B27" s="12"/>
      </tp>
      <tp t="s">
        <v>#N/A Requesting Data...4133752041</v>
        <stp/>
        <stp>BDP|9138582491053313432</stp>
        <tr r="J58" s="29"/>
      </tp>
      <tp t="s">
        <v>#N/A Requesting Data...4042891193</v>
        <stp/>
        <stp>BDP|2323360535314013498</stp>
        <tr r="L29" s="22"/>
        <tr r="I29" s="12"/>
      </tp>
      <tp t="s">
        <v>#N/A Requesting Data...2163206335</v>
        <stp/>
        <stp>BDP|1900684436206798097</stp>
        <tr r="Z14" s="9"/>
        <tr r="S16" s="14"/>
        <tr r="S34" s="13"/>
        <tr r="V35" s="15"/>
      </tp>
      <tp t="s">
        <v>#N/A Requesting Data...4180930558</v>
        <stp/>
        <stp>BDP|5268520189439597355</stp>
        <tr r="AA42" s="19"/>
        <tr r="AI23" s="17"/>
        <tr r="X7" s="30"/>
      </tp>
      <tp t="s">
        <v>#N/A Requesting Data...1123528520</v>
        <stp/>
        <stp>BDP|3047095514147221767</stp>
        <tr r="AC58" s="9"/>
        <tr r="W64" s="14"/>
        <tr r="W61" s="13"/>
        <tr r="Z51" s="15"/>
      </tp>
      <tp t="s">
        <v>#N/A Requesting Data...4220317763</v>
        <stp/>
        <stp>BDP|6629474363073967526</stp>
        <tr r="B8" s="29"/>
      </tp>
      <tp t="s">
        <v>#N/A Requesting Data...1362184709</v>
        <stp/>
        <stp>BDP|3446455665072993131</stp>
        <tr r="AD56" s="9"/>
        <tr r="X67" s="14"/>
        <tr r="X59" s="13"/>
        <tr r="AA53" s="15"/>
      </tp>
      <tp t="s">
        <v>#N/A Requesting Data...4191733713</v>
        <stp/>
        <stp>BDP|2310217881562930848</stp>
        <tr r="L75" s="29"/>
      </tp>
      <tp t="s">
        <v>#N/A Requesting Data...4229876070</v>
        <stp/>
        <stp>BDP|9078898110100583229</stp>
        <tr r="K102" s="29"/>
      </tp>
      <tp t="s">
        <v>#N/A Requesting Data...2082240770</v>
        <stp/>
        <stp>BDP|4359435751455712286</stp>
        <tr r="H32" s="9"/>
        <tr r="F42" s="10"/>
        <tr r="G38" s="15"/>
      </tp>
      <tp t="s">
        <v>#N/A Requesting Data...4182075668</v>
        <stp/>
        <stp>BDP|5890527952283166478</stp>
        <tr r="I28" s="17"/>
        <tr r="E25" s="12"/>
      </tp>
      <tp t="s">
        <v>#N/A Requesting Data...4153440089</v>
        <stp/>
        <stp>BDP|2150790611763119565</stp>
        <tr r="Q30" s="29"/>
      </tp>
      <tp t="s">
        <v>#N/A Requesting Data...4128834156</v>
        <stp/>
        <stp>BDP|9814305556889460451</stp>
        <tr r="AE5" s="12"/>
      </tp>
      <tp t="s">
        <v>#N/A Requesting Data...4113355260</v>
        <stp/>
        <stp>BDP|9570179914852089990</stp>
        <tr r="AM27" s="17"/>
      </tp>
      <tp t="s">
        <v>#N/A Requesting Data...4245411677</v>
        <stp/>
        <stp>BDP|5769460830337629783</stp>
        <tr r="C74" s="29"/>
      </tp>
      <tp t="s">
        <v>#N/A Requesting Data...4127142777</v>
        <stp/>
        <stp>BDP|3865711910996663132</stp>
        <tr r="T12" s="12"/>
      </tp>
      <tp t="s">
        <v>#N/A Requesting Data...4123319416</v>
        <stp/>
        <stp>BDP|7137698253345126365</stp>
        <tr r="J43" s="29"/>
      </tp>
      <tp t="s">
        <v>#N/A Requesting Data...2976510759</v>
        <stp/>
        <stp>BDP|1167327951324747190</stp>
        <tr r="AD39" s="9"/>
      </tp>
      <tp t="s">
        <v>#N/A Requesting Data...4227930568</v>
        <stp/>
        <stp>BDP|4881444919743037087</stp>
        <tr r="X137" s="17"/>
      </tp>
      <tp t="s">
        <v>#N/A Requesting Data...3298367460</v>
        <stp/>
        <stp>BDP|6403114648927667692</stp>
        <tr r="AC8" s="9"/>
        <tr r="W15" s="14"/>
        <tr r="W38" s="13"/>
        <tr r="Z7" s="15"/>
      </tp>
      <tp t="s">
        <v>#N/A Requesting Data...4170891387</v>
        <stp/>
        <stp>BDP|2710698061746910647</stp>
        <tr r="Q51" s="29"/>
      </tp>
      <tp t="s">
        <v>#N/A Requesting Data...4179837394</v>
        <stp/>
        <stp>BDP|6738288026403950722</stp>
        <tr r="Q60" s="29"/>
      </tp>
      <tp t="s">
        <v>#N/A Requesting Data...3757624810</v>
        <stp/>
        <stp>BDP|8444995504505248698</stp>
        <tr r="G18" s="9"/>
        <tr r="P190" s="23"/>
        <tr r="P42" s="23"/>
        <tr r="E55" s="12"/>
      </tp>
      <tp t="s">
        <v>#N/A Requesting Data...4282008713</v>
        <stp/>
        <stp>BDP|1622281968750391773</stp>
        <tr r="AA40" s="19"/>
        <tr r="AI30" s="17"/>
        <tr r="X41" s="30"/>
      </tp>
      <tp t="s">
        <v>#N/A Requesting Data...1390823829</v>
        <stp/>
        <stp>BDP|5425336733766469122</stp>
        <tr r="AD18" s="9"/>
      </tp>
      <tp t="s">
        <v>#N/A Requesting Data...4175171487</v>
        <stp/>
        <stp>BDP|8102849525489078937</stp>
        <tr r="AA25" s="19"/>
        <tr r="AI17" s="17"/>
        <tr r="X31" s="30"/>
      </tp>
      <tp t="s">
        <v>#N/A Requesting Data...4186759239</v>
        <stp/>
        <stp>BDP|1487179765865665131</stp>
        <tr r="Y18" s="12"/>
      </tp>
      <tp t="s">
        <v>#N/A Requesting Data...4228509934</v>
        <stp/>
        <stp>BDP|4527904174621453965</stp>
        <tr r="G45" s="18"/>
        <tr r="J127" s="19"/>
        <tr r="J41" s="19"/>
        <tr r="K42" s="17"/>
        <tr r="J23" s="30"/>
      </tp>
      <tp t="s">
        <v>#N/A Requesting Data...4182032951</v>
        <stp/>
        <stp>BDP|1633650737971600718</stp>
        <tr r="B40" s="29"/>
      </tp>
      <tp t="s">
        <v>#N/A Requesting Data...3297962814</v>
        <stp/>
        <stp>BDP|6230571122560644321</stp>
        <tr r="Z21" s="9"/>
        <tr r="S29" s="14"/>
        <tr r="S10" s="13"/>
        <tr r="V21" s="15"/>
      </tp>
      <tp t="s">
        <v>#N/A Requesting Data...4275388612</v>
        <stp/>
        <stp>BDP|4522413452586655137</stp>
        <tr r="T8" s="12"/>
      </tp>
      <tp t="s">
        <v>#N/A Requesting Data...4271293794</v>
        <stp/>
        <stp>BDP|9068247138749887346</stp>
        <tr r="AA22" s="12"/>
      </tp>
      <tp t="s">
        <v>#N/A Requesting Data...3175966391</v>
        <stp/>
        <stp>BDP|8167413717986572924</stp>
        <tr r="G32" s="10"/>
      </tp>
      <tp t="s">
        <v>#N/A Requesting Data...4184109963</v>
        <stp/>
        <stp>BDP|7037554510722635331</stp>
        <tr r="J97" s="29"/>
      </tp>
      <tp t="s">
        <v>#N/A Requesting Data...4192372231</v>
        <stp/>
        <stp>BDP|3223356932428668932</stp>
        <tr r="J45" s="29"/>
      </tp>
      <tp t="s">
        <v>#N/A Requesting Data...4178279841</v>
        <stp/>
        <stp>BDP|5462324636077184002</stp>
        <tr r="AG17" s="12"/>
      </tp>
      <tp t="s">
        <v>#N/A Requesting Data...3326031727</v>
        <stp/>
        <stp>BDP|8245538485563038457</stp>
        <tr r="I32" s="12"/>
        <tr r="L16" s="22"/>
      </tp>
      <tp t="s">
        <v>#N/A Requesting Data...4282264972</v>
        <stp/>
        <stp>BDP|7683682567205126094</stp>
        <tr r="K92" s="29"/>
      </tp>
      <tp t="s">
        <v>#N/A Requesting Data...4119828729</v>
        <stp/>
        <stp>BDP|2846717400753828405</stp>
        <tr r="G22" s="18"/>
        <tr r="J101" s="19"/>
        <tr r="J32" s="19"/>
        <tr r="K19" s="17"/>
        <tr r="J24" s="30"/>
      </tp>
      <tp t="s">
        <v>#N/A Requesting Data...4260929703</v>
        <stp/>
        <stp>BDP|1577043750567449142</stp>
        <tr r="AG8" s="12"/>
      </tp>
      <tp t="s">
        <v>#N/A Requesting Data...4256337724</v>
        <stp/>
        <stp>BDP|3293226062004229167</stp>
        <tr r="B40" s="12"/>
      </tp>
      <tp t="s">
        <v>#N/A Requesting Data...1553605004</v>
        <stp/>
        <stp>BDP|1043145253413990480</stp>
        <tr r="Z56" s="9"/>
        <tr r="S67" s="14"/>
        <tr r="S59" s="13"/>
        <tr r="V53" s="15"/>
      </tp>
      <tp t="s">
        <v>#N/A Requesting Data...4223857923</v>
        <stp/>
        <stp>BDP|4084570063624490168</stp>
        <tr r="C28" s="29"/>
      </tp>
      <tp t="s">
        <v>#N/A Requesting Data...4225200064</v>
        <stp/>
        <stp>BDP|1265155944842055451</stp>
        <tr r="J99" s="29"/>
      </tp>
      <tp t="s">
        <v>#N/A Requesting Data...3765685090</v>
        <stp/>
        <stp>BDP|4304633878683747492</stp>
        <tr r="H11" s="9"/>
        <tr r="F11" s="10"/>
        <tr r="G16" s="15"/>
      </tp>
      <tp t="s">
        <v>#N/A Requesting Data...4291382149</v>
        <stp/>
        <stp>BDP|4344070595389522620</stp>
        <tr r="Y13" s="12"/>
      </tp>
      <tp t="s">
        <v>#N/A Requesting Data...4278258659</v>
        <stp/>
        <stp>BDP|2168667378402807313</stp>
        <tr r="Q94" s="29"/>
      </tp>
      <tp t="s">
        <v>#N/A Requesting Data...4267820941</v>
        <stp/>
        <stp>BDP|6310577901585694440</stp>
        <tr r="Q24" s="29"/>
      </tp>
      <tp t="s">
        <v>#N/A Requesting Data...4281636014</v>
        <stp/>
        <stp>BDP|1349246100198280926</stp>
        <tr r="C69" s="29"/>
      </tp>
      <tp t="s">
        <v>#N/A Requesting Data...4273111397</v>
        <stp/>
        <stp>BDP|5620584271113927619</stp>
        <tr r="Q99" s="29"/>
      </tp>
      <tp t="s">
        <v>#N/A Requesting Data...4281469453</v>
        <stp/>
        <stp>BDP|7173179411196758375</stp>
        <tr r="J41" s="29"/>
      </tp>
      <tp t="s">
        <v>#N/A Requesting Data...4273080287</v>
        <stp/>
        <stp>BDP|8413620535716049943</stp>
        <tr r="AE40" s="12"/>
      </tp>
      <tp t="s">
        <v>#N/A Requesting Data...4273453721</v>
        <stp/>
        <stp>BDP|7863543522886141488</stp>
        <tr r="B32" s="17"/>
      </tp>
      <tp t="s">
        <v>#N/A Requesting Data...4280632751</v>
        <stp/>
        <stp>BDP|1259405786599035633</stp>
        <tr r="Q35" s="29"/>
      </tp>
      <tp t="s">
        <v>#N/A Requesting Data...4286903616</v>
        <stp/>
        <stp>BDP|2030572062477014420</stp>
        <tr r="J82" s="29"/>
      </tp>
      <tp t="s">
        <v>#N/A Requesting Data...3987762071</v>
        <stp/>
        <stp>BDP|4513534671774216024</stp>
        <tr r="O20" s="22"/>
      </tp>
      <tp t="s">
        <v>#N/A Requesting Data...4291087345</v>
        <stp/>
        <stp>BDP|8807114376608924417</stp>
        <tr r="AB32" s="19"/>
        <tr r="AJ19" s="17"/>
        <tr r="Y24" s="30"/>
      </tp>
      <tp t="s">
        <v>#N/A Requesting Data...4291654861</v>
        <stp/>
        <stp>BDP|3624940807390299837</stp>
        <tr r="Y22" s="12"/>
      </tp>
      <tp t="s">
        <v>#N/A Requesting Data...382737455</v>
        <stp/>
        <stp>BDP|1553335339927287493</stp>
        <tr r="Q33" s="29"/>
      </tp>
      <tp t="s">
        <v>#N/A Requesting Data...1861527628</v>
        <stp/>
        <stp>BDP|7367180952661970042</stp>
        <tr r="O38" s="22"/>
      </tp>
      <tp t="s">
        <v>#N/A Requesting Data...1808243833</v>
        <stp/>
        <stp>BDP|1295912613943514815</stp>
        <tr r="AD29" s="9"/>
        <tr r="X41" s="14"/>
        <tr r="X42" s="13"/>
        <tr r="AA11" s="15"/>
      </tp>
      <tp t="s">
        <v>#N/A Requesting Data...3227272287</v>
        <stp/>
        <stp>BDP|5393855884972683516</stp>
        <tr r="Q76" s="29"/>
      </tp>
      <tp t="s">
        <v>#N/A Requesting Data...1269809818</v>
        <stp/>
        <stp>BDP|5206524324122295236</stp>
        <tr r="C95" s="29"/>
      </tp>
      <tp t="s">
        <v>#N/A Requesting Data...687493029</v>
        <stp/>
        <stp>BDP|3488362224740676056</stp>
        <tr r="K47" s="29"/>
      </tp>
      <tp t="s">
        <v>#N/A Requesting Data...2322284401</v>
        <stp/>
        <stp>BDP|6668489028456121429</stp>
        <tr r="Z35" s="9"/>
        <tr r="V30" s="15"/>
      </tp>
      <tp t="s">
        <v>#N/A Requesting Data...2351964782</v>
        <stp/>
        <stp>BDP|3027727141604984700</stp>
        <tr r="K7" s="29"/>
      </tp>
      <tp t="s">
        <v>#N/A Requesting Data...3908277987</v>
        <stp/>
        <stp>BDP|5966826968651953908</stp>
        <tr r="J64" s="29"/>
      </tp>
      <tp t="s">
        <v>#N/A Requesting Data...3126065236</v>
        <stp/>
        <stp>BDP|4850668925994089716</stp>
        <tr r="K98" s="29"/>
      </tp>
      <tp t="s">
        <v>#N/A Requesting Data...3863304220</v>
        <stp/>
        <stp>BDP|3054819376466472992</stp>
        <tr r="C102" s="29"/>
      </tp>
      <tp t="s">
        <v>#N/A Requesting Data...4186253845</v>
        <stp/>
        <stp>BDP|3435499412801524402</stp>
        <tr r="E6" s="18"/>
        <tr r="H9" s="19"/>
        <tr r="H90" s="19"/>
        <tr r="I4" s="17"/>
        <tr r="G133" s="23"/>
        <tr r="G211" s="23"/>
        <tr r="G115" s="22"/>
        <tr r="H6" s="22"/>
        <tr r="H83" s="22"/>
        <tr r="E13" s="10"/>
        <tr r="E4" s="12"/>
      </tp>
      <tp t="s">
        <v>#N/A Requesting Data...1978064240</v>
        <stp/>
        <stp>BDP|8305184453979660649</stp>
        <tr r="J7" s="29"/>
      </tp>
      <tp t="s">
        <v>#N/A Requesting Data...2744207227</v>
        <stp/>
        <stp>BDP|7229028067170943248</stp>
        <tr r="J13" s="12"/>
      </tp>
      <tp t="s">
        <v>#N/A Requesting Data...2246617532</v>
        <stp/>
        <stp>BDP|2243209567714746197</stp>
        <tr r="X145" s="17"/>
      </tp>
      <tp t="s">
        <v>#N/A Requesting Data...1635448693</v>
        <stp/>
        <stp>BDP|6822648766822364725</stp>
        <tr r="Z18" s="9"/>
      </tp>
      <tp t="s">
        <v>#N/A Requesting Data...3991408343</v>
        <stp/>
        <stp>BDP|7554469525692811059</stp>
        <tr r="U91" s="9"/>
        <tr r="V69" s="19"/>
      </tp>
      <tp t="s">
        <v>#N/A Requesting Data...4095924837</v>
        <stp/>
        <stp>BDP|2186058197059842103</stp>
        <tr r="Y9" s="9"/>
        <tr r="R12" s="14"/>
        <tr r="R12" s="13"/>
        <tr r="U10" s="15"/>
      </tp>
      <tp t="s">
        <v>#N/A Requesting Data...1994744691</v>
        <stp/>
        <stp>BDP|2200967452128425593</stp>
        <tr r="AM23" s="17"/>
      </tp>
      <tp t="s">
        <v>#N/A Requesting Data...1347793404</v>
        <stp/>
        <stp>BDP|2779740264481900155</stp>
        <tr r="C75" s="29"/>
      </tp>
      <tp t="s">
        <v>#N/A Requesting Data...717086995</v>
        <stp/>
        <stp>BDP|6141598957170695519</stp>
        <tr r="G43" s="18"/>
        <tr r="J123" s="19"/>
        <tr r="J39" s="19"/>
        <tr r="K40" s="17"/>
        <tr r="J12" s="30"/>
      </tp>
      <tp t="s">
        <v>#N/A Requesting Data...2533720811</v>
        <stp/>
        <stp>BDP|3639336326201922024</stp>
        <tr r="T35" s="12"/>
      </tp>
      <tp t="s">
        <v>#N/A Requesting Data...1495603923</v>
        <stp/>
        <stp>BDP|8708819313002980041</stp>
        <tr r="L85" s="29"/>
      </tp>
      <tp t="s">
        <v>#N/A Requesting Data...1029140738</v>
        <stp/>
        <stp>BDP|9301023668114596850</stp>
        <tr r="C51" s="29"/>
      </tp>
      <tp t="s">
        <v>#N/A Requesting Data...3220918446</v>
        <stp/>
        <stp>BDP|1860854675594321929</stp>
        <tr r="AG32" s="12"/>
      </tp>
      <tp t="s">
        <v>#N/A Requesting Data...2760187451</v>
        <stp/>
        <stp>BDP|6105850959240250868</stp>
        <tr r="J22" s="29"/>
      </tp>
      <tp t="s">
        <v>#N/A Requesting Data...3046235151</v>
        <stp/>
        <stp>BDP|7057398256952423053</stp>
        <tr r="J40" s="12"/>
      </tp>
      <tp t="s">
        <v>#N/A Requesting Data...3790614516</v>
        <stp/>
        <stp>BDP|6949400181280682909</stp>
        <tr r="K22" s="29"/>
      </tp>
      <tp t="s">
        <v>#N/A Requesting Data...2409575833</v>
        <stp/>
        <stp>BDP|1043893189076608498</stp>
        <tr r="B23" s="17"/>
        <tr r="C27" s="22"/>
      </tp>
      <tp t="s">
        <v>#N/A Requesting Data...3110021594</v>
        <stp/>
        <stp>BDP|2603736060077263781</stp>
        <tr r="C7" s="27"/>
      </tp>
      <tp t="s">
        <v>#N/A Requesting Data...1615235448</v>
        <stp/>
        <stp>BDP|6190453424166497588</stp>
        <tr r="AG14" s="12"/>
      </tp>
      <tp t="s">
        <v>#N/A Requesting Data...2572535896</v>
        <stp/>
        <stp>BDP|2227230364324031197</stp>
        <tr r="L24" s="22"/>
        <tr r="I18" s="12"/>
      </tp>
      <tp t="s">
        <v>#N/A Requesting Data...1351138000</v>
        <stp/>
        <stp>BDP|7934257496708715716</stp>
        <tr r="Q82" s="29"/>
      </tp>
      <tp t="s">
        <v>#N/A Requesting Data...4156416121</v>
        <stp/>
        <stp>BDP|2884339817864259737</stp>
        <tr r="F29" s="18"/>
        <tr r="I112" s="19"/>
        <tr r="I21" s="19"/>
        <tr r="J24" s="17"/>
        <tr r="I22" s="30"/>
      </tp>
      <tp t="s">
        <v>#N/A N/A</v>
        <stp/>
        <stp>BDP|5850801350219191245</stp>
        <tr r="Y44" s="9"/>
      </tp>
      <tp t="s">
        <v>#N/A Requesting Data...1477274214</v>
        <stp/>
        <stp>BDP|1795600963335808714</stp>
        <tr r="I5" s="27"/>
      </tp>
      <tp t="s">
        <v>#N/A Requesting Data...2833509543</v>
        <stp/>
        <stp>BDP|1555918795996437482</stp>
        <tr r="AM4" s="17"/>
        <tr r="W10" s="14"/>
        <tr r="W17" s="13"/>
      </tp>
      <tp t="s">
        <v>#N/A Requesting Data...2333630535</v>
        <stp/>
        <stp>BDP|7962153342692407389</stp>
        <tr r="AG56" s="12"/>
      </tp>
      <tp t="s">
        <v>#N/A Requesting Data...1452831425</v>
        <stp/>
        <stp>BDP|1432683032407982050</stp>
        <tr r="J19" s="29"/>
      </tp>
      <tp t="s">
        <v>#N/A Requesting Data...3303408696</v>
        <stp/>
        <stp>BDP|2487235087328657345</stp>
        <tr r="B12" s="12"/>
      </tp>
      <tp t="s">
        <v>#N/A Requesting Data...3216308390</v>
        <stp/>
        <stp>BDP|6800031568804498753</stp>
        <tr r="G8" s="9"/>
        <tr r="P187" s="23"/>
        <tr r="P39" s="23"/>
        <tr r="T14" s="22"/>
        <tr r="E16" s="10"/>
        <tr r="F7" s="15"/>
      </tp>
      <tp t="s">
        <v>#N/A Requesting Data...1328022650</v>
        <stp/>
        <stp>BDP|7212679262121738528</stp>
        <tr r="F43" s="18"/>
        <tr r="I123" s="19"/>
        <tr r="I39" s="19"/>
        <tr r="J40" s="17"/>
        <tr r="I12" s="30"/>
      </tp>
      <tp t="s">
        <v>#N/A Requesting Data...3174551308</v>
        <stp/>
        <stp>BDP|3289523461280497376</stp>
        <tr r="AD20" s="12"/>
      </tp>
      <tp t="s">
        <v>#N/A Requesting Data...238671948</v>
        <stp/>
        <stp>BDP|1834272725325182781</stp>
        <tr r="L81" s="29"/>
      </tp>
      <tp t="s">
        <v>#N/A Requesting Data...673300714</v>
        <stp/>
        <stp>BDP|1502329736301133334</stp>
        <tr r="F11" s="18"/>
        <tr r="I15" s="19"/>
        <tr r="I94" s="19"/>
        <tr r="J8" s="17"/>
        <tr r="I29" s="30"/>
      </tp>
      <tp t="s">
        <v>#N/A Requesting Data...2226482241</v>
        <stp/>
        <stp>BDP|3133914595212552230</stp>
        <tr r="B79" s="29"/>
      </tp>
      <tp t="s">
        <v>#N/A Requesting Data...1548485804</v>
        <stp/>
        <stp>BDP|1792297136527996421</stp>
        <tr r="AA38" s="12"/>
      </tp>
      <tp t="s">
        <v>#N/A Requesting Data...3802845015</v>
        <stp/>
        <stp>BDP|7399747212807671504</stp>
        <tr r="J31" s="12"/>
      </tp>
      <tp t="s">
        <v>#N/A Requesting Data...1319640915</v>
        <stp/>
        <stp>BDP|6295930922249269714</stp>
        <tr r="Z23" s="9"/>
        <tr r="S33" s="14"/>
        <tr r="S14" s="13"/>
        <tr r="V27" s="15"/>
      </tp>
      <tp t="s">
        <v>#N/A Requesting Data...2515598959</v>
        <stp/>
        <stp>BDP|4573939675691247814</stp>
        <tr r="X63" s="13"/>
        <tr r="X71" s="14"/>
      </tp>
      <tp t="s">
        <v>#N/A Requesting Data...2442626760</v>
        <stp/>
        <stp>BDP|9214959070052007673</stp>
        <tr r="L7" s="29"/>
      </tp>
      <tp t="s">
        <v>#N/A Requesting Data...1845778881</v>
        <stp/>
        <stp>BDP|8944735763378105288</stp>
        <tr r="AG11" s="12"/>
      </tp>
      <tp t="s">
        <v>#N/A Requesting Data...1456883143</v>
        <stp/>
        <stp>BDP|7734068160354209632</stp>
        <tr r="L39" s="22"/>
        <tr r="I38" s="12"/>
      </tp>
      <tp t="s">
        <v>#N/A Requesting Data...3761984347</v>
        <stp/>
        <stp>BDP|9503146926059195062</stp>
        <tr r="AD8" s="12"/>
      </tp>
      <tp t="s">
        <v>#N/A Requesting Data...1537419356</v>
        <stp/>
        <stp>BDP|3091633063721797176</stp>
        <tr r="O21" s="22"/>
      </tp>
      <tp t="s">
        <v>#N/A Requesting Data...687334672</v>
        <stp/>
        <stp>BDP|5667465065487396369</stp>
        <tr r="J95" s="29"/>
      </tp>
      <tp t="s">
        <v>#N/A Requesting Data...2097207330</v>
        <stp/>
        <stp>BDP|5483601890209040055</stp>
        <tr r="AB28" s="19"/>
        <tr r="AJ5" s="17"/>
        <tr r="S9" s="14"/>
        <tr r="S22" s="13"/>
        <tr r="Y16" s="30"/>
      </tp>
      <tp t="s">
        <v>#N/A Requesting Data...2280350031</v>
        <stp/>
        <stp>BDP|1185218700292335226</stp>
        <tr r="AD4" s="9"/>
        <tr r="X5" s="14"/>
        <tr r="X28" s="13"/>
        <tr r="AA9" s="15"/>
      </tp>
      <tp t="s">
        <v>#N/A Requesting Data...1592921135</v>
        <stp/>
        <stp>BDP|8281954311450531352</stp>
        <tr r="Z24" s="9"/>
        <tr r="S19" s="14"/>
        <tr r="S7" s="13"/>
        <tr r="V22" s="15"/>
      </tp>
      <tp t="s">
        <v>#N/A Requesting Data...2650615028</v>
        <stp/>
        <stp>BDP|8725781383856374295</stp>
        <tr r="AA35" s="19"/>
        <tr r="AI7" s="17"/>
        <tr r="R25" s="14"/>
        <tr r="R27" s="13"/>
        <tr r="X20" s="30"/>
      </tp>
      <tp t="s">
        <v>#N/A Requesting Data...880264573</v>
        <stp/>
        <stp>BDP|3765223892678425352</stp>
        <tr r="L32" s="29"/>
      </tp>
      <tp t="s">
        <v>#N/A Requesting Data...1950953424</v>
        <stp/>
        <stp>BDP|9474405812379423652</stp>
        <tr r="K76" s="29"/>
      </tp>
      <tp t="s">
        <v>#N/A Requesting Data...2471455563</v>
        <stp/>
        <stp>BDP|3325252156322239550</stp>
        <tr r="J49" s="12"/>
      </tp>
      <tp t="s">
        <v>#N/A Requesting Data...3937065038</v>
        <stp/>
        <stp>BDP|6570747142036633021</stp>
        <tr r="E205" s="10"/>
      </tp>
      <tp t="s">
        <v>#N/A Requesting Data...3416689959</v>
        <stp/>
        <stp>BDP|5703066660585720517</stp>
        <tr r="Q6" s="29"/>
      </tp>
      <tp t="s">
        <v>#N/A Requesting Data...4205825832</v>
        <stp/>
        <stp>BDP|5497956190876388059</stp>
        <tr r="H70" s="9"/>
        <tr r="I48" s="19"/>
        <tr r="J49" s="17"/>
        <tr r="I23" s="27"/>
        <tr r="I47" s="30"/>
      </tp>
      <tp t="s">
        <v>#N/A Requesting Data...4219393624</v>
        <stp/>
        <stp>BDP|9197125781821250243</stp>
        <tr r="Y16" s="9"/>
        <tr r="R26" s="14"/>
        <tr r="R21" s="13"/>
        <tr r="U13" s="15"/>
      </tp>
      <tp t="s">
        <v>#N/A Requesting Data...1644172487</v>
        <stp/>
        <stp>BDP|9459226886374233478</stp>
        <tr r="AG29" s="12"/>
      </tp>
      <tp t="s">
        <v>#N/A Requesting Data...3276437479</v>
        <stp/>
        <stp>BDP|2363555588264890835</stp>
        <tr r="I52" s="12"/>
      </tp>
      <tp t="s">
        <v>#N/A Requesting Data...1190012805</v>
        <stp/>
        <stp>BDP|8817953645847805154</stp>
        <tr r="AI37" s="12"/>
      </tp>
      <tp t="s">
        <v>#N/A Requesting Data...855214366</v>
        <stp/>
        <stp>BDP|7531203354966184552</stp>
        <tr r="K14" s="29"/>
      </tp>
      <tp t="s">
        <v>#N/A Requesting Data...1968319515</v>
        <stp/>
        <stp>BDP|4308453751123214501</stp>
        <tr r="Y43" s="9"/>
      </tp>
      <tp t="s">
        <v>#N/A Requesting Data...2425051582</v>
        <stp/>
        <stp>BDP|85804305025378438</stp>
        <tr r="L32" s="22"/>
        <tr r="I33" s="12"/>
      </tp>
      <tp t="s">
        <v>#N/A Requesting Data...2334545696</v>
        <stp/>
        <stp>BDP|95573792845057354</stp>
        <tr r="B5" s="17"/>
        <tr r="C7" s="22"/>
        <tr r="X5" s="12"/>
      </tp>
    </main>
    <main first="bofaddin.rtdserver">
      <tp t="s">
        <v>#N/A Requesting Data...4045757604</v>
        <stp/>
        <stp>BDP|17720085528042810</stp>
        <tr r="T7" s="12"/>
      </tp>
      <tp t="s">
        <v>#N/A Requesting Data...1499095603</v>
        <stp/>
        <stp>BDP|91106174730423774</stp>
        <tr r="T57" s="12"/>
      </tp>
      <tp t="s">
        <v>#N/A Requesting Data...2354995542</v>
        <stp/>
        <stp>BDP|75691384997405890</stp>
        <tr r="AA29" s="12"/>
      </tp>
    </main>
    <main first="bofaddin.rtdserver">
      <tp t="s">
        <v>#N/A Requesting Data...1446565197</v>
        <stp/>
        <stp>BDP|34554529123958101</stp>
        <tr r="AA20" s="19"/>
        <tr r="AI6" s="17"/>
        <tr r="R24" s="14"/>
        <tr r="R5" s="13"/>
        <tr r="X40" s="30"/>
      </tp>
      <tp t="s">
        <v>#N/A Requesting Data...3109966993</v>
        <stp/>
        <stp>BDP|13566900839434855</stp>
        <tr r="C36" s="29"/>
      </tp>
      <tp t="s">
        <v>#N/A Requesting Data...497096965</v>
        <stp/>
        <stp>BDP|802063213482383666</stp>
        <tr r="AM14" s="17"/>
      </tp>
      <tp t="s">
        <v>#N/A Requesting Data...1744683228</v>
        <stp/>
        <stp>BDP|646092575465030709</stp>
        <tr r="J61" s="29"/>
      </tp>
      <tp t="s">
        <v>#N/A Requesting Data...3014146516</v>
        <stp/>
        <stp>BDP|203653537154249499</stp>
        <tr r="Y144" s="17"/>
      </tp>
      <tp t="s">
        <v>#N/A Requesting Data...1261384026</v>
        <stp/>
        <stp>BDP|411425754471003573</stp>
        <tr r="E23" s="18"/>
        <tr r="H105" s="19"/>
        <tr r="H16" s="19"/>
        <tr r="I20" s="17"/>
        <tr r="G157" s="23"/>
        <tr r="G82" s="23"/>
        <tr r="H142" s="22"/>
        <tr r="H8" s="22"/>
        <tr r="E22" s="12"/>
      </tp>
      <tp t="s">
        <v>#N/A Requesting Data...2891765944</v>
        <stp/>
        <stp>BDP|685311169308633959</stp>
        <tr r="Z7" s="9"/>
        <tr r="S13" s="14"/>
        <tr r="S46" s="13"/>
        <tr r="V6" s="15"/>
      </tp>
      <tp t="s">
        <v>#N/A Requesting Data...1862259720</v>
        <stp/>
        <stp>BDP|406491880480023825</stp>
        <tr r="AA9" s="12"/>
      </tp>
      <tp t="s">
        <v>#N/A Requesting Data...4049975697</v>
        <stp/>
        <stp>BDP|300623208703853190</stp>
        <tr r="L13" s="22"/>
        <tr r="I13" s="12"/>
      </tp>
      <tp t="s">
        <v>#N/A Requesting Data...3382199484</v>
        <stp/>
        <stp>BDP|646964085186875352</stp>
        <tr r="AG31" s="12"/>
      </tp>
      <tp t="s">
        <v>#N/A Requesting Data...1391952393</v>
        <stp/>
        <stp>BDP|973102854081168151</stp>
        <tr r="Q44" s="29"/>
      </tp>
      <tp t="s">
        <v>#N/A Requesting Data...613912849</v>
        <stp/>
        <stp>BDP|408574416097863747</stp>
        <tr r="Q56" s="29"/>
      </tp>
      <tp t="s">
        <v>#N/A Requesting Data...3064203995</v>
        <stp/>
        <stp>BDP|851990774473629985</stp>
        <tr r="L4" s="29"/>
      </tp>
      <tp t="s">
        <v>#N/A Requesting Data...1972176475</v>
        <stp/>
        <stp>BDP|502424004201111110</stp>
        <tr r="AI11" s="12"/>
      </tp>
      <tp t="s">
        <v>#N/A Requesting Data...770063611</v>
        <stp/>
        <stp>BDP|172318618576796312</stp>
        <tr r="X133" s="17"/>
      </tp>
      <tp t="s">
        <v>#N/A Requesting Data...2004426275</v>
        <stp/>
        <stp>BDP|289669655742990674</stp>
        <tr r="C40" s="29"/>
      </tp>
      <tp t="s">
        <v>#N/A Requesting Data...3571680937</v>
        <stp/>
        <stp>BDP|777668216966192620</stp>
        <tr r="H13" s="9"/>
        <tr r="F18" s="10"/>
        <tr r="G18" s="15"/>
      </tp>
      <tp t="s">
        <v>#N/A Requesting Data...1949334350</v>
        <stp/>
        <stp>BDP|238212211225104131</stp>
        <tr r="B41" s="17"/>
      </tp>
      <tp t="s">
        <v>#N/A Requesting Data...2505521525</v>
        <stp/>
        <stp>BDP|195751332186929441</stp>
        <tr r="AD46" s="9"/>
        <tr r="X31" s="14"/>
        <tr r="X49" s="13"/>
      </tp>
      <tp t="s">
        <v>#N/A Requesting Data...3795043540</v>
        <stp/>
        <stp>BDP|515012825627709336</stp>
        <tr r="AG30" s="12"/>
      </tp>
      <tp t="s">
        <v>#N/A Requesting Data...2422060499</v>
        <stp/>
        <stp>BDP|488862279629415095</stp>
        <tr r="H58" s="9"/>
        <tr r="F56" s="10"/>
        <tr r="G51" s="15"/>
      </tp>
      <tp t="s">
        <v>#N/A Requesting Data...4130906731</v>
        <stp/>
        <stp>BDP|224242040229926988</stp>
        <tr r="Y19" s="9"/>
        <tr r="R30" s="14"/>
        <tr r="R36" s="13"/>
        <tr r="U25" s="15"/>
      </tp>
      <tp t="s">
        <v>#N/A Requesting Data...2158581454</v>
        <stp/>
        <stp>BDP|828590450250642604</stp>
        <tr r="J51" s="12"/>
      </tp>
      <tp t="s">
        <v>#N/A Requesting Data...2283521396</v>
        <stp/>
        <stp>BDP|522270520335611334</stp>
        <tr r="C31" s="29"/>
      </tp>
      <tp t="s">
        <v>#N/A Requesting Data...3651749579</v>
        <stp/>
        <stp>BDP|611798297019981116</stp>
        <tr r="J102" s="29"/>
      </tp>
      <tp t="s">
        <v>#N/A Requesting Data...2189014218</v>
        <stp/>
        <stp>BDP|360209843514084418</stp>
        <tr r="AE9" s="12"/>
      </tp>
      <tp t="s">
        <v>#N/A Requesting Data...3421708762</v>
        <stp/>
        <stp>BDP|565763649323177699</stp>
        <tr r="H41" s="9"/>
      </tp>
      <tp t="s">
        <v>#N/A Requesting Data...1277149978</v>
        <stp/>
        <stp>BDP|804358363737575482</stp>
        <tr r="H139" s="22"/>
      </tp>
      <tp t="s">
        <v>#N/A Requesting Data...2744761545</v>
        <stp/>
        <stp>BDP|433833258085371932</stp>
        <tr r="G8" s="18"/>
        <tr r="J93" s="19"/>
        <tr r="J21" s="30"/>
      </tp>
      <tp t="s">
        <v>#N/A Requesting Data...485738824</v>
        <stp/>
        <stp>BDP|785095595450040839</stp>
        <tr r="J11" s="12"/>
      </tp>
      <tp t="s">
        <v>#N/A Requesting Data...2929889101</v>
        <stp/>
        <stp>BDP|243426732490135682</stp>
        <tr r="F31" s="18"/>
        <tr r="I113" s="19"/>
        <tr r="I6" s="19"/>
        <tr r="J27" s="17"/>
        <tr r="I25" s="30"/>
      </tp>
      <tp t="s">
        <v>#N/A Requesting Data...1208299471</v>
        <stp/>
        <stp>BDP|855575846551845152</stp>
        <tr r="B30" s="17"/>
        <tr r="C23" s="22"/>
      </tp>
      <tp t="s">
        <v>#N/A Requesting Data...3080769524</v>
        <stp/>
        <stp>BDP|901398738481592082</stp>
        <tr r="J54" s="12"/>
      </tp>
      <tp t="s">
        <v>#N/A Requesting Data...1244103941</v>
        <stp/>
        <stp>BDP|886515439352399549</stp>
        <tr r="B14" s="17"/>
        <tr r="C21" s="22"/>
        <tr r="X16" s="12"/>
      </tp>
      <tp t="s">
        <v>#N/A Requesting Data...2594548807</v>
        <stp/>
        <stp>BDP|759794124274814050</stp>
        <tr r="J8" s="12"/>
      </tp>
      <tp t="s">
        <v>#N/A Requesting Data...2052064595</v>
        <stp/>
        <stp>BDP|464696837156399294</stp>
        <tr r="AB36" s="19"/>
        <tr r="AJ36" s="17"/>
        <tr r="Y34" s="30"/>
      </tp>
      <tp t="s">
        <v>#N/A Requesting Data...2886317481</v>
        <stp/>
        <stp>BDP|880601101280004786</stp>
        <tr r="C77" s="29"/>
      </tp>
    </main>
    <main first="bofaddin.rtdserver">
      <tp t="s">
        <v>#N/A Requesting Data...4024425550</v>
        <stp/>
        <stp>BDP|120138195700342896</stp>
        <tr r="AD29" s="12"/>
      </tp>
      <tp t="s">
        <v>#N/A N/A</v>
        <stp/>
        <stp>BDP|464059747666935203</stp>
        <tr r="Z44" s="9"/>
      </tp>
      <tp t="s">
        <v>#N/A Requesting Data...2584552499</v>
        <stp/>
        <stp>BDP|954314902543003053</stp>
        <tr r="Q88" s="29"/>
      </tp>
      <tp t="s">
        <v>#N/A Requesting Data...3021054772</v>
        <stp/>
        <stp>BDP|470889594413779279</stp>
        <tr r="AI28" s="12"/>
      </tp>
      <tp t="s">
        <v>#N/A Requesting Data...3213618631</v>
        <stp/>
        <stp>BDP|117485563963970193</stp>
        <tr r="C62" s="29"/>
      </tp>
      <tp t="s">
        <v>#N/A Requesting Data...3269513035</v>
        <stp/>
        <stp>BDP|982259197053978856</stp>
        <tr r="J93" s="29"/>
      </tp>
      <tp t="s">
        <v>#N/A Requesting Data...515918196</v>
        <stp/>
        <stp>BDP|994608327731925502</stp>
        <tr r="J29" s="12"/>
      </tp>
      <tp t="s">
        <v>#N/A Requesting Data...2352161320</v>
        <stp/>
        <stp>BDP|329049411735497431</stp>
        <tr r="K41" s="29"/>
      </tp>
      <tp t="s">
        <v>#N/A Requesting Data...524082216</v>
        <stp/>
        <stp>BDP|817056419607041661</stp>
        <tr r="AI34" s="12"/>
      </tp>
      <tp t="s">
        <v>#N/A Requesting Data...1367158245</v>
        <stp/>
        <stp>BDP|516545608447984238</stp>
        <tr r="Y4" s="9"/>
        <tr r="R5" s="14"/>
        <tr r="R28" s="13"/>
        <tr r="U9" s="15"/>
      </tp>
      <tp t="s">
        <v>#N/A Requesting Data...2306684117</v>
        <stp/>
        <stp>BDP|110736448656138633</stp>
        <tr r="AG12" s="12"/>
      </tp>
      <tp t="s">
        <v>#N/A Requesting Data...2903944412</v>
        <stp/>
        <stp>BDP|986639177487581533</stp>
        <tr r="I9" s="27"/>
      </tp>
      <tp t="s">
        <v>#N/A Requesting Data...772883867</v>
        <stp/>
        <stp>BDP|908130442380844618</stp>
        <tr r="L79" s="29"/>
      </tp>
      <tp t="s">
        <v>#N/A Requesting Data...3916513422</v>
        <stp/>
        <stp>BDP|616567279300074180</stp>
        <tr r="AM38" s="17"/>
      </tp>
    </main>
    <main first="bofaddin.rtdserver">
      <tp t="s">
        <v>#N/A Requesting Data...3664322834</v>
        <stp/>
        <stp>BDP|286386345545508066</stp>
        <tr r="I23" s="9"/>
        <tr r="G30" s="10"/>
        <tr r="H27" s="15"/>
      </tp>
      <tp t="s">
        <v>#N/A Requesting Data...1710500215</v>
        <stp/>
        <stp>BDP|328331842205766085</stp>
        <tr r="AC39" s="9"/>
      </tp>
      <tp t="s">
        <v>#N/A Requesting Data...3875528584</v>
        <stp/>
        <stp>BDP|862484400402821463</stp>
        <tr r="G7" s="18"/>
        <tr r="J28" s="19"/>
        <tr r="J91" s="19"/>
        <tr r="K5" s="17"/>
        <tr r="J16" s="30"/>
      </tp>
      <tp t="s">
        <v>#N/A Requesting Data...1940687745</v>
        <stp/>
        <stp>BDP|295256727730104256</stp>
        <tr r="K55" s="29"/>
      </tp>
      <tp t="s">
        <v>#N/A Requesting Data...2415481499</v>
        <stp/>
        <stp>BDP|735530301444739378</stp>
        <tr r="AB11" s="19"/>
        <tr r="AJ13" s="17"/>
        <tr r="S28" s="14"/>
        <tr r="S4" s="13"/>
        <tr r="Y35" s="30"/>
      </tp>
      <tp t="s">
        <v>#N/A Requesting Data...1136477682</v>
        <stp/>
        <stp>BDP|784310213929085937</stp>
        <tr r="AE28" s="12"/>
      </tp>
      <tp t="s">
        <v>#N/A Requesting Data...3784300018</v>
        <stp/>
        <stp>BDP|847575019411460726</stp>
        <tr r="I13" s="9"/>
        <tr r="G18" s="10"/>
        <tr r="H18" s="15"/>
      </tp>
      <tp t="s">
        <v>#N/A Requesting Data...2295855769</v>
        <stp/>
        <stp>BDP|692018004822714066</stp>
        <tr r="AH56" s="12"/>
      </tp>
      <tp t="s">
        <v>#N/A Requesting Data...3157697106</v>
        <stp/>
        <stp>BDP|190847474997399582</stp>
        <tr r="X14" s="22"/>
      </tp>
      <tp t="s">
        <v>#N/A Requesting Data...3297577828</v>
        <stp/>
        <stp>BDP|929014868369905228</stp>
        <tr r="K97" s="29"/>
      </tp>
      <tp t="s">
        <v>#N/A Requesting Data...2284933110</v>
        <stp/>
        <stp>BDP|567686176568245427</stp>
        <tr r="AD21" s="12"/>
      </tp>
      <tp t="s">
        <v>#N/A Requesting Data...3807007406</v>
        <stp/>
        <stp>BDP|898469974036539903</stp>
        <tr r="AH8" s="12"/>
      </tp>
      <tp t="s">
        <v>#N/A Requesting Data...739578543</v>
        <stp/>
        <stp>BDP|615601963725328931</stp>
        <tr r="AA31" s="19"/>
        <tr r="X36" s="30"/>
      </tp>
      <tp t="s">
        <v>#N/A Requesting Data...2195628702</v>
        <stp/>
        <stp>BDP|918502131873986972</stp>
        <tr r="L38" s="22"/>
        <tr r="I37" s="12"/>
      </tp>
      <tp t="s">
        <v>#N/A Requesting Data...2075462154</v>
        <stp/>
        <stp>BDP|655642781316355423</stp>
        <tr r="K10" s="29"/>
      </tp>
      <tp t="s">
        <v>#N/A Requesting Data...2299674021</v>
        <stp/>
        <stp>BDP|288610308790239940</stp>
        <tr r="B52" s="12"/>
      </tp>
      <tp t="s">
        <v>#N/A Requesting Data...2488861642</v>
        <stp/>
        <stp>BDP|714022393052954462</stp>
        <tr r="L89" s="29"/>
      </tp>
      <tp t="s">
        <v>#N/A Requesting Data...1541880806</v>
        <stp/>
        <stp>BDP|847340379239068222</stp>
        <tr r="G13" s="18"/>
        <tr r="J27" s="19"/>
        <tr r="J96" s="19"/>
        <tr r="K11" s="17"/>
        <tr r="J17" s="30"/>
      </tp>
      <tp t="s">
        <v>#N/A Requesting Data...2782658022</v>
        <stp/>
        <stp>BDP|105026509496943925</stp>
        <tr r="K15" s="29"/>
      </tp>
      <tp t="s">
        <v>#N/A Requesting Data...3616773130</v>
        <stp/>
        <stp>BDP|882478284552401028</stp>
        <tr r="Q21" s="29"/>
      </tp>
      <tp t="s">
        <v>#N/A Requesting Data...706320251</v>
        <stp/>
        <stp>BDP|268166491412767481</stp>
        <tr r="K71" s="29"/>
      </tp>
      <tp t="s">
        <v>#N/A Requesting Data...810908004</v>
        <stp/>
        <stp>BDP|148946405072237578</stp>
        <tr r="T28" s="12"/>
      </tp>
      <tp t="s">
        <v>#N/A Requesting Data...3761804199</v>
        <stp/>
        <stp>BDP|975923244611334296</stp>
        <tr r="L82" s="29"/>
      </tp>
      <tp t="s">
        <v>#N/A Requesting Data...1107570942</v>
        <stp/>
        <stp>BDP|913649782875825284</stp>
        <tr r="C61" s="29"/>
      </tp>
      <tp t="s">
        <v>#N/A Requesting Data...2867868274</v>
        <stp/>
        <stp>BDP|116630290026237097</stp>
        <tr r="Z59" s="9"/>
        <tr r="S69" s="14"/>
        <tr r="S68" s="13"/>
        <tr r="V55" s="15"/>
      </tp>
      <tp t="s">
        <v>#N/A Requesting Data...871378985</v>
        <stp/>
        <stp>BDP|840417551048461094</stp>
        <tr r="AA8" s="12"/>
      </tp>
      <tp t="s">
        <v>#N/A Requesting Data...1646323890</v>
        <stp/>
        <stp>BDP|291849238366963412</stp>
        <tr r="B34" s="12"/>
      </tp>
      <tp t="s">
        <v>#N/A Requesting Data...1456408209</v>
        <stp/>
        <stp>BDP|301877712916604622</stp>
        <tr r="AH18" s="12"/>
      </tp>
      <tp t="s">
        <v>#N/A Requesting Data...541112627</v>
        <stp/>
        <stp>BDP|662958319214404425</stp>
        <tr r="L30" s="29"/>
      </tp>
      <tp t="s">
        <v>#N/A Requesting Data...3110428810</v>
        <stp/>
        <stp>BDP|818228222859597118</stp>
        <tr r="B22" s="17"/>
        <tr r="C20" s="22"/>
        <tr r="X20" s="12"/>
      </tp>
      <tp t="s">
        <v>#N/A Requesting Data...3343729055</v>
        <stp/>
        <stp>BDP|911833643837316358</stp>
        <tr r="S38" s="14"/>
        <tr r="S44" s="13"/>
      </tp>
      <tp t="s">
        <v>#N/A Requesting Data...1771740239</v>
        <stp/>
        <stp>BDP|207461732516708994</stp>
        <tr r="AC45" s="9"/>
      </tp>
      <tp t="s">
        <v>#N/A Requesting Data...1448584011</v>
        <stp/>
        <stp>BDP|739477978798105305</stp>
        <tr r="C88" s="29"/>
      </tp>
      <tp t="s">
        <v>#N/A Requesting Data...1623991803</v>
        <stp/>
        <stp>BDP|771713625738794530</stp>
        <tr r="X40" s="22"/>
      </tp>
      <tp t="s">
        <v>#N/A Requesting Data...2312986744</v>
        <stp/>
        <stp>BDP|145625432858154509</stp>
        <tr r="F25" s="18"/>
        <tr r="I104" s="19"/>
        <tr r="I37" s="19"/>
        <tr r="J22" s="17"/>
        <tr r="F35" s="10"/>
        <tr r="I10" s="30"/>
      </tp>
      <tp t="s">
        <v>#N/A Requesting Data...671076095</v>
        <stp/>
        <stp>BDP|936319576895992940</stp>
        <tr r="AB4" s="19"/>
        <tr r="AJ26" s="17"/>
        <tr r="Y4" s="30"/>
      </tp>
      <tp t="s">
        <v>#N/A Requesting Data...1155306831</v>
        <stp/>
        <stp>BDP|510204231232901810</stp>
        <tr r="I11" s="27"/>
      </tp>
      <tp t="s">
        <v>#N/A Requesting Data...3075086196</v>
        <stp/>
        <stp>BDP|746105693922325184</stp>
        <tr r="AM40" s="17"/>
      </tp>
      <tp t="s">
        <v>#N/A Requesting Data...663360234</v>
        <stp/>
        <stp>BDP|435591744103525970</stp>
        <tr r="B16" s="17"/>
        <tr r="C25" s="22"/>
        <tr r="X15" s="12"/>
      </tp>
      <tp t="s">
        <v>#N/A Requesting Data...2210787848</v>
        <stp/>
        <stp>BDP|660069976879120571</stp>
        <tr r="J18" s="29"/>
      </tp>
      <tp t="s">
        <v>#N/A Requesting Data...2267460309</v>
        <stp/>
        <stp>BDP|103494753223843904</stp>
        <tr r="Q47" s="29"/>
      </tp>
      <tp t="s">
        <v>#N/A Requesting Data...1511517682</v>
        <stp/>
        <stp>BDP|725097484684772663</stp>
        <tr r="R40" s="14"/>
        <tr r="R48" s="13"/>
      </tp>
      <tp t="s">
        <v>#N/A Requesting Data...2609547579</v>
        <stp/>
        <stp>BDP|903298067427696947</stp>
        <tr r="C35" s="29"/>
      </tp>
      <tp t="s">
        <v>#N/A Requesting Data...1383453521</v>
        <stp/>
        <stp>BDP|431911923416305761</stp>
        <tr r="AN7" s="17"/>
        <tr r="X25" s="14"/>
        <tr r="X27" s="1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61C2-5335-4EFA-9DB5-D5B26C2CD4F3}">
  <sheetPr codeName="Sheet2"/>
  <dimension ref="A1:W278"/>
  <sheetViews>
    <sheetView topLeftCell="A184" zoomScale="80" zoomScaleNormal="80" workbookViewId="0">
      <selection activeCell="G243" sqref="G243"/>
    </sheetView>
  </sheetViews>
  <sheetFormatPr defaultRowHeight="15" x14ac:dyDescent="0.25"/>
  <cols>
    <col min="1" max="1" width="34.140625" bestFit="1" customWidth="1"/>
    <col min="3" max="3" width="10.7109375" customWidth="1"/>
    <col min="4" max="4" width="13.42578125" customWidth="1"/>
    <col min="5" max="5" width="8.28515625" customWidth="1"/>
    <col min="6" max="6" width="10.5703125" customWidth="1"/>
    <col min="7" max="7" width="8.7109375" customWidth="1"/>
    <col min="8" max="8" width="16.42578125" customWidth="1"/>
    <col min="9" max="9" width="29.28515625" customWidth="1"/>
    <col min="10" max="10" width="38.28515625" bestFit="1" customWidth="1"/>
    <col min="13" max="13" width="38.7109375" customWidth="1"/>
    <col min="15" max="15" width="15.5703125" customWidth="1"/>
    <col min="17" max="17" width="15.28515625" bestFit="1" customWidth="1"/>
    <col min="21" max="21" width="12" customWidth="1"/>
    <col min="23" max="23" width="14.140625" customWidth="1"/>
  </cols>
  <sheetData>
    <row r="1" spans="1:18" x14ac:dyDescent="0.25">
      <c r="A1" s="53"/>
      <c r="B1" s="54"/>
      <c r="C1" s="54"/>
      <c r="D1" s="54"/>
      <c r="E1" s="54"/>
      <c r="F1" s="54"/>
      <c r="G1" s="401"/>
      <c r="H1" s="402" t="s">
        <v>77</v>
      </c>
      <c r="I1" s="54"/>
      <c r="J1" s="54"/>
      <c r="K1" s="54"/>
      <c r="L1" s="54"/>
      <c r="M1" s="54"/>
      <c r="N1" s="54"/>
      <c r="O1" s="402" t="s">
        <v>77</v>
      </c>
      <c r="P1" s="54"/>
      <c r="Q1" s="54"/>
      <c r="R1" s="403"/>
    </row>
    <row r="2" spans="1:18" x14ac:dyDescent="0.25">
      <c r="A2" s="404">
        <f>+'Core Holdings'!M67-'current sector weights'!A3</f>
        <v>-186240</v>
      </c>
      <c r="G2" s="96"/>
      <c r="H2" s="384"/>
      <c r="O2" s="384"/>
      <c r="R2" s="55"/>
    </row>
    <row r="3" spans="1:18" ht="21" x14ac:dyDescent="0.35">
      <c r="A3" s="405">
        <f>+A6+A19+J6+J19+J35+A35+A47+J52+J61+A58</f>
        <v>623090862.5</v>
      </c>
      <c r="B3" s="385" t="s">
        <v>157</v>
      </c>
      <c r="C3" s="385"/>
      <c r="D3" s="385"/>
      <c r="E3" s="385"/>
      <c r="F3" s="385"/>
      <c r="G3" s="871" t="s">
        <v>341</v>
      </c>
      <c r="H3" s="872"/>
      <c r="I3" s="872"/>
      <c r="J3" s="873"/>
      <c r="K3" s="385"/>
      <c r="L3" s="385"/>
      <c r="M3" s="385"/>
      <c r="R3" s="55"/>
    </row>
    <row r="4" spans="1:18" x14ac:dyDescent="0.25">
      <c r="A4" s="56"/>
      <c r="B4" s="386"/>
      <c r="C4" s="386"/>
      <c r="D4" s="386"/>
      <c r="E4" s="386"/>
      <c r="F4" s="386"/>
      <c r="G4" s="874">
        <v>44957</v>
      </c>
      <c r="H4" s="875"/>
      <c r="I4" s="875"/>
      <c r="J4" s="876"/>
      <c r="K4" s="386"/>
      <c r="L4" s="386"/>
      <c r="M4" s="386"/>
      <c r="R4" s="55"/>
    </row>
    <row r="5" spans="1:18" x14ac:dyDescent="0.25">
      <c r="A5" s="406"/>
      <c r="R5" s="55"/>
    </row>
    <row r="6" spans="1:18" ht="15.75" x14ac:dyDescent="0.25">
      <c r="A6" s="407">
        <f>SUM(H7:H17)</f>
        <v>53800760</v>
      </c>
      <c r="B6" s="381">
        <f>+A6/$A$3</f>
        <v>8.6344967063290867E-2</v>
      </c>
      <c r="J6" s="379">
        <f>SUM(Q7:Q16)</f>
        <v>109629453</v>
      </c>
      <c r="K6" s="381">
        <f>+J6/$A$3</f>
        <v>0.17594456859813123</v>
      </c>
      <c r="R6" s="55"/>
    </row>
    <row r="7" spans="1:18" ht="15.75" x14ac:dyDescent="0.25">
      <c r="A7" s="408" t="s">
        <v>255</v>
      </c>
      <c r="B7" s="387" t="s">
        <v>256</v>
      </c>
      <c r="C7" s="387" t="s">
        <v>62</v>
      </c>
      <c r="D7" s="388" t="s">
        <v>257</v>
      </c>
      <c r="E7" s="388"/>
      <c r="F7" s="388"/>
      <c r="G7" s="388"/>
      <c r="H7" s="388"/>
      <c r="I7" s="388"/>
      <c r="J7" s="389" t="s">
        <v>258</v>
      </c>
      <c r="K7" s="387" t="s">
        <v>256</v>
      </c>
      <c r="L7" s="387" t="s">
        <v>62</v>
      </c>
      <c r="M7" s="388" t="s">
        <v>257</v>
      </c>
      <c r="N7" t="s">
        <v>44</v>
      </c>
      <c r="O7" s="29">
        <v>200000</v>
      </c>
      <c r="P7" s="9">
        <f>_xll.BDP(N7&amp;" EQUITY",$H$1)</f>
        <v>93.43</v>
      </c>
      <c r="Q7" s="29">
        <f t="shared" ref="Q7:Q15" si="0">+P7*O7</f>
        <v>18686000</v>
      </c>
      <c r="R7" s="55"/>
    </row>
    <row r="8" spans="1:18" x14ac:dyDescent="0.25">
      <c r="A8" s="409" t="s">
        <v>259</v>
      </c>
      <c r="B8" s="390">
        <v>7.6646999999999989E-4</v>
      </c>
      <c r="C8" s="368">
        <v>1.4824941174544966E-2</v>
      </c>
      <c r="D8" t="s">
        <v>5</v>
      </c>
      <c r="E8" s="377" t="s">
        <v>28</v>
      </c>
      <c r="F8" s="29">
        <v>190000</v>
      </c>
      <c r="G8" s="9">
        <f>_xll.BDP(E8&amp;" EQUITY",$H$1)</f>
        <v>184.005</v>
      </c>
      <c r="H8" s="29">
        <f>+G8*F8</f>
        <v>34960950</v>
      </c>
      <c r="J8" s="391" t="s">
        <v>260</v>
      </c>
      <c r="K8" s="368">
        <v>2.0134799999999998E-2</v>
      </c>
      <c r="L8" s="368">
        <v>2.8608820629722909E-2</v>
      </c>
      <c r="M8" s="377" t="s">
        <v>51</v>
      </c>
      <c r="N8" t="s">
        <v>51</v>
      </c>
      <c r="O8" s="29">
        <v>195000</v>
      </c>
      <c r="P8" s="9">
        <f>_xll.BDP(N8&amp;" EQUITY",$H$1)</f>
        <v>94.114999999999995</v>
      </c>
      <c r="Q8" s="29">
        <f t="shared" si="0"/>
        <v>18352425</v>
      </c>
      <c r="R8" s="55"/>
    </row>
    <row r="9" spans="1:18" x14ac:dyDescent="0.25">
      <c r="A9" s="409" t="s">
        <v>261</v>
      </c>
      <c r="B9" s="390">
        <v>0</v>
      </c>
      <c r="C9" s="368">
        <v>0</v>
      </c>
      <c r="E9" t="s">
        <v>5</v>
      </c>
      <c r="F9" s="29">
        <v>95000</v>
      </c>
      <c r="G9" s="9">
        <f>_xll.BDP(E9&amp;" EQUITY",$H$1)</f>
        <v>98.5</v>
      </c>
      <c r="H9" s="29">
        <f>+G9*F9</f>
        <v>9357500</v>
      </c>
      <c r="J9" s="391" t="s">
        <v>262</v>
      </c>
      <c r="K9" s="368">
        <v>2.4925040000000002E-2</v>
      </c>
      <c r="L9" s="368">
        <v>6.651211803003737E-2</v>
      </c>
      <c r="M9" s="377" t="s">
        <v>414</v>
      </c>
      <c r="N9" t="s">
        <v>32</v>
      </c>
      <c r="O9" s="29">
        <v>28000</v>
      </c>
      <c r="P9" s="9">
        <f>_xll.BDP(N9&amp;" EQUITY",$H$1)</f>
        <v>484.94099999999997</v>
      </c>
      <c r="Q9" s="29">
        <f t="shared" si="0"/>
        <v>13578348</v>
      </c>
      <c r="R9" s="55"/>
    </row>
    <row r="10" spans="1:18" x14ac:dyDescent="0.25">
      <c r="A10" s="409" t="s">
        <v>263</v>
      </c>
      <c r="B10" s="390">
        <v>5.4622000000000004E-4</v>
      </c>
      <c r="C10" s="368">
        <v>0</v>
      </c>
      <c r="D10" s="377"/>
      <c r="E10" t="s">
        <v>18</v>
      </c>
      <c r="F10" s="29">
        <v>63000</v>
      </c>
      <c r="G10" s="9">
        <f>_xll.BDP(E10&amp;" EQUITY",$H$1)</f>
        <v>101.97</v>
      </c>
      <c r="H10" s="29">
        <f>+G10*F10</f>
        <v>6424110</v>
      </c>
      <c r="I10" s="377"/>
      <c r="J10" s="391" t="s">
        <v>264</v>
      </c>
      <c r="K10" s="368">
        <v>4.1098680000000005E-2</v>
      </c>
      <c r="L10" s="368">
        <v>3.4135524615010293E-2</v>
      </c>
      <c r="M10" t="s">
        <v>44</v>
      </c>
      <c r="N10" t="s">
        <v>41</v>
      </c>
      <c r="O10" s="29">
        <v>25000</v>
      </c>
      <c r="P10" s="9">
        <f>_xll.BDP(N10&amp;" EQUITY",$H$1)</f>
        <v>560.07500000000005</v>
      </c>
      <c r="Q10" s="29">
        <f t="shared" si="0"/>
        <v>14001875.000000002</v>
      </c>
      <c r="R10" s="55"/>
    </row>
    <row r="11" spans="1:18" x14ac:dyDescent="0.25">
      <c r="A11" s="409" t="s">
        <v>265</v>
      </c>
      <c r="B11" s="390">
        <v>6.3784400000000008E-3</v>
      </c>
      <c r="C11" s="368">
        <v>0</v>
      </c>
      <c r="D11" s="377"/>
      <c r="E11" t="s">
        <v>108</v>
      </c>
      <c r="F11" s="29">
        <v>6000</v>
      </c>
      <c r="G11" s="9">
        <f>_xll.BDP(E11&amp;" EQUITY",$H$1)</f>
        <v>509.7</v>
      </c>
      <c r="H11" s="29">
        <f>+G11*F11</f>
        <v>3058200</v>
      </c>
      <c r="I11" s="377"/>
      <c r="J11" s="391" t="s">
        <v>266</v>
      </c>
      <c r="K11" s="368">
        <v>5.4219200000000002E-3</v>
      </c>
      <c r="L11" s="368">
        <v>0</v>
      </c>
      <c r="N11" t="s">
        <v>16</v>
      </c>
      <c r="O11" s="29">
        <v>23000</v>
      </c>
      <c r="P11" s="9">
        <f>_xll.BDP(N11&amp;" EQUITY",$H$1)</f>
        <v>489.96</v>
      </c>
      <c r="Q11" s="29">
        <f t="shared" si="0"/>
        <v>11269080</v>
      </c>
      <c r="R11" s="55"/>
    </row>
    <row r="12" spans="1:18" x14ac:dyDescent="0.25">
      <c r="A12" s="409" t="s">
        <v>267</v>
      </c>
      <c r="B12" s="390">
        <v>6.7132200000000006E-3</v>
      </c>
      <c r="C12" s="368">
        <v>0</v>
      </c>
      <c r="E12" s="377"/>
      <c r="F12" s="29"/>
      <c r="G12" s="9"/>
      <c r="H12" s="29"/>
      <c r="J12" s="391" t="s">
        <v>343</v>
      </c>
      <c r="K12" s="368">
        <v>1.7476480000000003E-2</v>
      </c>
      <c r="L12" s="368">
        <v>4.9539014537229115E-2</v>
      </c>
      <c r="M12" s="377" t="s">
        <v>344</v>
      </c>
      <c r="N12" t="s">
        <v>110</v>
      </c>
      <c r="O12" s="29">
        <v>20000</v>
      </c>
      <c r="P12" s="9">
        <f>_xll.BDP(N12&amp;" EQUITY",$H$1)</f>
        <v>534.08000000000004</v>
      </c>
      <c r="Q12" s="29">
        <f t="shared" si="0"/>
        <v>10681600</v>
      </c>
      <c r="R12" s="55"/>
    </row>
    <row r="13" spans="1:18" x14ac:dyDescent="0.25">
      <c r="A13" s="409" t="s">
        <v>268</v>
      </c>
      <c r="B13" s="390">
        <v>3.1804100000000003E-3</v>
      </c>
      <c r="C13" s="368">
        <v>0</v>
      </c>
      <c r="F13" s="29"/>
      <c r="G13" s="9"/>
      <c r="H13" s="29"/>
      <c r="J13" s="391" t="s">
        <v>269</v>
      </c>
      <c r="K13" s="368">
        <v>1.6305240000000002E-2</v>
      </c>
      <c r="L13" s="368">
        <v>2.8000000000000001E-2</v>
      </c>
      <c r="M13" t="s">
        <v>41</v>
      </c>
      <c r="N13" t="s">
        <v>39</v>
      </c>
      <c r="O13" s="29">
        <v>42000</v>
      </c>
      <c r="P13" s="9">
        <f>_xll.BDP(N13&amp;" EQUITY",$H$1)</f>
        <v>255.35</v>
      </c>
      <c r="Q13" s="29">
        <f t="shared" si="0"/>
        <v>10724700</v>
      </c>
      <c r="R13" s="55"/>
    </row>
    <row r="14" spans="1:18" x14ac:dyDescent="0.25">
      <c r="A14" s="409" t="s">
        <v>270</v>
      </c>
      <c r="B14" s="390">
        <v>5.7864080000000005E-2</v>
      </c>
      <c r="C14" s="368">
        <v>5.0667473554655069E-2</v>
      </c>
      <c r="D14" s="377" t="s">
        <v>762</v>
      </c>
      <c r="E14" s="377"/>
      <c r="F14" s="29"/>
      <c r="G14" s="9"/>
      <c r="H14" s="29"/>
      <c r="I14" s="377"/>
      <c r="J14" s="392" t="s">
        <v>271</v>
      </c>
      <c r="K14" s="368">
        <v>0</v>
      </c>
      <c r="L14" s="368">
        <v>0</v>
      </c>
      <c r="M14" s="377"/>
      <c r="N14" t="s">
        <v>19</v>
      </c>
      <c r="O14" s="29">
        <v>23000</v>
      </c>
      <c r="P14" s="9">
        <f>_xll.BDP(N14&amp;" EQUITY",$H$1)</f>
        <v>434.17500000000001</v>
      </c>
      <c r="Q14" s="29">
        <f t="shared" si="0"/>
        <v>9986025</v>
      </c>
      <c r="R14" s="55"/>
    </row>
    <row r="15" spans="1:18" x14ac:dyDescent="0.25">
      <c r="A15" s="409" t="s">
        <v>272</v>
      </c>
      <c r="B15" s="390">
        <v>1.028127E-2</v>
      </c>
      <c r="C15" s="368">
        <v>9.7656776060993551E-3</v>
      </c>
      <c r="D15" s="377" t="s">
        <v>18</v>
      </c>
      <c r="E15" s="377"/>
      <c r="F15" s="29"/>
      <c r="G15" s="9"/>
      <c r="H15" s="29"/>
      <c r="I15" s="377"/>
      <c r="J15" s="391" t="s">
        <v>273</v>
      </c>
      <c r="K15" s="378">
        <v>6.2378399999999997E-3</v>
      </c>
      <c r="L15" s="378">
        <v>0</v>
      </c>
      <c r="M15" s="377"/>
      <c r="N15" t="s">
        <v>10</v>
      </c>
      <c r="O15" s="29">
        <v>10000</v>
      </c>
      <c r="P15" s="9">
        <f>_xll.BDP(N15&amp;" EQUITY",$H$1)</f>
        <v>234.94</v>
      </c>
      <c r="Q15" s="29">
        <f t="shared" si="0"/>
        <v>2349400</v>
      </c>
      <c r="R15" s="55"/>
    </row>
    <row r="16" spans="1:18" x14ac:dyDescent="0.25">
      <c r="A16" s="409" t="s">
        <v>274</v>
      </c>
      <c r="B16" s="393">
        <v>2.3698899999999999E-3</v>
      </c>
      <c r="C16" s="378">
        <v>0</v>
      </c>
      <c r="F16" s="29"/>
      <c r="G16" s="9"/>
      <c r="H16" s="29"/>
      <c r="J16" s="391"/>
      <c r="K16" s="368">
        <f>SUM(K8:K15)</f>
        <v>0.13160000000000002</v>
      </c>
      <c r="L16" s="368">
        <f>SUM(L8:L15)</f>
        <v>0.2067954778119997</v>
      </c>
      <c r="O16" s="29"/>
      <c r="P16" s="9"/>
      <c r="Q16" s="29"/>
      <c r="R16" s="55"/>
    </row>
    <row r="17" spans="1:18" x14ac:dyDescent="0.25">
      <c r="A17" s="56"/>
      <c r="B17" s="390">
        <f>SUM(B8:B16)</f>
        <v>8.8099999999999998E-2</v>
      </c>
      <c r="C17" s="390">
        <f>SUM(C8:C16)</f>
        <v>7.5258092335299384E-2</v>
      </c>
      <c r="F17" s="29"/>
      <c r="G17" s="9"/>
      <c r="H17" s="29"/>
      <c r="J17" s="391"/>
      <c r="R17" s="55"/>
    </row>
    <row r="18" spans="1:18" x14ac:dyDescent="0.25">
      <c r="A18" s="56"/>
      <c r="B18" s="390"/>
      <c r="C18" s="390"/>
      <c r="F18" s="29"/>
      <c r="G18" s="9"/>
      <c r="H18" s="29"/>
      <c r="P18" s="9"/>
      <c r="R18" s="55"/>
    </row>
    <row r="19" spans="1:18" ht="15.75" x14ac:dyDescent="0.25">
      <c r="A19" s="407">
        <f>SUM(H20:H30)</f>
        <v>62444552</v>
      </c>
      <c r="B19" s="382">
        <f>+A19/$A$3</f>
        <v>0.10021740930280454</v>
      </c>
      <c r="F19" s="29"/>
      <c r="G19" s="9"/>
      <c r="H19" s="29"/>
      <c r="J19" s="379">
        <f>SUM(Q21:Q31)</f>
        <v>44660932.5</v>
      </c>
      <c r="K19" s="381">
        <f>+J19/$A$3</f>
        <v>7.1676436275776717E-2</v>
      </c>
      <c r="P19" s="9"/>
      <c r="R19" s="55"/>
    </row>
    <row r="20" spans="1:18" ht="15.75" x14ac:dyDescent="0.25">
      <c r="A20" s="408" t="s">
        <v>276</v>
      </c>
      <c r="F20" s="29"/>
      <c r="G20" s="9"/>
      <c r="H20" s="29"/>
      <c r="J20" s="389" t="s">
        <v>275</v>
      </c>
      <c r="O20" s="29"/>
      <c r="P20" s="9"/>
      <c r="Q20" s="29"/>
      <c r="R20" s="55"/>
    </row>
    <row r="21" spans="1:18" x14ac:dyDescent="0.25">
      <c r="A21" s="409" t="s">
        <v>278</v>
      </c>
      <c r="B21" s="368">
        <v>2.0954750000000001E-2</v>
      </c>
      <c r="C21" s="368">
        <v>0</v>
      </c>
      <c r="E21" t="s">
        <v>42</v>
      </c>
      <c r="F21" s="29">
        <v>137000</v>
      </c>
      <c r="G21" s="9">
        <f>_xll.BDP(E21&amp;" EQUITY",$H$1)</f>
        <v>188.55</v>
      </c>
      <c r="H21" s="29">
        <f t="shared" ref="H21:H23" si="1">+G21*F21</f>
        <v>25831350</v>
      </c>
      <c r="J21" s="391" t="s">
        <v>277</v>
      </c>
      <c r="K21" s="368">
        <v>1.6067579999999998E-2</v>
      </c>
      <c r="L21" s="368">
        <v>0</v>
      </c>
      <c r="M21" s="377"/>
      <c r="N21" t="s">
        <v>49</v>
      </c>
      <c r="O21" s="29">
        <v>160000</v>
      </c>
      <c r="P21" s="9">
        <f>_xll.BDP(N21&amp;" EQUITY",$H$1)</f>
        <v>76.97</v>
      </c>
      <c r="Q21" s="29">
        <f t="shared" ref="Q21:Q22" si="2">+P21*O21</f>
        <v>12315200</v>
      </c>
      <c r="R21" s="55"/>
    </row>
    <row r="22" spans="1:18" x14ac:dyDescent="0.25">
      <c r="A22" s="409" t="s">
        <v>280</v>
      </c>
      <c r="B22" s="368">
        <v>4.0848500000000001E-3</v>
      </c>
      <c r="C22" s="368">
        <v>0</v>
      </c>
      <c r="D22" s="377"/>
      <c r="E22" t="s">
        <v>6</v>
      </c>
      <c r="F22" s="29">
        <v>100000</v>
      </c>
      <c r="G22" s="9">
        <f>_xll.BDP(E22&amp;" EQUITY",$H$1)</f>
        <v>110.93</v>
      </c>
      <c r="H22" s="29">
        <f t="shared" si="1"/>
        <v>11093000</v>
      </c>
      <c r="I22" s="377"/>
      <c r="J22" s="391" t="s">
        <v>279</v>
      </c>
      <c r="K22" s="368">
        <v>0</v>
      </c>
      <c r="L22" s="368">
        <v>0</v>
      </c>
      <c r="N22" t="s">
        <v>22</v>
      </c>
      <c r="O22" s="29">
        <v>70000</v>
      </c>
      <c r="P22" s="9">
        <f>_xll.BDP(N22&amp;" EQUITY",$H$1)</f>
        <v>136.47999999999999</v>
      </c>
      <c r="Q22" s="29">
        <f t="shared" si="2"/>
        <v>9553600</v>
      </c>
      <c r="R22" s="55"/>
    </row>
    <row r="23" spans="1:18" x14ac:dyDescent="0.25">
      <c r="A23" s="409" t="s">
        <v>282</v>
      </c>
      <c r="B23" s="368">
        <v>4.4561999999999992E-4</v>
      </c>
      <c r="C23" s="368">
        <v>0</v>
      </c>
      <c r="E23" s="377" t="s">
        <v>26</v>
      </c>
      <c r="F23" s="29">
        <v>25000</v>
      </c>
      <c r="G23" s="9">
        <f>_xll.BDP(E23&amp;" EQUITY",$H$1)</f>
        <v>312.06</v>
      </c>
      <c r="H23" s="29">
        <f t="shared" si="1"/>
        <v>7801500</v>
      </c>
      <c r="J23" s="391" t="s">
        <v>281</v>
      </c>
      <c r="K23" s="368">
        <v>0</v>
      </c>
      <c r="L23" s="368">
        <v>0</v>
      </c>
      <c r="N23" t="s">
        <v>78</v>
      </c>
      <c r="O23" s="29">
        <v>140000</v>
      </c>
      <c r="P23" s="9">
        <f>_xll.BDP(N23&amp;" EQUITY",$H$1)</f>
        <v>71.69</v>
      </c>
      <c r="Q23" s="29">
        <f t="shared" ref="Q23:Q26" si="3">+P23*O23</f>
        <v>10036600</v>
      </c>
      <c r="R23" s="55"/>
    </row>
    <row r="24" spans="1:18" x14ac:dyDescent="0.25">
      <c r="A24" s="409" t="s">
        <v>284</v>
      </c>
      <c r="B24" s="368">
        <v>1.2530410000000001E-2</v>
      </c>
      <c r="C24" s="368">
        <v>0</v>
      </c>
      <c r="D24" s="377"/>
      <c r="E24" s="377" t="s">
        <v>4</v>
      </c>
      <c r="F24" s="29">
        <v>20000</v>
      </c>
      <c r="G24" s="9">
        <f>_xll.BDP(E24&amp;" EQUITY",$H$1)</f>
        <v>388.85</v>
      </c>
      <c r="H24" s="29">
        <f t="shared" ref="H24:H25" si="4">+G24*F24</f>
        <v>7777000</v>
      </c>
      <c r="I24" s="377"/>
      <c r="J24" s="391" t="s">
        <v>283</v>
      </c>
      <c r="K24" s="368">
        <v>8.1939600000000001E-3</v>
      </c>
      <c r="L24" s="368">
        <v>0</v>
      </c>
      <c r="M24" s="377"/>
      <c r="N24" t="s">
        <v>400</v>
      </c>
      <c r="O24" s="29">
        <v>8500</v>
      </c>
      <c r="P24" s="9">
        <f>_xll.BDP(N24&amp;" EQUITY",$H$1)</f>
        <v>633.14499999999998</v>
      </c>
      <c r="Q24" s="29">
        <f t="shared" si="3"/>
        <v>5381732.5</v>
      </c>
      <c r="R24" s="55"/>
    </row>
    <row r="25" spans="1:18" x14ac:dyDescent="0.25">
      <c r="A25" s="409" t="s">
        <v>286</v>
      </c>
      <c r="B25" s="368">
        <v>7.0768699999999999E-3</v>
      </c>
      <c r="C25" s="368">
        <v>0</v>
      </c>
      <c r="E25" s="377" t="s">
        <v>3</v>
      </c>
      <c r="F25" s="29">
        <v>85000</v>
      </c>
      <c r="G25" s="9">
        <f>_xll.BDP(E25&amp;" EQUITY",$H$1)</f>
        <v>73.239999999999995</v>
      </c>
      <c r="H25" s="29">
        <f t="shared" si="4"/>
        <v>6225400</v>
      </c>
      <c r="J25" s="391" t="s">
        <v>285</v>
      </c>
      <c r="K25" s="368">
        <v>6.05274E-3</v>
      </c>
      <c r="L25" s="368">
        <v>0</v>
      </c>
      <c r="M25" s="377"/>
      <c r="N25" t="s">
        <v>93</v>
      </c>
      <c r="O25" s="29">
        <v>50000</v>
      </c>
      <c r="P25" s="9">
        <f>_xll.BDP(N25&amp;" EQUITY",$H$1)</f>
        <v>74.02</v>
      </c>
      <c r="Q25" s="29">
        <f t="shared" si="3"/>
        <v>3701000</v>
      </c>
      <c r="R25" s="55"/>
    </row>
    <row r="26" spans="1:18" x14ac:dyDescent="0.25">
      <c r="A26" s="409" t="s">
        <v>415</v>
      </c>
      <c r="B26" s="368">
        <v>3.3580649999999997E-2</v>
      </c>
      <c r="C26" s="368">
        <v>5.2024425279877669E-2</v>
      </c>
      <c r="D26" s="377" t="s">
        <v>42</v>
      </c>
      <c r="E26" s="377" t="s">
        <v>487</v>
      </c>
      <c r="F26" s="29">
        <v>20000</v>
      </c>
      <c r="G26" s="9">
        <f>_xll.BDP(E26&amp;" EQUITY",$H$1)</f>
        <v>185.8151</v>
      </c>
      <c r="H26" s="29">
        <f t="shared" ref="H26" si="5">+G26*F26</f>
        <v>3716302</v>
      </c>
      <c r="I26" s="377"/>
      <c r="J26" s="391" t="s">
        <v>287</v>
      </c>
      <c r="K26" s="368">
        <v>1.8090780000000001E-2</v>
      </c>
      <c r="L26" s="368">
        <v>2.1038338361557177E-2</v>
      </c>
      <c r="M26" s="377" t="s">
        <v>288</v>
      </c>
      <c r="N26" t="s">
        <v>122</v>
      </c>
      <c r="O26" s="29">
        <v>10000</v>
      </c>
      <c r="P26" s="9">
        <f>_xll.BDP(N26&amp;" EQUITY",$H$1)</f>
        <v>367.28</v>
      </c>
      <c r="Q26" s="29">
        <f t="shared" si="3"/>
        <v>3672799.9999999995</v>
      </c>
      <c r="R26" s="55"/>
    </row>
    <row r="27" spans="1:18" x14ac:dyDescent="0.25">
      <c r="A27" s="409" t="s">
        <v>292</v>
      </c>
      <c r="B27" s="368">
        <v>2.4402999999999998E-4</v>
      </c>
      <c r="C27" s="368">
        <v>9.5733220030049214E-3</v>
      </c>
      <c r="D27" s="377" t="s">
        <v>3</v>
      </c>
      <c r="E27" s="377"/>
      <c r="F27" s="29"/>
      <c r="G27" s="9"/>
      <c r="H27" s="29"/>
      <c r="I27" s="377"/>
      <c r="J27" s="391" t="s">
        <v>290</v>
      </c>
      <c r="K27" s="368">
        <v>1.7999999999999999E-2</v>
      </c>
      <c r="L27" s="368">
        <v>3.4000000000000002E-2</v>
      </c>
      <c r="M27" s="377" t="s">
        <v>291</v>
      </c>
      <c r="O27" s="29"/>
      <c r="P27" s="9"/>
      <c r="Q27" s="29"/>
      <c r="R27" s="55"/>
    </row>
    <row r="28" spans="1:18" x14ac:dyDescent="0.25">
      <c r="A28" s="409" t="s">
        <v>293</v>
      </c>
      <c r="B28" s="368">
        <v>1.164978E-2</v>
      </c>
      <c r="C28" s="368">
        <v>0</v>
      </c>
      <c r="D28" s="377"/>
      <c r="E28" s="377"/>
      <c r="F28" s="377"/>
      <c r="G28" s="9"/>
      <c r="H28" s="377"/>
      <c r="I28" s="377"/>
      <c r="J28" s="391" t="s">
        <v>266</v>
      </c>
      <c r="K28" s="368">
        <v>1.2999999999999999E-2</v>
      </c>
      <c r="L28" s="368">
        <v>2E-3</v>
      </c>
      <c r="M28" s="377" t="s">
        <v>764</v>
      </c>
      <c r="O28" s="29"/>
      <c r="P28" s="9"/>
      <c r="Q28" s="29"/>
      <c r="R28" s="55"/>
    </row>
    <row r="29" spans="1:18" x14ac:dyDescent="0.25">
      <c r="A29" s="409" t="s">
        <v>295</v>
      </c>
      <c r="B29" s="368">
        <v>0</v>
      </c>
      <c r="C29" s="368">
        <v>1.7131207794850913E-2</v>
      </c>
      <c r="D29" t="s">
        <v>6</v>
      </c>
      <c r="G29" s="9"/>
      <c r="J29" s="391" t="s">
        <v>294</v>
      </c>
      <c r="K29" s="368">
        <v>5.0000000000000001E-3</v>
      </c>
      <c r="L29" s="368">
        <v>6.6103714333829453E-3</v>
      </c>
      <c r="M29" s="377" t="s">
        <v>93</v>
      </c>
      <c r="O29" s="29"/>
      <c r="P29" s="9"/>
      <c r="Q29" s="29"/>
      <c r="R29" s="55"/>
    </row>
    <row r="30" spans="1:18" x14ac:dyDescent="0.25">
      <c r="A30" s="409" t="s">
        <v>299</v>
      </c>
      <c r="B30" s="368">
        <v>5.7400100000000003E-3</v>
      </c>
      <c r="C30" s="368">
        <v>1.5376222255832557E-2</v>
      </c>
      <c r="D30" s="377" t="s">
        <v>4</v>
      </c>
      <c r="E30" s="377"/>
      <c r="F30" s="377"/>
      <c r="G30" s="9"/>
      <c r="H30" s="377"/>
      <c r="I30" s="377"/>
      <c r="J30" s="391" t="s">
        <v>296</v>
      </c>
      <c r="K30" s="368">
        <v>8.092799999999999E-4</v>
      </c>
      <c r="L30" s="368">
        <v>0</v>
      </c>
      <c r="M30" s="377"/>
      <c r="O30" s="29"/>
      <c r="P30" s="9"/>
      <c r="Q30" s="29"/>
      <c r="R30" s="55"/>
    </row>
    <row r="31" spans="1:18" x14ac:dyDescent="0.25">
      <c r="A31" s="409" t="s">
        <v>273</v>
      </c>
      <c r="B31" s="368">
        <v>9.3580199999999999E-3</v>
      </c>
      <c r="C31" s="394">
        <v>1.6931146112125577E-2</v>
      </c>
      <c r="D31" s="377" t="s">
        <v>26</v>
      </c>
      <c r="E31" s="377"/>
      <c r="F31" s="377"/>
      <c r="G31" s="9"/>
      <c r="H31" s="377"/>
      <c r="I31" s="377"/>
      <c r="J31" s="391" t="s">
        <v>298</v>
      </c>
      <c r="K31" s="378">
        <v>2.5880099999999995E-3</v>
      </c>
      <c r="L31" s="378">
        <v>8.0000000000000002E-3</v>
      </c>
      <c r="M31" s="377" t="s">
        <v>400</v>
      </c>
      <c r="O31" s="29"/>
      <c r="P31" s="9"/>
      <c r="Q31" s="29"/>
      <c r="R31" s="55"/>
    </row>
    <row r="32" spans="1:18" x14ac:dyDescent="0.25">
      <c r="A32" s="409"/>
      <c r="B32" s="592"/>
      <c r="C32" s="592"/>
      <c r="D32" s="377"/>
      <c r="E32" s="377"/>
      <c r="F32" s="377"/>
      <c r="G32" s="9"/>
      <c r="H32" s="377"/>
      <c r="I32" s="377"/>
      <c r="K32" s="368">
        <f>SUM(K21:K31)</f>
        <v>8.7802350000000001E-2</v>
      </c>
      <c r="L32" s="368">
        <f>SUM(L21:L31)</f>
        <v>7.1648709794940119E-2</v>
      </c>
      <c r="O32" s="29"/>
      <c r="P32" s="9"/>
      <c r="Q32" s="29"/>
      <c r="R32" s="55"/>
    </row>
    <row r="33" spans="1:23" x14ac:dyDescent="0.25">
      <c r="A33" s="56"/>
      <c r="B33" s="390">
        <f>SUM(B21:B32)</f>
        <v>0.10566499</v>
      </c>
      <c r="C33" s="368">
        <f>SUM(C21:C32)</f>
        <v>0.11103632344569164</v>
      </c>
      <c r="G33" s="9"/>
      <c r="K33" s="368"/>
      <c r="L33" s="368"/>
      <c r="O33" s="29"/>
      <c r="P33" s="9"/>
      <c r="Q33" s="29"/>
      <c r="R33" s="55"/>
    </row>
    <row r="34" spans="1:23" x14ac:dyDescent="0.25">
      <c r="A34" s="56"/>
      <c r="B34" s="390"/>
      <c r="C34" s="368"/>
      <c r="G34" s="9"/>
      <c r="K34" s="368"/>
      <c r="L34" s="368"/>
      <c r="O34" s="29"/>
      <c r="P34" s="9"/>
      <c r="Q34" s="29"/>
      <c r="R34" s="55"/>
    </row>
    <row r="35" spans="1:23" ht="15.75" x14ac:dyDescent="0.25">
      <c r="A35" s="407">
        <f>SUM(H36:H47)</f>
        <v>33991010</v>
      </c>
      <c r="B35" s="382">
        <f>+A35/$A$3</f>
        <v>5.4552252401229843E-2</v>
      </c>
      <c r="G35" s="9"/>
      <c r="J35" s="379">
        <f>SUM(Q36:Q50)</f>
        <v>229398365</v>
      </c>
      <c r="K35" s="381">
        <f>+J35/$A$3</f>
        <v>0.36816197894412228</v>
      </c>
      <c r="O35" s="29"/>
      <c r="P35" s="9"/>
      <c r="Q35" s="29"/>
      <c r="R35" s="55"/>
    </row>
    <row r="36" spans="1:23" ht="15.75" x14ac:dyDescent="0.25">
      <c r="A36" s="410" t="s">
        <v>302</v>
      </c>
      <c r="C36" s="390">
        <v>2.7E-2</v>
      </c>
      <c r="D36" t="s">
        <v>48</v>
      </c>
      <c r="G36" s="9"/>
      <c r="J36" s="389" t="s">
        <v>300</v>
      </c>
      <c r="L36" s="368">
        <v>2.1999999999999999E-2</v>
      </c>
      <c r="M36" s="377" t="s">
        <v>50</v>
      </c>
      <c r="N36" t="s">
        <v>45</v>
      </c>
      <c r="O36" s="29">
        <v>208000</v>
      </c>
      <c r="P36" s="9">
        <f>_xll.BDP(N36&amp;" EQUITY",$H$1)</f>
        <v>245.31</v>
      </c>
      <c r="Q36" s="29">
        <f t="shared" ref="Q36:Q48" si="6">+P36*O36</f>
        <v>51024480</v>
      </c>
      <c r="R36" s="55"/>
      <c r="U36" s="29"/>
      <c r="V36" s="9"/>
      <c r="W36" s="29"/>
    </row>
    <row r="37" spans="1:23" x14ac:dyDescent="0.25">
      <c r="A37" s="409" t="s">
        <v>304</v>
      </c>
      <c r="B37" s="368">
        <v>1.6006399999999997E-3</v>
      </c>
      <c r="C37" s="368">
        <v>0</v>
      </c>
      <c r="E37" s="377" t="s">
        <v>48</v>
      </c>
      <c r="F37" s="29">
        <v>200000</v>
      </c>
      <c r="G37" s="9">
        <f>_xll.BDP(E37&amp;" EQUITY",$H$1)</f>
        <v>77.44</v>
      </c>
      <c r="H37" s="29">
        <f t="shared" ref="H37:H39" si="7">+G37*F37</f>
        <v>15488000</v>
      </c>
      <c r="J37" s="391" t="s">
        <v>301</v>
      </c>
      <c r="K37" s="368">
        <v>0.10212019999999999</v>
      </c>
      <c r="L37" s="368">
        <v>0.16052682671118162</v>
      </c>
      <c r="M37" s="377" t="s">
        <v>761</v>
      </c>
      <c r="N37" t="s">
        <v>38</v>
      </c>
      <c r="O37" s="29">
        <v>105000</v>
      </c>
      <c r="P37" s="9">
        <f>_xll.BDP(N37&amp;" EQUITY",$H$1)</f>
        <v>449.56</v>
      </c>
      <c r="Q37" s="29">
        <f t="shared" si="6"/>
        <v>47203800</v>
      </c>
      <c r="R37" s="55"/>
      <c r="U37" s="29"/>
      <c r="V37" s="9"/>
      <c r="W37" s="29"/>
    </row>
    <row r="38" spans="1:23" x14ac:dyDescent="0.25">
      <c r="A38" s="409" t="s">
        <v>305</v>
      </c>
      <c r="B38" s="368">
        <v>1.635408E-2</v>
      </c>
      <c r="C38" s="368">
        <v>0</v>
      </c>
      <c r="E38" s="377" t="s">
        <v>43</v>
      </c>
      <c r="F38" s="29">
        <v>17000</v>
      </c>
      <c r="G38" s="9">
        <f>_xll.BDP(E38&amp;" EQUITY",$H$1)</f>
        <v>852.03</v>
      </c>
      <c r="H38" s="29">
        <f t="shared" si="7"/>
        <v>14484510</v>
      </c>
      <c r="J38" s="391" t="s">
        <v>303</v>
      </c>
      <c r="K38" s="368">
        <v>7.6195210000000013E-2</v>
      </c>
      <c r="L38" s="368">
        <v>6.7862867824571252E-2</v>
      </c>
      <c r="M38" s="377" t="s">
        <v>37</v>
      </c>
      <c r="N38" t="s">
        <v>37</v>
      </c>
      <c r="O38" s="29">
        <v>195000</v>
      </c>
      <c r="P38" s="9">
        <f>_xll.BDP(N38&amp;" EQUITY",$H$1)</f>
        <v>210.08500000000001</v>
      </c>
      <c r="Q38" s="29">
        <f t="shared" si="6"/>
        <v>40966575</v>
      </c>
      <c r="R38" s="55"/>
      <c r="U38" s="29"/>
      <c r="V38" s="9"/>
      <c r="W38" s="29"/>
    </row>
    <row r="39" spans="1:23" x14ac:dyDescent="0.25">
      <c r="A39" s="409" t="s">
        <v>416</v>
      </c>
      <c r="B39" s="368">
        <v>1.5547199999999999E-2</v>
      </c>
      <c r="C39" s="368">
        <v>2.6374428021359031E-2</v>
      </c>
      <c r="D39" s="377" t="s">
        <v>314</v>
      </c>
      <c r="E39" s="377" t="s">
        <v>70</v>
      </c>
      <c r="F39" s="29">
        <v>60000</v>
      </c>
      <c r="G39" s="9">
        <f>_xll.BDP(E39&amp;" EQUITY",$H$1)</f>
        <v>66.974999999999994</v>
      </c>
      <c r="H39" s="29">
        <f t="shared" si="7"/>
        <v>4018499.9999999995</v>
      </c>
      <c r="I39" s="377"/>
      <c r="J39" s="391" t="s">
        <v>285</v>
      </c>
      <c r="K39" s="368">
        <v>5.0495899999999996E-3</v>
      </c>
      <c r="L39" s="368">
        <v>0</v>
      </c>
      <c r="M39" s="377"/>
      <c r="N39" t="s">
        <v>24</v>
      </c>
      <c r="O39" s="29">
        <v>21000</v>
      </c>
      <c r="P39" s="9">
        <f>_xll.BDP(N39&amp;" EQUITY",$H$1)</f>
        <v>751.65</v>
      </c>
      <c r="Q39" s="29">
        <f t="shared" si="6"/>
        <v>15784650</v>
      </c>
      <c r="R39" s="55"/>
      <c r="U39" s="29"/>
      <c r="V39" s="9"/>
      <c r="W39" s="29"/>
    </row>
    <row r="40" spans="1:23" x14ac:dyDescent="0.25">
      <c r="A40" s="409" t="s">
        <v>308</v>
      </c>
      <c r="B40" s="368">
        <v>1.2857599999999999E-3</v>
      </c>
      <c r="C40" s="368">
        <v>0</v>
      </c>
      <c r="G40" s="9"/>
      <c r="J40" s="391" t="s">
        <v>306</v>
      </c>
      <c r="K40" s="368">
        <v>1.119937E-2</v>
      </c>
      <c r="L40" s="368">
        <v>2.099156468110519E-2</v>
      </c>
      <c r="M40" s="377" t="s">
        <v>307</v>
      </c>
      <c r="N40" t="s">
        <v>307</v>
      </c>
      <c r="O40" s="29">
        <v>35000</v>
      </c>
      <c r="P40" s="9">
        <f>_xll.BDP(N40&amp;" EQUITY",$H$1)</f>
        <v>306.01</v>
      </c>
      <c r="Q40" s="29">
        <f t="shared" si="6"/>
        <v>10710350</v>
      </c>
      <c r="R40" s="55"/>
    </row>
    <row r="41" spans="1:23" x14ac:dyDescent="0.25">
      <c r="A41" s="409" t="s">
        <v>345</v>
      </c>
      <c r="B41" s="368">
        <v>9.3807999999999999E-4</v>
      </c>
      <c r="C41" s="368">
        <v>0</v>
      </c>
      <c r="D41" s="377"/>
      <c r="E41" s="377"/>
      <c r="F41" s="377"/>
      <c r="G41" s="9"/>
      <c r="H41" s="377"/>
      <c r="I41" s="377"/>
      <c r="J41" s="391" t="s">
        <v>309</v>
      </c>
      <c r="K41" s="368">
        <v>9.3092999999999995E-3</v>
      </c>
      <c r="L41" s="368">
        <v>0</v>
      </c>
      <c r="M41" s="377"/>
      <c r="N41" t="s">
        <v>21</v>
      </c>
      <c r="O41" s="29">
        <v>17000</v>
      </c>
      <c r="P41" s="9">
        <f>_xll.BDP(N41&amp;" EQUITY",$H$1)</f>
        <v>625.94000000000005</v>
      </c>
      <c r="Q41" s="29">
        <f t="shared" si="6"/>
        <v>10640980</v>
      </c>
      <c r="R41" s="55"/>
      <c r="U41" s="29"/>
      <c r="V41" s="9"/>
      <c r="W41" s="29"/>
    </row>
    <row r="42" spans="1:23" x14ac:dyDescent="0.25">
      <c r="A42" s="409" t="s">
        <v>310</v>
      </c>
      <c r="B42" s="368">
        <v>1.5606239999999997E-2</v>
      </c>
      <c r="C42" s="368">
        <v>0</v>
      </c>
      <c r="G42" s="9"/>
      <c r="J42" s="391" t="s">
        <v>311</v>
      </c>
      <c r="K42" s="368">
        <v>7.7464660000000005E-2</v>
      </c>
      <c r="L42" s="368">
        <v>8.395968264133688E-2</v>
      </c>
      <c r="M42" s="377" t="s">
        <v>763</v>
      </c>
      <c r="N42" t="s">
        <v>485</v>
      </c>
      <c r="O42" s="29">
        <v>120000</v>
      </c>
      <c r="P42" s="9">
        <f>_xll.BDP(N42&amp;" EQUITY",$H$1)</f>
        <v>123.875</v>
      </c>
      <c r="Q42" s="29">
        <f t="shared" si="6"/>
        <v>14865000</v>
      </c>
      <c r="R42" s="55"/>
      <c r="U42" s="29"/>
      <c r="V42" s="9"/>
      <c r="W42" s="29"/>
    </row>
    <row r="43" spans="1:23" x14ac:dyDescent="0.25">
      <c r="A43" s="409" t="s">
        <v>312</v>
      </c>
      <c r="B43" s="368">
        <v>8.21968E-3</v>
      </c>
      <c r="C43" s="368">
        <v>0</v>
      </c>
      <c r="D43" s="377"/>
      <c r="E43" s="377"/>
      <c r="F43" s="377"/>
      <c r="G43" s="9"/>
      <c r="H43" s="377"/>
      <c r="I43" s="377"/>
      <c r="J43" s="391"/>
      <c r="K43" s="592"/>
      <c r="L43" s="592"/>
      <c r="M43" s="377"/>
      <c r="N43" t="s">
        <v>50</v>
      </c>
      <c r="O43" s="29">
        <v>100000</v>
      </c>
      <c r="P43" s="9">
        <f>_xll.BDP(N43&amp;" EQUITY",$H$1)</f>
        <v>62.74</v>
      </c>
      <c r="Q43" s="29">
        <f t="shared" si="6"/>
        <v>6274000</v>
      </c>
      <c r="R43" s="55"/>
      <c r="U43" s="29"/>
      <c r="V43" s="9"/>
      <c r="W43" s="29"/>
    </row>
    <row r="44" spans="1:23" x14ac:dyDescent="0.25">
      <c r="A44" s="409" t="s">
        <v>315</v>
      </c>
      <c r="B44" s="378">
        <v>6.0483200000000003E-3</v>
      </c>
      <c r="C44" s="378">
        <v>0</v>
      </c>
      <c r="G44" s="9"/>
      <c r="J44" s="391"/>
      <c r="K44" s="368">
        <f>SUM(K37:K43)</f>
        <v>0.28133832999999997</v>
      </c>
      <c r="L44" s="368">
        <f>SUM(L36:L43)</f>
        <v>0.35534094185819498</v>
      </c>
      <c r="N44" t="s">
        <v>30</v>
      </c>
      <c r="O44" s="29">
        <v>16000</v>
      </c>
      <c r="P44" s="9">
        <f>_xll.BDP(N44&amp;" EQUITY",$H$1)</f>
        <v>563.26</v>
      </c>
      <c r="Q44" s="29">
        <f t="shared" si="6"/>
        <v>9012160</v>
      </c>
      <c r="R44" s="55"/>
      <c r="U44" s="29"/>
      <c r="V44" s="9"/>
      <c r="W44" s="29"/>
    </row>
    <row r="45" spans="1:23" x14ac:dyDescent="0.25">
      <c r="A45" s="56"/>
      <c r="B45" s="368">
        <f>SUM(B37:B44)</f>
        <v>6.5599999999999992E-2</v>
      </c>
      <c r="C45" s="368">
        <f>SUM(C36:C44)</f>
        <v>5.3374428021359027E-2</v>
      </c>
      <c r="G45" s="9"/>
      <c r="J45" s="391"/>
      <c r="N45" t="s">
        <v>36</v>
      </c>
      <c r="O45" s="29">
        <v>18000</v>
      </c>
      <c r="P45" s="9">
        <f>_xll.BDP(N45&amp;" EQUITY",$H$1)</f>
        <v>487.91</v>
      </c>
      <c r="Q45" s="29">
        <f t="shared" si="6"/>
        <v>8782380</v>
      </c>
      <c r="R45" s="55"/>
      <c r="U45" s="29"/>
      <c r="V45" s="9"/>
      <c r="W45" s="29"/>
    </row>
    <row r="46" spans="1:23" x14ac:dyDescent="0.25">
      <c r="A46" s="56"/>
      <c r="B46" s="368"/>
      <c r="C46" s="368"/>
      <c r="G46" s="9"/>
      <c r="J46" s="391"/>
      <c r="L46" s="390">
        <f>+L44-K44</f>
        <v>7.4002611858195011E-2</v>
      </c>
      <c r="N46" t="s">
        <v>9</v>
      </c>
      <c r="O46" s="29">
        <v>4000</v>
      </c>
      <c r="P46" s="9">
        <f>_xll.BDP(N46&amp;" EQUITY",$H$1)</f>
        <v>1042.31</v>
      </c>
      <c r="Q46" s="29">
        <f t="shared" si="6"/>
        <v>4169240</v>
      </c>
      <c r="R46" s="55"/>
      <c r="U46" s="29"/>
      <c r="V46" s="9"/>
      <c r="W46" s="29"/>
    </row>
    <row r="47" spans="1:23" ht="15.75" x14ac:dyDescent="0.25">
      <c r="A47" s="407">
        <f>SUM(H48:H59)</f>
        <v>25433700</v>
      </c>
      <c r="B47" s="382">
        <f>+A47/$A$3</f>
        <v>4.0818605328207649E-2</v>
      </c>
      <c r="G47" s="9"/>
      <c r="J47" s="391"/>
      <c r="N47" t="s">
        <v>481</v>
      </c>
      <c r="O47" s="29">
        <v>10000</v>
      </c>
      <c r="P47" s="9">
        <f>_xll.BDP(N47&amp;" EQUITY",$H$1)</f>
        <v>324.72500000000002</v>
      </c>
      <c r="Q47" s="29">
        <f t="shared" si="6"/>
        <v>3247250</v>
      </c>
      <c r="R47" s="55"/>
      <c r="U47" s="29"/>
      <c r="V47" s="9"/>
      <c r="W47" s="29"/>
    </row>
    <row r="48" spans="1:23" ht="15.75" x14ac:dyDescent="0.25">
      <c r="A48" s="410" t="s">
        <v>189</v>
      </c>
      <c r="C48" s="368">
        <v>0.03</v>
      </c>
      <c r="D48" s="377" t="s">
        <v>112</v>
      </c>
      <c r="E48" s="377"/>
      <c r="F48" s="377"/>
      <c r="G48" s="9"/>
      <c r="H48" s="377"/>
      <c r="I48" s="377"/>
      <c r="J48" s="391"/>
      <c r="N48" t="s">
        <v>786</v>
      </c>
      <c r="O48" s="29">
        <v>17000</v>
      </c>
      <c r="P48" s="9">
        <f>_xll.BDP(N48&amp;" EQUITY",$H$1)</f>
        <v>123.955</v>
      </c>
      <c r="Q48" s="29">
        <f t="shared" si="6"/>
        <v>2107235</v>
      </c>
      <c r="R48" s="55"/>
      <c r="U48" s="29"/>
      <c r="V48" s="9"/>
      <c r="W48" s="29"/>
    </row>
    <row r="49" spans="1:23" x14ac:dyDescent="0.25">
      <c r="A49" s="409" t="s">
        <v>318</v>
      </c>
      <c r="B49" s="368">
        <v>0</v>
      </c>
      <c r="C49" s="368">
        <v>0</v>
      </c>
      <c r="E49" s="377" t="s">
        <v>112</v>
      </c>
      <c r="F49" s="29">
        <v>180000</v>
      </c>
      <c r="G49" s="9">
        <f>_xll.BDP(E49&amp;" EQUITY",$H$1)</f>
        <v>91.265000000000001</v>
      </c>
      <c r="H49" s="29">
        <f t="shared" ref="H49" si="8">+G49*F49</f>
        <v>16427700</v>
      </c>
      <c r="J49" s="391"/>
      <c r="N49" t="s">
        <v>486</v>
      </c>
      <c r="O49" s="29">
        <v>12000</v>
      </c>
      <c r="P49" s="9">
        <f>_xll.BDP(N49&amp;" EQUITY",$H$1)</f>
        <v>159.02500000000001</v>
      </c>
      <c r="Q49" s="29">
        <f t="shared" ref="Q49" si="9">+P49*O49</f>
        <v>1908300</v>
      </c>
      <c r="R49" s="55"/>
      <c r="U49" s="29"/>
      <c r="V49" s="9"/>
      <c r="W49" s="29"/>
    </row>
    <row r="50" spans="1:23" x14ac:dyDescent="0.25">
      <c r="A50" s="409" t="s">
        <v>320</v>
      </c>
      <c r="B50" s="368">
        <v>2.07298E-2</v>
      </c>
      <c r="C50" s="368">
        <v>0</v>
      </c>
      <c r="D50" s="377"/>
      <c r="E50" s="377" t="s">
        <v>773</v>
      </c>
      <c r="F50" s="29">
        <v>190000</v>
      </c>
      <c r="G50" s="9">
        <f>_xll.BDP(E50&amp;" EQUITY",$H$1)</f>
        <v>47.4</v>
      </c>
      <c r="H50" s="29">
        <f t="shared" ref="H50" si="10">+G50*F50</f>
        <v>9006000</v>
      </c>
      <c r="I50" s="377"/>
      <c r="J50" s="391"/>
      <c r="N50" t="s">
        <v>482</v>
      </c>
      <c r="O50" s="29">
        <v>7000</v>
      </c>
      <c r="P50" s="9">
        <f>_xll.BDP(N50&amp;" EQUITY",$H$1)</f>
        <v>385.995</v>
      </c>
      <c r="Q50" s="29">
        <f t="shared" ref="Q50" si="11">+P50*O50</f>
        <v>2701965</v>
      </c>
      <c r="R50" s="55"/>
      <c r="U50" s="29"/>
      <c r="V50" s="9"/>
      <c r="W50" s="29"/>
    </row>
    <row r="51" spans="1:23" x14ac:dyDescent="0.25">
      <c r="A51" s="409" t="s">
        <v>322</v>
      </c>
      <c r="B51" s="368">
        <v>0</v>
      </c>
      <c r="C51" s="368">
        <v>0</v>
      </c>
      <c r="D51" s="377"/>
      <c r="E51" s="377"/>
      <c r="F51" s="29"/>
      <c r="G51" s="9"/>
      <c r="H51" s="29"/>
      <c r="I51" s="377"/>
      <c r="J51" s="391"/>
      <c r="P51" s="9"/>
      <c r="R51" s="55"/>
      <c r="U51" s="29"/>
      <c r="V51" s="9"/>
      <c r="W51" s="29"/>
    </row>
    <row r="52" spans="1:23" ht="15.75" x14ac:dyDescent="0.25">
      <c r="A52" s="409" t="s">
        <v>324</v>
      </c>
      <c r="B52" s="368">
        <v>4.12386E-3</v>
      </c>
      <c r="C52" s="368">
        <v>0</v>
      </c>
      <c r="D52" s="377"/>
      <c r="E52" s="377"/>
      <c r="F52" s="377"/>
      <c r="G52" s="9"/>
      <c r="H52" s="377"/>
      <c r="I52" s="377"/>
      <c r="J52" s="379">
        <f>SUM(Q54:Q60)</f>
        <v>0</v>
      </c>
      <c r="K52" s="381">
        <f>+J52/$A$3</f>
        <v>0</v>
      </c>
      <c r="O52" s="29"/>
      <c r="P52" s="9"/>
      <c r="Q52" s="29"/>
      <c r="R52" s="55"/>
      <c r="U52" s="29"/>
      <c r="V52" s="9"/>
      <c r="W52" s="29"/>
    </row>
    <row r="53" spans="1:23" ht="15.75" x14ac:dyDescent="0.25">
      <c r="A53" s="409" t="s">
        <v>325</v>
      </c>
      <c r="B53" s="368">
        <v>1.1796980000000002E-2</v>
      </c>
      <c r="C53" s="368">
        <v>0</v>
      </c>
      <c r="D53" s="377"/>
      <c r="E53" s="377"/>
      <c r="F53" s="377"/>
      <c r="G53" s="9"/>
      <c r="H53" s="377"/>
      <c r="I53" s="377"/>
      <c r="J53" s="389" t="s">
        <v>191</v>
      </c>
      <c r="L53" s="368">
        <v>0</v>
      </c>
      <c r="M53" s="377"/>
      <c r="O53" s="29"/>
      <c r="P53" s="9"/>
      <c r="Q53" s="29"/>
      <c r="R53" s="55"/>
      <c r="U53" s="29"/>
      <c r="V53" s="9"/>
      <c r="W53" s="29"/>
    </row>
    <row r="54" spans="1:23" x14ac:dyDescent="0.25">
      <c r="A54" s="409" t="s">
        <v>326</v>
      </c>
      <c r="B54" s="395">
        <v>4.2431999999999999E-3</v>
      </c>
      <c r="C54" s="395">
        <v>0</v>
      </c>
      <c r="G54" s="9"/>
      <c r="J54" s="391" t="s">
        <v>316</v>
      </c>
      <c r="K54" s="368">
        <v>1.3712799999999999E-3</v>
      </c>
      <c r="L54" s="368">
        <v>0</v>
      </c>
      <c r="O54" s="29"/>
      <c r="P54" s="9"/>
      <c r="Q54" s="29"/>
      <c r="R54" s="55"/>
      <c r="U54" s="29"/>
      <c r="V54" s="9"/>
      <c r="W54" s="29"/>
    </row>
    <row r="55" spans="1:23" x14ac:dyDescent="0.25">
      <c r="A55" s="409" t="s">
        <v>327</v>
      </c>
      <c r="B55" s="378">
        <v>3.3061600000000003E-3</v>
      </c>
      <c r="C55" s="378">
        <v>0</v>
      </c>
      <c r="G55" s="9"/>
      <c r="J55" s="391" t="s">
        <v>317</v>
      </c>
      <c r="K55" s="368">
        <v>1.1998700000000001E-2</v>
      </c>
      <c r="L55" s="368">
        <v>0</v>
      </c>
      <c r="O55" s="29"/>
      <c r="P55" s="9"/>
      <c r="Q55" s="29"/>
      <c r="R55" s="55"/>
      <c r="U55" s="29"/>
      <c r="V55" s="9"/>
      <c r="W55" s="29"/>
    </row>
    <row r="56" spans="1:23" x14ac:dyDescent="0.25">
      <c r="A56" s="56"/>
      <c r="B56" s="368">
        <f>SUM(B49:B55)</f>
        <v>4.4200000000000003E-2</v>
      </c>
      <c r="C56" s="368">
        <f>SUM(C48:C55)</f>
        <v>0.03</v>
      </c>
      <c r="G56" s="9"/>
      <c r="J56" s="391" t="s">
        <v>319</v>
      </c>
      <c r="K56" s="368">
        <v>4.9680799999999997E-3</v>
      </c>
      <c r="L56" s="368">
        <v>0</v>
      </c>
      <c r="O56" s="29"/>
      <c r="P56" s="9"/>
      <c r="Q56" s="29"/>
      <c r="R56" s="55"/>
      <c r="U56" s="29"/>
      <c r="V56" s="9"/>
      <c r="W56" s="29"/>
    </row>
    <row r="57" spans="1:23" x14ac:dyDescent="0.25">
      <c r="A57" s="56"/>
      <c r="B57" s="368"/>
      <c r="C57" s="368"/>
      <c r="G57" s="9"/>
      <c r="J57" s="392" t="s">
        <v>321</v>
      </c>
      <c r="K57" s="368">
        <v>2.3266800000000002E-3</v>
      </c>
      <c r="L57" s="368">
        <v>0</v>
      </c>
      <c r="O57" s="29"/>
      <c r="P57" s="9"/>
      <c r="Q57" s="29"/>
      <c r="R57" s="55"/>
    </row>
    <row r="58" spans="1:23" ht="15.75" x14ac:dyDescent="0.25">
      <c r="A58" s="407">
        <f>SUM(H59:H69)</f>
        <v>63732090</v>
      </c>
      <c r="B58" s="382">
        <f>+A58/$A$3</f>
        <v>0.10228378208643688</v>
      </c>
      <c r="G58" s="9"/>
      <c r="J58" s="391" t="s">
        <v>323</v>
      </c>
      <c r="K58" s="378">
        <v>7.4296400000000004E-3</v>
      </c>
      <c r="L58" s="378">
        <v>0</v>
      </c>
      <c r="O58" s="29"/>
      <c r="P58" s="9"/>
      <c r="Q58" s="29"/>
      <c r="R58" s="55"/>
    </row>
    <row r="59" spans="1:23" ht="15.75" x14ac:dyDescent="0.25">
      <c r="A59" s="410" t="s">
        <v>331</v>
      </c>
      <c r="G59" s="9"/>
      <c r="J59" s="391"/>
      <c r="K59" s="368">
        <f>SUM(K54:K58)</f>
        <v>2.8094380000000002E-2</v>
      </c>
      <c r="L59" s="390">
        <f>SUM(L53:L58)</f>
        <v>0</v>
      </c>
      <c r="O59" s="29"/>
      <c r="P59" s="9"/>
      <c r="Q59" s="29"/>
      <c r="R59" s="55"/>
    </row>
    <row r="60" spans="1:23" x14ac:dyDescent="0.25">
      <c r="A60" s="409" t="s">
        <v>332</v>
      </c>
      <c r="B60" s="368">
        <v>6.6661000000000003E-3</v>
      </c>
      <c r="C60" s="368">
        <v>1.9704223325457303E-2</v>
      </c>
      <c r="D60" s="377" t="s">
        <v>14</v>
      </c>
      <c r="E60" t="s">
        <v>17</v>
      </c>
      <c r="F60" s="29">
        <v>31500</v>
      </c>
      <c r="G60" s="9">
        <f>_xll.BDP(E60&amp;" EQUITY",$H$1)</f>
        <v>456.26</v>
      </c>
      <c r="H60" s="29">
        <f t="shared" ref="H60:H66" si="12">+G60*F60</f>
        <v>14372190</v>
      </c>
      <c r="I60" s="377"/>
      <c r="J60" s="391"/>
      <c r="O60" s="29"/>
      <c r="P60" s="9"/>
      <c r="Q60" s="29"/>
      <c r="R60" s="55"/>
    </row>
    <row r="61" spans="1:23" ht="15.75" x14ac:dyDescent="0.25">
      <c r="A61" s="409" t="s">
        <v>333</v>
      </c>
      <c r="B61" s="368">
        <v>1.5749440000000003E-2</v>
      </c>
      <c r="C61" s="368">
        <v>3.6201902458344653E-3</v>
      </c>
      <c r="D61" s="377" t="s">
        <v>95</v>
      </c>
      <c r="E61" t="s">
        <v>31</v>
      </c>
      <c r="F61" s="29">
        <v>52500</v>
      </c>
      <c r="G61" s="9">
        <f>_xll.BDP(E61&amp;" EQUITY",$H$1)</f>
        <v>275.2</v>
      </c>
      <c r="H61" s="29">
        <f t="shared" si="12"/>
        <v>14448000</v>
      </c>
      <c r="I61" s="377"/>
      <c r="J61" s="379">
        <f>SUM(Q63:Q65)</f>
        <v>0</v>
      </c>
      <c r="K61" s="381">
        <f>+J61/$A$3</f>
        <v>0</v>
      </c>
      <c r="O61" s="29"/>
      <c r="P61" s="9"/>
      <c r="Q61" s="29"/>
      <c r="R61" s="55"/>
    </row>
    <row r="62" spans="1:23" ht="15.75" x14ac:dyDescent="0.25">
      <c r="A62" s="409" t="s">
        <v>334</v>
      </c>
      <c r="B62" s="368">
        <v>2.6440120000000001E-2</v>
      </c>
      <c r="C62" s="368">
        <v>0</v>
      </c>
      <c r="D62" s="377"/>
      <c r="E62" s="377" t="s">
        <v>14</v>
      </c>
      <c r="F62" s="29">
        <v>95000</v>
      </c>
      <c r="G62" s="9">
        <f>_xll.BDP(E62&amp;" EQUITY",$H$1)</f>
        <v>124.17</v>
      </c>
      <c r="H62" s="29">
        <f t="shared" si="12"/>
        <v>11796150</v>
      </c>
      <c r="I62" s="377"/>
      <c r="J62" s="389" t="s">
        <v>328</v>
      </c>
      <c r="O62" s="29"/>
      <c r="P62" s="9"/>
      <c r="Q62" s="29"/>
      <c r="R62" s="55"/>
    </row>
    <row r="63" spans="1:23" x14ac:dyDescent="0.25">
      <c r="A63" s="409" t="s">
        <v>336</v>
      </c>
      <c r="B63" s="395">
        <v>2.0833120000000004E-2</v>
      </c>
      <c r="C63" s="395">
        <v>0</v>
      </c>
      <c r="E63" s="377" t="s">
        <v>47</v>
      </c>
      <c r="F63" s="29">
        <v>200000</v>
      </c>
      <c r="G63" s="9">
        <f>_xll.BDP(E63&amp;" EQUITY",$H$1)</f>
        <v>41.354999999999997</v>
      </c>
      <c r="H63" s="29">
        <f t="shared" si="12"/>
        <v>8270999.9999999991</v>
      </c>
      <c r="J63" s="392" t="s">
        <v>329</v>
      </c>
      <c r="K63" s="163">
        <v>1.4870699999999999E-2</v>
      </c>
      <c r="L63" s="396">
        <v>0</v>
      </c>
      <c r="O63" s="29"/>
      <c r="P63" s="9"/>
      <c r="Q63" s="29"/>
      <c r="R63" s="55"/>
    </row>
    <row r="64" spans="1:23" x14ac:dyDescent="0.25">
      <c r="A64" s="409" t="s">
        <v>417</v>
      </c>
      <c r="B64" s="368">
        <v>2.6153539999999999E-2</v>
      </c>
      <c r="C64" s="368">
        <v>5.0255346506765108E-2</v>
      </c>
      <c r="D64" s="377" t="s">
        <v>418</v>
      </c>
      <c r="E64" s="377" t="s">
        <v>46</v>
      </c>
      <c r="F64" s="29">
        <v>150000</v>
      </c>
      <c r="G64" s="9">
        <f>_xll.BDP(E64&amp;" EQUITY",$H$1)</f>
        <v>44.945</v>
      </c>
      <c r="H64" s="29">
        <f t="shared" si="12"/>
        <v>6741750</v>
      </c>
      <c r="I64" s="377"/>
      <c r="J64" s="392" t="s">
        <v>330</v>
      </c>
      <c r="K64" s="397">
        <v>1.3032090000000001E-2</v>
      </c>
      <c r="L64" s="378">
        <v>0</v>
      </c>
      <c r="M64" s="377"/>
      <c r="O64" s="29"/>
      <c r="P64" s="9"/>
      <c r="Q64" s="29"/>
      <c r="R64" s="55"/>
    </row>
    <row r="65" spans="1:18" x14ac:dyDescent="0.25">
      <c r="A65" s="409" t="s">
        <v>337</v>
      </c>
      <c r="B65" s="368">
        <v>8.6970800000000011E-3</v>
      </c>
      <c r="C65" s="368">
        <v>3.8349786913159708E-3</v>
      </c>
      <c r="D65" s="377" t="s">
        <v>149</v>
      </c>
      <c r="E65" s="377" t="s">
        <v>149</v>
      </c>
      <c r="F65" s="29">
        <v>80000</v>
      </c>
      <c r="G65" s="9">
        <f>_xll.BDP(E65&amp;" EQUITY",$H$1)</f>
        <v>73.52</v>
      </c>
      <c r="H65" s="29">
        <f t="shared" si="12"/>
        <v>5881600</v>
      </c>
      <c r="I65" s="377"/>
      <c r="K65" s="390">
        <f>SUM(K63:K64)</f>
        <v>2.790279E-2</v>
      </c>
      <c r="L65" s="390">
        <f>SUM(L63:L64)</f>
        <v>0</v>
      </c>
      <c r="O65" s="29"/>
      <c r="P65" s="9"/>
      <c r="Q65" s="29"/>
      <c r="R65" s="55"/>
    </row>
    <row r="66" spans="1:18" x14ac:dyDescent="0.25">
      <c r="A66" s="409" t="s">
        <v>338</v>
      </c>
      <c r="B66" s="368">
        <v>1.7045280000000003E-2</v>
      </c>
      <c r="C66" s="368">
        <v>1.2737260466846331E-2</v>
      </c>
      <c r="D66" s="377" t="s">
        <v>47</v>
      </c>
      <c r="E66" s="377" t="s">
        <v>95</v>
      </c>
      <c r="F66" s="29">
        <v>5000</v>
      </c>
      <c r="G66" s="9">
        <f>_xll.BDP(E66&amp;" EQUITY",$H$1)</f>
        <v>444.28</v>
      </c>
      <c r="H66" s="29">
        <f t="shared" si="12"/>
        <v>2221400</v>
      </c>
      <c r="O66" s="29"/>
      <c r="P66" s="9"/>
      <c r="R66" s="55"/>
    </row>
    <row r="67" spans="1:18" x14ac:dyDescent="0.25">
      <c r="A67" s="409" t="s">
        <v>339</v>
      </c>
      <c r="B67" s="358">
        <v>3.0153200000000002E-3</v>
      </c>
      <c r="C67" s="358">
        <v>1.0853346287849426E-2</v>
      </c>
      <c r="D67" t="s">
        <v>46</v>
      </c>
      <c r="E67" s="377"/>
      <c r="F67" s="29"/>
      <c r="G67" s="9"/>
      <c r="H67" s="29"/>
      <c r="O67" s="29"/>
      <c r="P67" s="9"/>
      <c r="R67" s="55"/>
    </row>
    <row r="68" spans="1:18" ht="15.75" x14ac:dyDescent="0.25">
      <c r="A68" s="56"/>
      <c r="B68" s="368">
        <f>SUM(B60:B67)</f>
        <v>0.1246</v>
      </c>
      <c r="C68" s="368">
        <f>SUM(C60:C67)</f>
        <v>0.10100534552406859</v>
      </c>
      <c r="E68" s="377"/>
      <c r="F68" s="29"/>
      <c r="G68" s="9"/>
      <c r="H68" s="29"/>
      <c r="J68" s="389" t="s">
        <v>335</v>
      </c>
      <c r="O68" s="29"/>
      <c r="R68" s="55"/>
    </row>
    <row r="69" spans="1:18" x14ac:dyDescent="0.25">
      <c r="A69" s="56"/>
      <c r="E69" s="377"/>
      <c r="F69" s="29"/>
      <c r="G69" s="9"/>
      <c r="H69" s="29"/>
      <c r="J69" s="391"/>
      <c r="K69" s="368">
        <v>2.9402939999999995E-2</v>
      </c>
      <c r="L69" s="368">
        <v>0</v>
      </c>
      <c r="O69" s="29"/>
      <c r="R69" s="55"/>
    </row>
    <row r="70" spans="1:18" x14ac:dyDescent="0.25">
      <c r="A70" s="56"/>
      <c r="C70" t="s">
        <v>340</v>
      </c>
      <c r="O70" s="29"/>
      <c r="R70" s="55"/>
    </row>
    <row r="71" spans="1:18" ht="15.75" x14ac:dyDescent="0.25">
      <c r="A71" s="56"/>
      <c r="J71" s="391"/>
      <c r="K71" s="398">
        <f>B33+B45+B56+B68+K16+K32+K44+K59+K69+K65+B17</f>
        <v>1.0143057799999999</v>
      </c>
      <c r="L71" s="398">
        <f>L69+K52+K35+K19+B19+B35+B47+B58+K6+K61+B6</f>
        <v>1</v>
      </c>
      <c r="Q71" s="380">
        <f>SUM(Q7:Q70)</f>
        <v>383688750.5</v>
      </c>
      <c r="R71" s="55"/>
    </row>
    <row r="72" spans="1:18" ht="15.75" x14ac:dyDescent="0.25">
      <c r="A72" s="56"/>
      <c r="H72" s="380">
        <f>SUM(H7:H70)</f>
        <v>239402112</v>
      </c>
      <c r="J72" s="391"/>
      <c r="R72" s="55"/>
    </row>
    <row r="73" spans="1:18" ht="15.75" thickBot="1" x14ac:dyDescent="0.3">
      <c r="A73" s="57"/>
      <c r="B73" s="58"/>
      <c r="C73" s="58"/>
      <c r="D73" s="58"/>
      <c r="E73" s="58"/>
      <c r="F73" s="58"/>
      <c r="G73" s="58"/>
      <c r="H73" s="58"/>
      <c r="I73" s="58"/>
      <c r="J73" s="411"/>
      <c r="K73" s="58"/>
      <c r="L73" s="58"/>
      <c r="M73" s="58"/>
      <c r="N73" s="58"/>
      <c r="O73" s="58"/>
      <c r="P73" s="58"/>
      <c r="Q73" s="58"/>
      <c r="R73" s="59"/>
    </row>
    <row r="74" spans="1:18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412"/>
      <c r="K74" s="54"/>
      <c r="L74" s="54"/>
      <c r="M74" s="54"/>
      <c r="N74" s="54"/>
      <c r="O74" s="54"/>
      <c r="P74" s="54"/>
      <c r="Q74" s="54"/>
      <c r="R74" s="403"/>
    </row>
    <row r="75" spans="1:18" x14ac:dyDescent="0.25">
      <c r="A75" s="404">
        <f>'Dvd Holdings'!O46-'current sector weights'!A76</f>
        <v>-450848.00999993086</v>
      </c>
      <c r="G75" s="96"/>
      <c r="H75" s="384" t="s">
        <v>77</v>
      </c>
      <c r="O75" s="384" t="s">
        <v>77</v>
      </c>
      <c r="R75" s="55"/>
    </row>
    <row r="76" spans="1:18" ht="21" x14ac:dyDescent="0.35">
      <c r="A76" s="405">
        <f>+A79+A92+J79+J92+J108+A108+A120+J119+J128+A131+J135</f>
        <v>289440975.60999995</v>
      </c>
      <c r="B76" s="385" t="s">
        <v>157</v>
      </c>
      <c r="C76" s="385"/>
      <c r="D76" s="385"/>
      <c r="E76" s="385"/>
      <c r="F76" s="385"/>
      <c r="G76" s="877" t="s">
        <v>342</v>
      </c>
      <c r="H76" s="878"/>
      <c r="I76" s="878"/>
      <c r="J76" s="879"/>
      <c r="K76" s="385"/>
      <c r="L76" s="385"/>
      <c r="M76" s="385"/>
      <c r="R76" s="55"/>
    </row>
    <row r="77" spans="1:18" x14ac:dyDescent="0.25">
      <c r="A77" s="56"/>
      <c r="B77" s="386"/>
      <c r="C77" s="386"/>
      <c r="D77" s="386"/>
      <c r="E77" s="386"/>
      <c r="F77" s="386"/>
      <c r="G77" s="880">
        <v>44957</v>
      </c>
      <c r="H77" s="881"/>
      <c r="I77" s="881"/>
      <c r="J77" s="882"/>
      <c r="K77" s="386"/>
      <c r="L77" s="386"/>
      <c r="M77" s="386"/>
      <c r="R77" s="55"/>
    </row>
    <row r="78" spans="1:18" x14ac:dyDescent="0.25">
      <c r="A78" s="406"/>
      <c r="B78" s="390"/>
      <c r="R78" s="55"/>
    </row>
    <row r="79" spans="1:18" ht="15.75" x14ac:dyDescent="0.25">
      <c r="A79" s="407">
        <f>SUM(H80:H90)</f>
        <v>21413826.800000001</v>
      </c>
      <c r="B79" s="381">
        <f>+A79/$A$76</f>
        <v>7.3983397668108783E-2</v>
      </c>
      <c r="J79" s="379">
        <f>SUM(Q80:Q90)</f>
        <v>32809806</v>
      </c>
      <c r="K79" s="381">
        <f>+J79/$A$76</f>
        <v>0.11335577463022636</v>
      </c>
      <c r="R79" s="55"/>
    </row>
    <row r="80" spans="1:18" ht="15.75" x14ac:dyDescent="0.25">
      <c r="A80" s="408" t="s">
        <v>255</v>
      </c>
      <c r="B80" s="387" t="s">
        <v>256</v>
      </c>
      <c r="C80" s="387" t="s">
        <v>62</v>
      </c>
      <c r="D80" s="388" t="s">
        <v>257</v>
      </c>
      <c r="E80" s="388"/>
      <c r="F80" s="388"/>
      <c r="G80" s="388"/>
      <c r="H80" s="388"/>
      <c r="I80" s="388"/>
      <c r="J80" s="389" t="s">
        <v>258</v>
      </c>
      <c r="K80" s="387" t="s">
        <v>256</v>
      </c>
      <c r="L80" s="387" t="s">
        <v>62</v>
      </c>
      <c r="M80" s="388" t="s">
        <v>257</v>
      </c>
      <c r="N80" t="s">
        <v>202</v>
      </c>
      <c r="O80" s="29">
        <v>66900</v>
      </c>
      <c r="P80" s="9">
        <f>_xll.BDP(N80&amp;" EQUITY",$H$1)</f>
        <v>171.54</v>
      </c>
      <c r="Q80" s="29">
        <f>+P80*O80</f>
        <v>11476026</v>
      </c>
      <c r="R80" s="55"/>
    </row>
    <row r="81" spans="1:18" x14ac:dyDescent="0.25">
      <c r="A81" s="409" t="s">
        <v>259</v>
      </c>
      <c r="B81" s="390">
        <v>7.6646999999999989E-4</v>
      </c>
      <c r="C81" s="368">
        <v>0</v>
      </c>
      <c r="E81" t="s">
        <v>34</v>
      </c>
      <c r="F81" s="29">
        <v>185000</v>
      </c>
      <c r="G81" s="9">
        <f>_xll.BDP(E81&amp;" EQUITY",$H$1)</f>
        <v>38.1</v>
      </c>
      <c r="H81" s="29">
        <f>+G81*F81</f>
        <v>7048500</v>
      </c>
      <c r="J81" s="391" t="s">
        <v>260</v>
      </c>
      <c r="K81" s="368">
        <v>2.0134799999999998E-2</v>
      </c>
      <c r="L81" s="368">
        <v>0</v>
      </c>
      <c r="M81" s="377"/>
      <c r="N81" t="s">
        <v>200</v>
      </c>
      <c r="O81" s="29">
        <v>62000</v>
      </c>
      <c r="P81" s="9">
        <f>_xll.BDP(N81&amp;" EQUITY",$H$1)</f>
        <v>148.19499999999999</v>
      </c>
      <c r="Q81" s="29">
        <f>+P81*O81</f>
        <v>9188090</v>
      </c>
      <c r="R81" s="55"/>
    </row>
    <row r="82" spans="1:18" x14ac:dyDescent="0.25">
      <c r="A82" s="409" t="s">
        <v>261</v>
      </c>
      <c r="B82" s="390">
        <v>0</v>
      </c>
      <c r="C82" s="368">
        <v>0</v>
      </c>
      <c r="E82" s="377" t="s">
        <v>199</v>
      </c>
      <c r="F82" s="29">
        <v>178000</v>
      </c>
      <c r="G82" s="9">
        <f>_xll.BDP(E82&amp;" EQUITY",$H$1)</f>
        <v>41.353099999999998</v>
      </c>
      <c r="H82" s="29">
        <f>+G82*F82</f>
        <v>7360851.7999999998</v>
      </c>
      <c r="J82" s="391" t="s">
        <v>262</v>
      </c>
      <c r="K82" s="368">
        <v>2.4925040000000002E-2</v>
      </c>
      <c r="L82" s="368">
        <v>0</v>
      </c>
      <c r="M82" s="377"/>
      <c r="N82" t="s">
        <v>205</v>
      </c>
      <c r="O82" s="29">
        <v>141000</v>
      </c>
      <c r="P82" s="9">
        <f>_xll.BDP(N82&amp;" EQUITY",$H$1)</f>
        <v>42.29</v>
      </c>
      <c r="Q82" s="29">
        <f>+P82*O82</f>
        <v>5962890</v>
      </c>
      <c r="R82" s="55"/>
    </row>
    <row r="83" spans="1:18" x14ac:dyDescent="0.25">
      <c r="A83" s="409" t="s">
        <v>263</v>
      </c>
      <c r="B83" s="390">
        <v>5.4622000000000004E-4</v>
      </c>
      <c r="C83" s="368">
        <v>0</v>
      </c>
      <c r="D83" s="377"/>
      <c r="E83" t="s">
        <v>211</v>
      </c>
      <c r="F83" s="29">
        <v>135000</v>
      </c>
      <c r="G83" s="9">
        <f>_xll.BDP(E83&amp;" EQUITY",$H$1)</f>
        <v>51.884999999999998</v>
      </c>
      <c r="H83" s="29">
        <f>+G83*F83</f>
        <v>7004475</v>
      </c>
      <c r="I83" s="377"/>
      <c r="J83" s="391" t="s">
        <v>264</v>
      </c>
      <c r="K83" s="368">
        <v>4.1098680000000005E-2</v>
      </c>
      <c r="L83" s="368">
        <v>0</v>
      </c>
      <c r="N83" t="s">
        <v>218</v>
      </c>
      <c r="O83" s="29">
        <v>46400</v>
      </c>
      <c r="P83" s="9">
        <f>_xll.BDP(N83&amp;" EQUITY",$H$1)</f>
        <v>133.25</v>
      </c>
      <c r="Q83" s="29">
        <f>+P83*O83</f>
        <v>6182800</v>
      </c>
      <c r="R83" s="55"/>
    </row>
    <row r="84" spans="1:18" x14ac:dyDescent="0.25">
      <c r="A84" s="409" t="s">
        <v>265</v>
      </c>
      <c r="B84" s="390">
        <v>6.3784400000000008E-3</v>
      </c>
      <c r="C84" s="368">
        <v>0</v>
      </c>
      <c r="D84" s="377"/>
      <c r="F84" s="29"/>
      <c r="G84" s="9"/>
      <c r="H84" s="29"/>
      <c r="I84" s="377"/>
      <c r="J84" s="391" t="s">
        <v>266</v>
      </c>
      <c r="K84" s="368">
        <v>5.4219200000000002E-3</v>
      </c>
      <c r="L84" s="368">
        <v>0</v>
      </c>
      <c r="O84" s="29"/>
      <c r="P84" s="9"/>
      <c r="Q84" s="29"/>
      <c r="R84" s="55"/>
    </row>
    <row r="85" spans="1:18" x14ac:dyDescent="0.25">
      <c r="A85" s="409" t="s">
        <v>267</v>
      </c>
      <c r="B85" s="390">
        <v>6.7132200000000006E-3</v>
      </c>
      <c r="C85" s="368">
        <v>0</v>
      </c>
      <c r="E85" s="377"/>
      <c r="F85" s="29"/>
      <c r="G85" s="9"/>
      <c r="H85" s="29"/>
      <c r="J85" s="391" t="s">
        <v>343</v>
      </c>
      <c r="K85" s="368">
        <v>1.7476480000000003E-2</v>
      </c>
      <c r="L85" s="368">
        <v>0</v>
      </c>
      <c r="M85" s="377"/>
      <c r="O85" s="29"/>
      <c r="P85" s="9"/>
      <c r="Q85" s="29"/>
      <c r="R85" s="55"/>
    </row>
    <row r="86" spans="1:18" x14ac:dyDescent="0.25">
      <c r="A86" s="409" t="s">
        <v>268</v>
      </c>
      <c r="B86" s="390">
        <v>3.1804100000000003E-3</v>
      </c>
      <c r="C86" s="368">
        <v>0</v>
      </c>
      <c r="F86" s="29"/>
      <c r="G86" s="9"/>
      <c r="H86" s="29"/>
      <c r="J86" s="391" t="s">
        <v>269</v>
      </c>
      <c r="K86" s="368">
        <v>1.6305240000000002E-2</v>
      </c>
      <c r="L86" s="368">
        <v>0</v>
      </c>
      <c r="O86" s="29"/>
      <c r="P86" s="9"/>
      <c r="Q86" s="29"/>
      <c r="R86" s="55"/>
    </row>
    <row r="87" spans="1:18" x14ac:dyDescent="0.25">
      <c r="A87" s="409" t="s">
        <v>270</v>
      </c>
      <c r="B87" s="390">
        <v>5.7864080000000005E-2</v>
      </c>
      <c r="C87" s="368">
        <v>0</v>
      </c>
      <c r="D87" s="377"/>
      <c r="E87" s="377"/>
      <c r="F87" s="29"/>
      <c r="G87" s="9"/>
      <c r="H87" s="29"/>
      <c r="I87" s="377"/>
      <c r="J87" s="392" t="s">
        <v>271</v>
      </c>
      <c r="K87" s="368">
        <v>0</v>
      </c>
      <c r="L87" s="368">
        <v>0</v>
      </c>
      <c r="M87" s="377"/>
      <c r="O87" s="29"/>
      <c r="P87" s="9"/>
      <c r="Q87" s="29"/>
      <c r="R87" s="55"/>
    </row>
    <row r="88" spans="1:18" x14ac:dyDescent="0.25">
      <c r="A88" s="409" t="s">
        <v>272</v>
      </c>
      <c r="B88" s="390">
        <v>1.028127E-2</v>
      </c>
      <c r="C88" s="368">
        <v>0</v>
      </c>
      <c r="D88" s="377"/>
      <c r="E88" s="377"/>
      <c r="F88" s="29"/>
      <c r="G88" s="9"/>
      <c r="H88" s="29"/>
      <c r="I88" s="377"/>
      <c r="J88" s="391" t="s">
        <v>273</v>
      </c>
      <c r="K88" s="378">
        <v>6.2378399999999997E-3</v>
      </c>
      <c r="L88" s="378">
        <v>0</v>
      </c>
      <c r="M88" s="377"/>
      <c r="O88" s="29"/>
      <c r="P88" s="9"/>
      <c r="Q88" s="29"/>
      <c r="R88" s="55"/>
    </row>
    <row r="89" spans="1:18" x14ac:dyDescent="0.25">
      <c r="A89" s="409" t="s">
        <v>274</v>
      </c>
      <c r="B89" s="393">
        <v>2.3698899999999999E-3</v>
      </c>
      <c r="C89" s="378">
        <v>0</v>
      </c>
      <c r="F89" s="29"/>
      <c r="G89" s="9"/>
      <c r="H89" s="29"/>
      <c r="J89" s="391"/>
      <c r="K89" s="368">
        <f>SUM(K81:K88)</f>
        <v>0.13160000000000002</v>
      </c>
      <c r="L89" s="368">
        <f>+K79</f>
        <v>0.11335577463022636</v>
      </c>
      <c r="O89" s="29"/>
      <c r="P89" s="9"/>
      <c r="Q89" s="29"/>
      <c r="R89" s="55"/>
    </row>
    <row r="90" spans="1:18" x14ac:dyDescent="0.25">
      <c r="A90" s="56"/>
      <c r="B90" s="390">
        <f>SUM(B81:B89)</f>
        <v>8.8099999999999998E-2</v>
      </c>
      <c r="C90" s="390">
        <f>+B79</f>
        <v>7.3983397668108783E-2</v>
      </c>
      <c r="F90" s="29"/>
      <c r="G90" s="9"/>
      <c r="H90" s="29"/>
      <c r="J90" s="391"/>
      <c r="O90" s="29"/>
      <c r="P90" s="9"/>
      <c r="Q90" s="29"/>
      <c r="R90" s="55"/>
    </row>
    <row r="91" spans="1:18" x14ac:dyDescent="0.25">
      <c r="A91" s="601"/>
      <c r="B91" s="602"/>
      <c r="C91" s="602"/>
      <c r="D91" s="34"/>
      <c r="E91" s="34"/>
      <c r="F91" s="32"/>
      <c r="G91" s="33"/>
      <c r="H91" s="32"/>
      <c r="I91" s="34"/>
      <c r="J91" s="34"/>
      <c r="K91" s="34"/>
      <c r="L91" s="34"/>
      <c r="M91" s="34"/>
      <c r="N91" s="34"/>
      <c r="O91" s="34"/>
      <c r="P91" s="33"/>
      <c r="Q91" s="34"/>
      <c r="R91" s="55"/>
    </row>
    <row r="92" spans="1:18" ht="15.75" x14ac:dyDescent="0.25">
      <c r="A92" s="600">
        <f>SUM(H93:H104)</f>
        <v>19024300</v>
      </c>
      <c r="B92" s="598">
        <f>+A92/$A$76</f>
        <v>6.5727735887795721E-2</v>
      </c>
      <c r="F92" s="29"/>
      <c r="G92" s="9"/>
      <c r="H92" s="29"/>
      <c r="J92" s="597">
        <f>SUM(Q94:Q104)</f>
        <v>23143000</v>
      </c>
      <c r="K92" s="598">
        <f>+J92/$A$76</f>
        <v>7.9957580129164083E-2</v>
      </c>
      <c r="P92" s="9"/>
      <c r="R92" s="55"/>
    </row>
    <row r="93" spans="1:18" ht="15.75" x14ac:dyDescent="0.25">
      <c r="A93" s="408" t="s">
        <v>276</v>
      </c>
      <c r="F93" s="29"/>
      <c r="G93" s="9"/>
      <c r="H93" s="29"/>
      <c r="J93" s="389" t="s">
        <v>275</v>
      </c>
      <c r="O93" s="29"/>
      <c r="P93" s="9"/>
      <c r="Q93" s="29"/>
      <c r="R93" s="55"/>
    </row>
    <row r="94" spans="1:18" x14ac:dyDescent="0.25">
      <c r="A94" s="409" t="s">
        <v>278</v>
      </c>
      <c r="B94" s="368">
        <v>2.0954750000000001E-2</v>
      </c>
      <c r="C94" s="368">
        <v>0</v>
      </c>
      <c r="F94" s="29"/>
      <c r="G94" s="9"/>
      <c r="H94" s="29"/>
      <c r="J94" s="391" t="s">
        <v>277</v>
      </c>
      <c r="K94" s="368">
        <v>1.6067579999999998E-2</v>
      </c>
      <c r="L94" s="368">
        <v>0</v>
      </c>
      <c r="M94" s="377"/>
      <c r="N94" t="s">
        <v>25</v>
      </c>
      <c r="O94" s="29">
        <v>20000</v>
      </c>
      <c r="P94" s="9">
        <f>_xll.BDP(N94&amp;" EQUITY",$H$1)</f>
        <v>467.38</v>
      </c>
      <c r="Q94" s="29">
        <f>+P94*O94</f>
        <v>9347600</v>
      </c>
      <c r="R94" s="55"/>
    </row>
    <row r="95" spans="1:18" x14ac:dyDescent="0.25">
      <c r="A95" s="409" t="s">
        <v>280</v>
      </c>
      <c r="B95" s="368">
        <v>4.0848500000000001E-3</v>
      </c>
      <c r="C95" s="368">
        <v>0</v>
      </c>
      <c r="D95" s="377"/>
      <c r="E95" t="s">
        <v>13</v>
      </c>
      <c r="F95" s="29">
        <v>40000</v>
      </c>
      <c r="G95" s="9">
        <f>_xll.BDP(E95&amp;" EQUITY",$H$1)</f>
        <v>336.85</v>
      </c>
      <c r="H95" s="29">
        <f>+G95*F95</f>
        <v>13474000</v>
      </c>
      <c r="I95" s="377"/>
      <c r="J95" s="391" t="s">
        <v>279</v>
      </c>
      <c r="K95" s="368">
        <v>0</v>
      </c>
      <c r="L95" s="368">
        <v>0</v>
      </c>
      <c r="N95" t="s">
        <v>133</v>
      </c>
      <c r="O95" s="29">
        <v>30000</v>
      </c>
      <c r="P95" s="9">
        <f>_xll.BDP(N95&amp;" EQUITY",$H$1)</f>
        <v>223.44</v>
      </c>
      <c r="Q95" s="29">
        <f>+P95*O95</f>
        <v>6703200</v>
      </c>
      <c r="R95" s="55"/>
    </row>
    <row r="96" spans="1:18" x14ac:dyDescent="0.25">
      <c r="A96" s="409" t="s">
        <v>282</v>
      </c>
      <c r="B96" s="368">
        <v>4.4561999999999992E-4</v>
      </c>
      <c r="C96" s="368">
        <v>0</v>
      </c>
      <c r="E96" s="377" t="s">
        <v>1012</v>
      </c>
      <c r="F96" s="29">
        <v>70000</v>
      </c>
      <c r="G96" s="9">
        <f>_xll.BDP(E96&amp;" EQUITY",$H$1)</f>
        <v>79.290000000000006</v>
      </c>
      <c r="H96" s="29">
        <f>+G96*F96</f>
        <v>5550300</v>
      </c>
      <c r="J96" s="391" t="s">
        <v>419</v>
      </c>
      <c r="K96" s="368">
        <v>0</v>
      </c>
      <c r="L96" s="368">
        <v>0</v>
      </c>
      <c r="N96" t="s">
        <v>230</v>
      </c>
      <c r="O96" s="29">
        <v>18000</v>
      </c>
      <c r="P96" s="9">
        <f>_xll.BDP(N96&amp;" EQUITY",$H$1)</f>
        <v>221.92</v>
      </c>
      <c r="Q96" s="29">
        <f>+P96*O96</f>
        <v>3994560</v>
      </c>
      <c r="R96" s="55"/>
    </row>
    <row r="97" spans="1:18" x14ac:dyDescent="0.25">
      <c r="A97" s="409" t="s">
        <v>284</v>
      </c>
      <c r="B97" s="368">
        <v>1.2530410000000001E-2</v>
      </c>
      <c r="C97" s="368">
        <v>0</v>
      </c>
      <c r="D97" s="377" t="s">
        <v>13</v>
      </c>
      <c r="E97" s="377"/>
      <c r="F97" s="29"/>
      <c r="G97" s="9"/>
      <c r="H97" s="29"/>
      <c r="I97" s="377"/>
      <c r="J97" s="391" t="s">
        <v>283</v>
      </c>
      <c r="K97" s="368">
        <v>8.1939600000000001E-3</v>
      </c>
      <c r="L97" s="368">
        <v>0</v>
      </c>
      <c r="M97" s="377"/>
      <c r="N97" t="s">
        <v>403</v>
      </c>
      <c r="O97" s="29">
        <v>23000</v>
      </c>
      <c r="P97" s="9">
        <f>_xll.BDP(N97&amp;" EQUITY",$H$1)</f>
        <v>134.68</v>
      </c>
      <c r="Q97" s="29">
        <f>+P97*O97</f>
        <v>3097640</v>
      </c>
      <c r="R97" s="55"/>
    </row>
    <row r="98" spans="1:18" x14ac:dyDescent="0.25">
      <c r="A98" s="409" t="s">
        <v>286</v>
      </c>
      <c r="B98" s="368">
        <v>7.0768699999999999E-3</v>
      </c>
      <c r="C98" s="368">
        <v>0</v>
      </c>
      <c r="E98" s="377"/>
      <c r="F98" s="29"/>
      <c r="G98" s="9"/>
      <c r="H98" s="29"/>
      <c r="J98" s="391" t="s">
        <v>285</v>
      </c>
      <c r="K98" s="368">
        <v>6.05274E-3</v>
      </c>
      <c r="L98" s="368">
        <v>0</v>
      </c>
      <c r="M98" s="377"/>
      <c r="O98" s="29"/>
      <c r="P98" s="9"/>
      <c r="Q98" s="29"/>
      <c r="R98" s="55"/>
    </row>
    <row r="99" spans="1:18" x14ac:dyDescent="0.25">
      <c r="A99" s="409" t="s">
        <v>415</v>
      </c>
      <c r="B99" s="368">
        <v>3.3580649999999997E-2</v>
      </c>
      <c r="C99" s="368">
        <v>0</v>
      </c>
      <c r="D99" s="377"/>
      <c r="F99" s="29"/>
      <c r="G99" s="9"/>
      <c r="H99" s="29"/>
      <c r="I99" s="377"/>
      <c r="J99" s="391" t="s">
        <v>287</v>
      </c>
      <c r="K99" s="368">
        <v>1.8090780000000001E-2</v>
      </c>
      <c r="L99" s="368">
        <v>0</v>
      </c>
      <c r="M99" s="377"/>
      <c r="O99" s="29"/>
      <c r="P99" s="9"/>
      <c r="Q99" s="29"/>
      <c r="R99" s="55"/>
    </row>
    <row r="100" spans="1:18" x14ac:dyDescent="0.25">
      <c r="A100" s="409" t="s">
        <v>292</v>
      </c>
      <c r="B100" s="368">
        <v>2.4402999999999998E-4</v>
      </c>
      <c r="C100" s="368">
        <v>0</v>
      </c>
      <c r="D100" s="377"/>
      <c r="E100" s="377"/>
      <c r="F100" s="29"/>
      <c r="G100" s="9"/>
      <c r="H100" s="29"/>
      <c r="I100" s="377"/>
      <c r="J100" s="391" t="s">
        <v>290</v>
      </c>
      <c r="K100" s="368">
        <v>1.5561779999999999E-2</v>
      </c>
      <c r="L100" s="368">
        <v>0</v>
      </c>
      <c r="M100" s="377"/>
      <c r="O100" s="29"/>
      <c r="P100" s="9"/>
      <c r="Q100" s="29"/>
      <c r="R100" s="55"/>
    </row>
    <row r="101" spans="1:18" x14ac:dyDescent="0.25">
      <c r="A101" s="409" t="s">
        <v>293</v>
      </c>
      <c r="B101" s="368">
        <v>1.164978E-2</v>
      </c>
      <c r="C101" s="368">
        <v>0</v>
      </c>
      <c r="D101" s="377"/>
      <c r="E101" s="377"/>
      <c r="F101" s="377"/>
      <c r="G101" s="9"/>
      <c r="H101" s="377"/>
      <c r="I101" s="377"/>
      <c r="J101" s="391" t="s">
        <v>266</v>
      </c>
      <c r="K101" s="368">
        <v>1.24764E-2</v>
      </c>
      <c r="L101" s="368">
        <v>0</v>
      </c>
      <c r="M101" s="377"/>
      <c r="O101" s="29"/>
      <c r="P101" s="9"/>
      <c r="Q101" s="29"/>
      <c r="R101" s="55"/>
    </row>
    <row r="102" spans="1:18" x14ac:dyDescent="0.25">
      <c r="A102" s="409" t="s">
        <v>295</v>
      </c>
      <c r="B102" s="368">
        <v>0</v>
      </c>
      <c r="C102" s="368">
        <v>0</v>
      </c>
      <c r="G102" s="9"/>
      <c r="J102" s="391" t="s">
        <v>294</v>
      </c>
      <c r="K102" s="368">
        <v>4.4510399999999999E-3</v>
      </c>
      <c r="L102" s="368">
        <v>0</v>
      </c>
      <c r="M102" s="377"/>
      <c r="O102" s="29"/>
      <c r="P102" s="9"/>
      <c r="Q102" s="29"/>
      <c r="R102" s="55"/>
    </row>
    <row r="103" spans="1:18" x14ac:dyDescent="0.25">
      <c r="A103" s="409" t="s">
        <v>299</v>
      </c>
      <c r="B103" s="368">
        <v>5.7400100000000003E-3</v>
      </c>
      <c r="C103" s="368">
        <v>0</v>
      </c>
      <c r="D103" s="377"/>
      <c r="E103" s="377"/>
      <c r="F103" s="377"/>
      <c r="G103" s="9"/>
      <c r="H103" s="377"/>
      <c r="I103" s="377"/>
      <c r="J103" s="391" t="s">
        <v>296</v>
      </c>
      <c r="K103" s="368">
        <v>8.092799999999999E-4</v>
      </c>
      <c r="L103" s="368">
        <v>0</v>
      </c>
      <c r="M103" s="377"/>
      <c r="O103" s="29"/>
      <c r="P103" s="9"/>
      <c r="Q103" s="29"/>
      <c r="R103" s="55"/>
    </row>
    <row r="104" spans="1:18" x14ac:dyDescent="0.25">
      <c r="A104" s="409" t="s">
        <v>273</v>
      </c>
      <c r="B104" s="368">
        <v>9.3580199999999999E-3</v>
      </c>
      <c r="C104" s="394">
        <v>0</v>
      </c>
      <c r="D104" s="377"/>
      <c r="E104" s="377"/>
      <c r="F104" s="377"/>
      <c r="G104" s="9"/>
      <c r="H104" s="377"/>
      <c r="I104" s="377"/>
      <c r="J104" s="391" t="s">
        <v>298</v>
      </c>
      <c r="K104" s="378">
        <v>2.5880099999999995E-3</v>
      </c>
      <c r="L104" s="378">
        <v>0</v>
      </c>
      <c r="M104" s="377"/>
      <c r="O104" s="29"/>
      <c r="P104" s="9"/>
      <c r="Q104" s="29"/>
      <c r="R104" s="55"/>
    </row>
    <row r="105" spans="1:18" x14ac:dyDescent="0.25">
      <c r="A105" s="409"/>
      <c r="B105" s="592"/>
      <c r="C105" s="592"/>
      <c r="D105" s="377"/>
      <c r="E105" s="377"/>
      <c r="F105" s="377"/>
      <c r="G105" s="9"/>
      <c r="H105" s="377"/>
      <c r="I105" s="377"/>
      <c r="K105" s="368">
        <f>SUM(K94:K104)</f>
        <v>8.4291569999999996E-2</v>
      </c>
      <c r="L105" s="368">
        <f>+K92</f>
        <v>7.9957580129164083E-2</v>
      </c>
      <c r="O105" s="29"/>
      <c r="P105" s="9"/>
      <c r="Q105" s="29"/>
      <c r="R105" s="55"/>
    </row>
    <row r="106" spans="1:18" x14ac:dyDescent="0.25">
      <c r="A106" s="56"/>
      <c r="B106" s="390">
        <f>SUM(B94:B105)</f>
        <v>0.10566499</v>
      </c>
      <c r="C106" s="368">
        <f>+B92</f>
        <v>6.5727735887795721E-2</v>
      </c>
      <c r="G106" s="9"/>
      <c r="K106" s="368"/>
      <c r="L106" s="368"/>
      <c r="O106" s="29"/>
      <c r="P106" s="9"/>
      <c r="Q106" s="29"/>
      <c r="R106" s="55"/>
    </row>
    <row r="107" spans="1:18" x14ac:dyDescent="0.25">
      <c r="A107" s="601"/>
      <c r="B107" s="602"/>
      <c r="C107" s="358"/>
      <c r="D107" s="34"/>
      <c r="E107" s="34"/>
      <c r="F107" s="34"/>
      <c r="G107" s="33"/>
      <c r="H107" s="34"/>
      <c r="I107" s="34"/>
      <c r="J107" s="34"/>
      <c r="K107" s="358"/>
      <c r="L107" s="358"/>
      <c r="M107" s="34"/>
      <c r="N107" s="34"/>
      <c r="O107" s="32"/>
      <c r="P107" s="33"/>
      <c r="Q107" s="32"/>
      <c r="R107" s="55"/>
    </row>
    <row r="108" spans="1:18" ht="15.75" x14ac:dyDescent="0.25">
      <c r="A108" s="600">
        <f>SUM(H109:H118)</f>
        <v>9001232.5999999996</v>
      </c>
      <c r="B108" s="598">
        <f>+A108/$A$76</f>
        <v>3.1098681107710493E-2</v>
      </c>
      <c r="G108" s="9"/>
      <c r="J108" s="597">
        <f>SUM(Q109:Q118)</f>
        <v>21137410</v>
      </c>
      <c r="K108" s="598">
        <f>+J108/$A$76</f>
        <v>7.3028395359201234E-2</v>
      </c>
      <c r="O108" s="29"/>
      <c r="P108" s="9"/>
      <c r="Q108" s="29"/>
      <c r="R108" s="55"/>
    </row>
    <row r="109" spans="1:18" ht="15.75" x14ac:dyDescent="0.25">
      <c r="A109" s="410" t="s">
        <v>302</v>
      </c>
      <c r="C109" s="390">
        <v>0</v>
      </c>
      <c r="G109" s="9"/>
      <c r="J109" s="389" t="s">
        <v>300</v>
      </c>
      <c r="L109" s="368">
        <v>1.3362535510702232E-2</v>
      </c>
      <c r="M109" s="377"/>
      <c r="N109" t="s">
        <v>209</v>
      </c>
      <c r="O109" s="29">
        <v>150000</v>
      </c>
      <c r="P109" s="9">
        <f>_xll.BDP(N109&amp;" EQUITY",$H$1)</f>
        <v>47.57</v>
      </c>
      <c r="Q109" s="29">
        <f>+P109*O109</f>
        <v>7135500</v>
      </c>
      <c r="R109" s="55"/>
    </row>
    <row r="110" spans="1:18" x14ac:dyDescent="0.25">
      <c r="A110" s="409" t="s">
        <v>304</v>
      </c>
      <c r="B110" s="368">
        <v>1.33529E-3</v>
      </c>
      <c r="C110" s="368">
        <v>0</v>
      </c>
      <c r="E110" s="377" t="s">
        <v>217</v>
      </c>
      <c r="F110" s="29">
        <v>130000</v>
      </c>
      <c r="G110" s="9">
        <f>_xll.BDP(E110&amp;" EQUITY",$H$1)</f>
        <v>33.06</v>
      </c>
      <c r="H110" s="29">
        <f t="shared" ref="H110:H111" si="13">+G110*F110</f>
        <v>4297800</v>
      </c>
      <c r="J110" s="391" t="s">
        <v>301</v>
      </c>
      <c r="K110" s="8">
        <v>0.10212019999999999</v>
      </c>
      <c r="L110" s="8">
        <v>0.16052682671118162</v>
      </c>
      <c r="M110" s="377"/>
      <c r="N110" t="s">
        <v>531</v>
      </c>
      <c r="O110" s="29">
        <v>55000</v>
      </c>
      <c r="P110" s="9">
        <f>_xll.BDP(N110&amp;" EQUITY",$H$1)</f>
        <v>138.61000000000001</v>
      </c>
      <c r="Q110" s="29">
        <f>+P110*O110</f>
        <v>7623550.0000000009</v>
      </c>
      <c r="R110" s="55"/>
    </row>
    <row r="111" spans="1:18" x14ac:dyDescent="0.25">
      <c r="A111" s="409" t="s">
        <v>305</v>
      </c>
      <c r="B111" s="368">
        <v>1.7687559999999998E-2</v>
      </c>
      <c r="C111" s="368">
        <v>0</v>
      </c>
      <c r="E111" s="377" t="s">
        <v>225</v>
      </c>
      <c r="F111" s="29">
        <v>74000</v>
      </c>
      <c r="G111" s="9">
        <f>_xll.BDP(E111&amp;" EQUITY",$H$1)</f>
        <v>63.559899999999999</v>
      </c>
      <c r="H111" s="29">
        <f t="shared" si="13"/>
        <v>4703432.5999999996</v>
      </c>
      <c r="J111" s="391" t="s">
        <v>303</v>
      </c>
      <c r="K111" s="8">
        <v>7.6195210000000013E-2</v>
      </c>
      <c r="L111" s="8">
        <v>6.7862867824571252E-2</v>
      </c>
      <c r="M111" s="377"/>
      <c r="N111" t="s">
        <v>223</v>
      </c>
      <c r="O111" s="29">
        <v>4000</v>
      </c>
      <c r="P111" s="9">
        <f>_xll.BDP(N111&amp;" EQUITY",$H$1)</f>
        <v>1594.59</v>
      </c>
      <c r="Q111" s="29">
        <f>+P111*O111</f>
        <v>6378360</v>
      </c>
      <c r="R111" s="55"/>
    </row>
    <row r="112" spans="1:18" x14ac:dyDescent="0.25">
      <c r="A112" s="409" t="s">
        <v>308</v>
      </c>
      <c r="B112" s="368">
        <v>1.6305299999999998E-3</v>
      </c>
      <c r="C112" s="368">
        <v>0</v>
      </c>
      <c r="D112" s="377"/>
      <c r="E112" s="377"/>
      <c r="F112" s="29"/>
      <c r="G112" s="9"/>
      <c r="H112" s="29"/>
      <c r="I112" s="377"/>
      <c r="J112" s="391" t="s">
        <v>285</v>
      </c>
      <c r="K112" s="8">
        <v>5.0495899999999996E-3</v>
      </c>
      <c r="L112" s="8">
        <v>0</v>
      </c>
      <c r="M112" s="377"/>
      <c r="O112" s="29"/>
      <c r="P112" s="9"/>
      <c r="Q112" s="29"/>
      <c r="R112" s="55"/>
    </row>
    <row r="113" spans="1:18" x14ac:dyDescent="0.25">
      <c r="A113" s="409" t="s">
        <v>345</v>
      </c>
      <c r="B113" s="368">
        <v>1.1474100000000002E-3</v>
      </c>
      <c r="C113" s="368">
        <v>0</v>
      </c>
      <c r="G113" s="9"/>
      <c r="J113" s="391" t="s">
        <v>306</v>
      </c>
      <c r="K113" s="8">
        <v>1.119937E-2</v>
      </c>
      <c r="L113" s="8">
        <v>2.099156468110519E-2</v>
      </c>
      <c r="M113" s="377"/>
      <c r="O113" s="29"/>
      <c r="P113" s="9"/>
      <c r="Q113" s="29"/>
      <c r="R113" s="55"/>
    </row>
    <row r="114" spans="1:18" x14ac:dyDescent="0.25">
      <c r="A114" s="409" t="s">
        <v>310</v>
      </c>
      <c r="B114" s="368">
        <v>1.5983219999999999E-2</v>
      </c>
      <c r="C114" s="368">
        <v>0</v>
      </c>
      <c r="D114" s="377"/>
      <c r="E114" s="377"/>
      <c r="F114" s="377"/>
      <c r="G114" s="9"/>
      <c r="H114" s="377"/>
      <c r="I114" s="377"/>
      <c r="J114" s="391" t="s">
        <v>309</v>
      </c>
      <c r="K114" s="8">
        <v>9.3092999999999995E-3</v>
      </c>
      <c r="L114" s="8">
        <v>0</v>
      </c>
      <c r="M114" s="377"/>
      <c r="O114" s="29"/>
      <c r="P114" s="9"/>
      <c r="Q114" s="29"/>
      <c r="R114" s="55"/>
    </row>
    <row r="115" spans="1:18" x14ac:dyDescent="0.25">
      <c r="A115" s="409" t="s">
        <v>312</v>
      </c>
      <c r="B115" s="368">
        <v>9.6288499999999996E-3</v>
      </c>
      <c r="C115" s="368">
        <v>0</v>
      </c>
      <c r="G115" s="9"/>
      <c r="J115" s="391" t="s">
        <v>311</v>
      </c>
      <c r="K115" s="593">
        <v>7.7464660000000005E-2</v>
      </c>
      <c r="L115" s="593">
        <v>8.395968264133688E-2</v>
      </c>
      <c r="O115" s="29"/>
      <c r="P115" s="9"/>
      <c r="Q115" s="29"/>
      <c r="R115" s="55"/>
    </row>
    <row r="116" spans="1:18" x14ac:dyDescent="0.25">
      <c r="A116" s="409" t="s">
        <v>313</v>
      </c>
      <c r="B116" s="368">
        <v>1.2581249999999999E-2</v>
      </c>
      <c r="C116" s="368">
        <v>1.7323979939562317E-2</v>
      </c>
      <c r="D116" s="377"/>
      <c r="E116" s="377"/>
      <c r="F116" s="377"/>
      <c r="G116" s="9"/>
      <c r="H116" s="377"/>
      <c r="I116" s="377"/>
      <c r="J116" s="391"/>
      <c r="K116" s="378"/>
      <c r="L116" s="378"/>
      <c r="M116" s="377"/>
      <c r="O116" s="29"/>
      <c r="P116" s="9"/>
      <c r="Q116" s="29"/>
      <c r="R116" s="55"/>
    </row>
    <row r="117" spans="1:18" x14ac:dyDescent="0.25">
      <c r="A117" s="409" t="s">
        <v>315</v>
      </c>
      <c r="B117" s="378">
        <v>7.0991800000000001E-3</v>
      </c>
      <c r="C117" s="378">
        <v>0</v>
      </c>
      <c r="G117" s="9"/>
      <c r="J117" s="391"/>
      <c r="K117" s="368">
        <f>SUM(K110:K116)</f>
        <v>0.28133832999999997</v>
      </c>
      <c r="L117" s="368">
        <f>+K108</f>
        <v>7.3028395359201234E-2</v>
      </c>
      <c r="O117" s="29"/>
      <c r="P117" s="9"/>
      <c r="Q117" s="29"/>
      <c r="R117" s="55"/>
    </row>
    <row r="118" spans="1:18" x14ac:dyDescent="0.25">
      <c r="A118" s="56"/>
      <c r="B118" s="368">
        <f>SUM(B110:B117)</f>
        <v>6.709329E-2</v>
      </c>
      <c r="C118" s="368">
        <f>+B108</f>
        <v>3.1098681107710493E-2</v>
      </c>
      <c r="G118" s="9"/>
      <c r="J118" s="599"/>
      <c r="K118" s="34"/>
      <c r="L118" s="34"/>
      <c r="M118" s="34"/>
      <c r="N118" s="34"/>
      <c r="O118" s="32"/>
      <c r="P118" s="33"/>
      <c r="Q118" s="32"/>
      <c r="R118" s="55"/>
    </row>
    <row r="119" spans="1:18" ht="15.75" x14ac:dyDescent="0.25">
      <c r="A119" s="601"/>
      <c r="B119" s="358"/>
      <c r="C119" s="358"/>
      <c r="D119" s="34"/>
      <c r="E119" s="34"/>
      <c r="F119" s="34"/>
      <c r="G119" s="33"/>
      <c r="H119" s="34"/>
      <c r="I119" s="44"/>
      <c r="J119" s="597">
        <f>SUM(Q121:Q127)</f>
        <v>9184800</v>
      </c>
      <c r="K119" s="598">
        <f>+J119/$A$76</f>
        <v>3.173289469689955E-2</v>
      </c>
      <c r="O119" s="29"/>
      <c r="P119" s="9"/>
      <c r="Q119" s="29"/>
      <c r="R119" s="55"/>
    </row>
    <row r="120" spans="1:18" ht="15.75" x14ac:dyDescent="0.25">
      <c r="A120" s="600">
        <f>SUM(H121:H130)</f>
        <v>30854825</v>
      </c>
      <c r="B120" s="598">
        <f>+A120/$A$76</f>
        <v>0.10660144070815518</v>
      </c>
      <c r="G120" s="9"/>
      <c r="J120" s="389" t="s">
        <v>191</v>
      </c>
      <c r="L120" s="368">
        <v>0</v>
      </c>
      <c r="M120" s="377"/>
      <c r="O120" s="29"/>
      <c r="P120" s="9"/>
      <c r="Q120" s="29"/>
      <c r="R120" s="55"/>
    </row>
    <row r="121" spans="1:18" ht="15.75" x14ac:dyDescent="0.25">
      <c r="A121" s="410" t="s">
        <v>189</v>
      </c>
      <c r="C121" s="368">
        <v>2.1406558134507186E-2</v>
      </c>
      <c r="D121" s="377"/>
      <c r="E121" s="377"/>
      <c r="F121" s="377"/>
      <c r="G121" s="9"/>
      <c r="H121" s="377"/>
      <c r="I121" s="377"/>
      <c r="J121" s="391" t="s">
        <v>316</v>
      </c>
      <c r="K121" s="368">
        <v>1.3712799999999999E-3</v>
      </c>
      <c r="L121" s="368">
        <v>0</v>
      </c>
      <c r="O121" s="29"/>
      <c r="P121" s="9"/>
      <c r="Q121" s="29"/>
      <c r="R121" s="55"/>
    </row>
    <row r="122" spans="1:18" x14ac:dyDescent="0.25">
      <c r="A122" s="409" t="s">
        <v>318</v>
      </c>
      <c r="B122" s="368">
        <v>0</v>
      </c>
      <c r="C122" s="368">
        <v>0</v>
      </c>
      <c r="E122" s="377" t="s">
        <v>7</v>
      </c>
      <c r="F122" s="29">
        <v>75000</v>
      </c>
      <c r="G122" s="9">
        <f>_xll.BDP(E122&amp;" EQUITY",$H$1)</f>
        <v>158.83500000000001</v>
      </c>
      <c r="H122" s="29">
        <f t="shared" ref="H122" si="14">+G122*F122</f>
        <v>11912625</v>
      </c>
      <c r="J122" s="391" t="s">
        <v>317</v>
      </c>
      <c r="K122" s="368">
        <v>1.1998700000000001E-2</v>
      </c>
      <c r="L122" s="368">
        <v>2.4570053715599152E-3</v>
      </c>
      <c r="N122" t="s">
        <v>201</v>
      </c>
      <c r="O122" s="29">
        <v>172000</v>
      </c>
      <c r="P122" s="9">
        <f>_xll.BDP(N122&amp;" EQUITY",$H$1)</f>
        <v>53.4</v>
      </c>
      <c r="Q122" s="29">
        <f t="shared" ref="Q122" si="15">+P122*O122</f>
        <v>9184800</v>
      </c>
      <c r="R122" s="55"/>
    </row>
    <row r="123" spans="1:18" x14ac:dyDescent="0.25">
      <c r="A123" s="409" t="s">
        <v>320</v>
      </c>
      <c r="B123" s="368">
        <v>2.4470159999999998E-2</v>
      </c>
      <c r="C123" s="368">
        <v>2.4930148961285693E-2</v>
      </c>
      <c r="D123" s="377"/>
      <c r="E123" s="377" t="s">
        <v>204</v>
      </c>
      <c r="F123" s="29">
        <v>488000</v>
      </c>
      <c r="G123" s="9">
        <f>_xll.BDP(E123&amp;" EQUITY",$H$1)</f>
        <v>20.074999999999999</v>
      </c>
      <c r="H123" s="29">
        <f t="shared" ref="H123" si="16">+G123*F123</f>
        <v>9796600</v>
      </c>
      <c r="I123" s="377"/>
      <c r="J123" s="391" t="s">
        <v>319</v>
      </c>
      <c r="K123" s="368">
        <v>4.9680799999999997E-3</v>
      </c>
      <c r="L123" s="368">
        <v>0</v>
      </c>
      <c r="O123" s="29"/>
      <c r="P123" s="9"/>
      <c r="Q123" s="29"/>
      <c r="R123" s="55"/>
    </row>
    <row r="124" spans="1:18" x14ac:dyDescent="0.25">
      <c r="A124" s="409" t="s">
        <v>322</v>
      </c>
      <c r="B124" s="368">
        <v>0</v>
      </c>
      <c r="C124" s="368">
        <v>0</v>
      </c>
      <c r="D124" s="377"/>
      <c r="E124" s="377" t="s">
        <v>8</v>
      </c>
      <c r="F124" s="29">
        <v>80000</v>
      </c>
      <c r="G124" s="9">
        <f>_xll.BDP(E124&amp;" EQUITY",$H$1)</f>
        <v>114.32</v>
      </c>
      <c r="H124" s="29">
        <f t="shared" ref="H124" si="17">+G124*F124</f>
        <v>9145600</v>
      </c>
      <c r="I124" s="377"/>
      <c r="J124" s="392" t="s">
        <v>321</v>
      </c>
      <c r="K124" s="368">
        <v>2.3266800000000002E-3</v>
      </c>
      <c r="L124" s="368">
        <v>0</v>
      </c>
      <c r="O124" s="29"/>
      <c r="P124" s="9"/>
      <c r="Q124" s="29"/>
      <c r="R124" s="55"/>
    </row>
    <row r="125" spans="1:18" x14ac:dyDescent="0.25">
      <c r="A125" s="409" t="s">
        <v>324</v>
      </c>
      <c r="B125" s="368">
        <v>4.397139999999999E-3</v>
      </c>
      <c r="C125" s="368">
        <v>0</v>
      </c>
      <c r="D125" s="377"/>
      <c r="E125" s="377"/>
      <c r="F125" s="377"/>
      <c r="G125" s="9"/>
      <c r="H125" s="377"/>
      <c r="I125" s="377"/>
      <c r="J125" s="391" t="s">
        <v>323</v>
      </c>
      <c r="K125" s="378">
        <v>7.4296400000000004E-3</v>
      </c>
      <c r="L125" s="378">
        <v>0</v>
      </c>
      <c r="O125" s="29"/>
      <c r="P125" s="9"/>
      <c r="Q125" s="29"/>
      <c r="R125" s="55"/>
    </row>
    <row r="126" spans="1:18" x14ac:dyDescent="0.25">
      <c r="A126" s="409" t="s">
        <v>325</v>
      </c>
      <c r="B126" s="368">
        <v>1.33837E-2</v>
      </c>
      <c r="C126" s="368">
        <v>0</v>
      </c>
      <c r="D126" s="377"/>
      <c r="E126" s="377"/>
      <c r="F126" s="377"/>
      <c r="G126" s="9"/>
      <c r="H126" s="377"/>
      <c r="I126" s="377"/>
      <c r="J126" s="391"/>
      <c r="K126" s="368">
        <f>SUM(K121:K125)</f>
        <v>2.8094380000000002E-2</v>
      </c>
      <c r="L126" s="390">
        <f>+K119</f>
        <v>3.173289469689955E-2</v>
      </c>
      <c r="O126" s="29"/>
      <c r="P126" s="9"/>
      <c r="Q126" s="29"/>
      <c r="R126" s="55"/>
    </row>
    <row r="127" spans="1:18" x14ac:dyDescent="0.25">
      <c r="A127" s="409" t="s">
        <v>326</v>
      </c>
      <c r="B127" s="395">
        <v>4.7412199999999991E-3</v>
      </c>
      <c r="C127" s="395">
        <v>0</v>
      </c>
      <c r="G127" s="9"/>
      <c r="J127" s="599"/>
      <c r="K127" s="34"/>
      <c r="L127" s="34"/>
      <c r="M127" s="34"/>
      <c r="N127" s="34"/>
      <c r="O127" s="32"/>
      <c r="P127" s="33"/>
      <c r="Q127" s="32"/>
      <c r="R127" s="55"/>
    </row>
    <row r="128" spans="1:18" ht="15.75" x14ac:dyDescent="0.25">
      <c r="A128" s="409" t="s">
        <v>327</v>
      </c>
      <c r="B128" s="378">
        <v>3.6077799999999997E-3</v>
      </c>
      <c r="C128" s="378">
        <v>0</v>
      </c>
      <c r="G128" s="9"/>
      <c r="J128" s="597">
        <f>SUM(Q130:Q135)</f>
        <v>28103290</v>
      </c>
      <c r="K128" s="598">
        <f>+J128/$A$76</f>
        <v>9.7095063823537817E-2</v>
      </c>
      <c r="O128" s="29"/>
      <c r="P128" s="9"/>
      <c r="Q128" s="29"/>
      <c r="R128" s="55"/>
    </row>
    <row r="129" spans="1:18" ht="15.75" x14ac:dyDescent="0.25">
      <c r="A129" s="56"/>
      <c r="B129" s="368">
        <f>SUM(B122:B128)</f>
        <v>5.0599999999999992E-2</v>
      </c>
      <c r="C129" s="368">
        <f>+B120</f>
        <v>0.10660144070815518</v>
      </c>
      <c r="G129" s="9"/>
      <c r="J129" s="389" t="s">
        <v>328</v>
      </c>
      <c r="O129" s="29"/>
      <c r="P129" s="9"/>
      <c r="Q129" s="29"/>
      <c r="R129" s="55"/>
    </row>
    <row r="130" spans="1:18" x14ac:dyDescent="0.25">
      <c r="A130" s="601"/>
      <c r="B130" s="358"/>
      <c r="C130" s="358"/>
      <c r="D130" s="34"/>
      <c r="E130" s="34"/>
      <c r="F130" s="34"/>
      <c r="G130" s="33"/>
      <c r="H130" s="34"/>
      <c r="I130" s="34"/>
      <c r="J130" s="392" t="s">
        <v>329</v>
      </c>
      <c r="K130" s="163">
        <v>0</v>
      </c>
      <c r="L130" s="396">
        <v>0</v>
      </c>
      <c r="N130" t="s">
        <v>40</v>
      </c>
      <c r="O130" s="29">
        <v>60600</v>
      </c>
      <c r="P130" s="9">
        <f>_xll.BDP(N130&amp;" EQUITY",$H$1)</f>
        <v>193.52500000000001</v>
      </c>
      <c r="Q130" s="29">
        <f>+P130*O130</f>
        <v>11727615</v>
      </c>
      <c r="R130" s="55"/>
    </row>
    <row r="131" spans="1:18" ht="15.75" x14ac:dyDescent="0.25">
      <c r="A131" s="600">
        <f>SUM(H132:H142)</f>
        <v>69364585.599999994</v>
      </c>
      <c r="B131" s="598">
        <f>+A131/$A$76</f>
        <v>0.23965019276836455</v>
      </c>
      <c r="G131" s="9"/>
      <c r="J131" s="392" t="s">
        <v>330</v>
      </c>
      <c r="K131" s="397">
        <v>2.4399999999999995E-2</v>
      </c>
      <c r="L131" s="378">
        <v>0</v>
      </c>
      <c r="M131" s="377"/>
      <c r="N131" t="s">
        <v>214</v>
      </c>
      <c r="O131" s="29">
        <v>90000</v>
      </c>
      <c r="P131" s="9">
        <f>_xll.BDP(N131&amp;" EQUITY",$H$1)</f>
        <v>53.024999999999999</v>
      </c>
      <c r="Q131" s="29">
        <f>+P131*O131</f>
        <v>4772250</v>
      </c>
      <c r="R131" s="55"/>
    </row>
    <row r="132" spans="1:18" ht="15.75" x14ac:dyDescent="0.25">
      <c r="A132" s="410" t="s">
        <v>331</v>
      </c>
      <c r="G132" s="9"/>
      <c r="K132" s="390">
        <f>SUM(K130:K131)</f>
        <v>2.4399999999999995E-2</v>
      </c>
      <c r="L132" s="390">
        <f>+K128</f>
        <v>9.7095063823537817E-2</v>
      </c>
      <c r="N132" t="s">
        <v>356</v>
      </c>
      <c r="O132" s="29">
        <v>100000</v>
      </c>
      <c r="P132" s="9">
        <f>_xll.BDP(N132&amp;" EQUITY",$H$1)</f>
        <v>40.659999999999997</v>
      </c>
      <c r="Q132" s="29">
        <f>+P132*O132</f>
        <v>4065999.9999999995</v>
      </c>
      <c r="R132" s="55"/>
    </row>
    <row r="133" spans="1:18" x14ac:dyDescent="0.25">
      <c r="A133" s="409" t="s">
        <v>332</v>
      </c>
      <c r="B133" s="368">
        <v>8.36808E-3</v>
      </c>
      <c r="C133" s="368">
        <v>1.7765933046827987E-2</v>
      </c>
      <c r="D133" s="377"/>
      <c r="E133" s="377" t="s">
        <v>15</v>
      </c>
      <c r="F133" s="29">
        <v>110000</v>
      </c>
      <c r="G133" s="9">
        <f>_xll.BDP(E133&amp;" EQUITY",$H$1)</f>
        <v>198.995</v>
      </c>
      <c r="H133" s="29">
        <f t="shared" ref="H133" si="18">+G133*F133</f>
        <v>21889450</v>
      </c>
      <c r="I133" s="377"/>
      <c r="N133" t="s">
        <v>392</v>
      </c>
      <c r="O133" s="29">
        <v>35000</v>
      </c>
      <c r="P133" s="9">
        <f>_xll.BDP(N133&amp;" EQUITY",$H$1)</f>
        <v>109.86</v>
      </c>
      <c r="Q133" s="29">
        <f>+P133*O133</f>
        <v>3845100</v>
      </c>
      <c r="R133" s="55"/>
    </row>
    <row r="134" spans="1:18" x14ac:dyDescent="0.25">
      <c r="A134" s="409" t="s">
        <v>333</v>
      </c>
      <c r="B134" s="368">
        <v>1.7685480000000003E-2</v>
      </c>
      <c r="C134" s="368">
        <v>1.813160889602479E-2</v>
      </c>
      <c r="D134" s="377"/>
      <c r="E134" s="377" t="s">
        <v>203</v>
      </c>
      <c r="F134" s="29">
        <v>189000</v>
      </c>
      <c r="G134" s="9">
        <f>_xll.BDP(E134&amp;" EQUITY",$H$1)</f>
        <v>39.862900000000003</v>
      </c>
      <c r="H134" s="29">
        <f t="shared" ref="H134:H140" si="19">+G134*F134</f>
        <v>7534088.1000000006</v>
      </c>
      <c r="I134" s="377"/>
      <c r="J134" s="34"/>
      <c r="K134" s="34"/>
      <c r="L134" s="34"/>
      <c r="M134" s="34"/>
      <c r="N134" t="s">
        <v>545</v>
      </c>
      <c r="O134" s="29">
        <v>5000</v>
      </c>
      <c r="P134" s="9">
        <f>_xll.BDP(N134&amp;" EQUITY",$H$1)</f>
        <v>738.46500000000003</v>
      </c>
      <c r="Q134" s="29">
        <f>+P134*O134</f>
        <v>3692325</v>
      </c>
      <c r="R134" s="55"/>
    </row>
    <row r="135" spans="1:18" ht="15.75" x14ac:dyDescent="0.25">
      <c r="A135" s="409" t="s">
        <v>334</v>
      </c>
      <c r="B135" s="368">
        <v>2.9464080000000004E-2</v>
      </c>
      <c r="C135" s="368">
        <v>3.7693759988802346E-2</v>
      </c>
      <c r="D135" s="377"/>
      <c r="E135" s="377" t="s">
        <v>212</v>
      </c>
      <c r="F135" s="29">
        <v>135000</v>
      </c>
      <c r="G135" s="9">
        <f>_xll.BDP(E135&amp;" EQUITY",$H$1)</f>
        <v>58.81</v>
      </c>
      <c r="H135" s="29">
        <f t="shared" si="19"/>
        <v>7939350</v>
      </c>
      <c r="I135" s="377"/>
      <c r="J135" s="597">
        <f>SUM(Q137:Q141)</f>
        <v>25403899.609999999</v>
      </c>
      <c r="K135" s="598">
        <f>+J135/$A$76</f>
        <v>8.7768843220836334E-2</v>
      </c>
      <c r="O135" s="29"/>
      <c r="R135" s="55"/>
    </row>
    <row r="136" spans="1:18" ht="15.75" x14ac:dyDescent="0.25">
      <c r="A136" s="409" t="s">
        <v>336</v>
      </c>
      <c r="B136" s="395">
        <v>2.3873640000000002E-2</v>
      </c>
      <c r="C136" s="395">
        <v>0</v>
      </c>
      <c r="E136" s="377" t="s">
        <v>215</v>
      </c>
      <c r="F136" s="29">
        <v>83000</v>
      </c>
      <c r="G136" s="9">
        <f>_xll.BDP(E136&amp;" EQUITY",$H$1)</f>
        <v>97.41</v>
      </c>
      <c r="H136" s="29">
        <f t="shared" si="19"/>
        <v>8085030</v>
      </c>
      <c r="J136" s="389" t="s">
        <v>335</v>
      </c>
      <c r="O136" s="29"/>
      <c r="R136" s="55"/>
    </row>
    <row r="137" spans="1:18" x14ac:dyDescent="0.25">
      <c r="A137" s="409" t="s">
        <v>337</v>
      </c>
      <c r="B137" s="368">
        <v>1.1497320000000002E-2</v>
      </c>
      <c r="C137" s="368">
        <v>3.5833642572046238E-3</v>
      </c>
      <c r="D137" s="377"/>
      <c r="E137" s="377" t="s">
        <v>377</v>
      </c>
      <c r="F137" s="29">
        <v>350000</v>
      </c>
      <c r="G137" s="9">
        <f>_xll.BDP(E137&amp;" EQUITY",$H$1)</f>
        <v>17.524999999999999</v>
      </c>
      <c r="H137" s="29">
        <f t="shared" si="19"/>
        <v>6133749.9999999991</v>
      </c>
      <c r="I137" s="377"/>
      <c r="J137" s="391"/>
      <c r="K137" s="8">
        <v>2.4E-2</v>
      </c>
      <c r="L137" s="8">
        <v>0</v>
      </c>
      <c r="O137" s="29"/>
      <c r="P137" s="9"/>
      <c r="Q137" s="29"/>
      <c r="R137" s="55"/>
    </row>
    <row r="138" spans="1:18" x14ac:dyDescent="0.25">
      <c r="A138" s="409" t="s">
        <v>338</v>
      </c>
      <c r="B138" s="368">
        <v>1.6454880000000002E-2</v>
      </c>
      <c r="C138" s="368">
        <v>3.3843398926220881E-2</v>
      </c>
      <c r="D138" s="377"/>
      <c r="E138" s="377" t="s">
        <v>220</v>
      </c>
      <c r="F138" s="29">
        <v>97000</v>
      </c>
      <c r="G138" s="9">
        <f>_xll.BDP(E138&amp;" EQUITY",$H$1)</f>
        <v>61.44</v>
      </c>
      <c r="H138" s="29">
        <f t="shared" si="19"/>
        <v>5959680</v>
      </c>
      <c r="I138" s="377"/>
      <c r="N138" t="s">
        <v>208</v>
      </c>
      <c r="O138" s="29">
        <v>76000</v>
      </c>
      <c r="P138" s="9">
        <f>_xll.BDP(N138&amp;" EQUITY",$H$1)</f>
        <v>100.52</v>
      </c>
      <c r="Q138" s="29">
        <f t="shared" ref="Q138:Q141" si="20">+P138*O138</f>
        <v>7639520</v>
      </c>
      <c r="R138" s="55"/>
    </row>
    <row r="139" spans="1:18" x14ac:dyDescent="0.25">
      <c r="A139" s="409" t="s">
        <v>339</v>
      </c>
      <c r="B139" s="378">
        <v>9.8682400000000003E-3</v>
      </c>
      <c r="C139" s="378">
        <v>1.741350784309878E-2</v>
      </c>
      <c r="E139" s="377" t="s">
        <v>378</v>
      </c>
      <c r="F139" s="29">
        <v>50000</v>
      </c>
      <c r="G139" s="9">
        <f>_xll.BDP(E139&amp;" EQUITY",$H$1)</f>
        <v>133.625</v>
      </c>
      <c r="H139" s="29">
        <f t="shared" si="19"/>
        <v>6681250</v>
      </c>
      <c r="N139" t="s">
        <v>207</v>
      </c>
      <c r="O139" s="29">
        <v>88800</v>
      </c>
      <c r="P139" s="9">
        <f>_xll.BDP(N139&amp;" EQUITY",$H$1)</f>
        <v>87.27</v>
      </c>
      <c r="Q139" s="29">
        <f t="shared" si="20"/>
        <v>7749576</v>
      </c>
      <c r="R139" s="55"/>
    </row>
    <row r="140" spans="1:18" x14ac:dyDescent="0.25">
      <c r="A140" s="56"/>
      <c r="B140" s="368">
        <f>SUM(B133:B139)</f>
        <v>0.11721172000000002</v>
      </c>
      <c r="C140" s="368">
        <f>+B131</f>
        <v>0.23965019276836455</v>
      </c>
      <c r="E140" s="377" t="s">
        <v>222</v>
      </c>
      <c r="F140" s="29">
        <v>6500</v>
      </c>
      <c r="G140" s="9">
        <f>_xll.BDP(E140&amp;" EQUITY",$H$1)</f>
        <v>791.07500000000005</v>
      </c>
      <c r="H140" s="29">
        <f t="shared" si="19"/>
        <v>5141987.5</v>
      </c>
      <c r="N140" t="s">
        <v>219</v>
      </c>
      <c r="O140" s="29">
        <v>75300</v>
      </c>
      <c r="P140" s="9">
        <f>_xll.BDP(N140&amp;" EQUITY",$H$1)</f>
        <v>78.373699999999999</v>
      </c>
      <c r="Q140" s="29">
        <f t="shared" si="20"/>
        <v>5901539.6100000003</v>
      </c>
      <c r="R140" s="55"/>
    </row>
    <row r="141" spans="1:18" x14ac:dyDescent="0.25">
      <c r="A141" s="56"/>
      <c r="B141" s="368"/>
      <c r="C141" s="368"/>
      <c r="G141" s="9"/>
      <c r="N141" t="s">
        <v>226</v>
      </c>
      <c r="O141" s="29">
        <v>107200</v>
      </c>
      <c r="P141" s="9">
        <f>_xll.BDP(N141&amp;" EQUITY",$H$1)</f>
        <v>38.369999999999997</v>
      </c>
      <c r="Q141" s="29">
        <f t="shared" si="20"/>
        <v>4113263.9999999995</v>
      </c>
      <c r="R141" s="55"/>
    </row>
    <row r="142" spans="1:18" x14ac:dyDescent="0.25">
      <c r="A142" s="56"/>
      <c r="G142" s="9"/>
      <c r="R142" s="55"/>
    </row>
    <row r="143" spans="1:18" x14ac:dyDescent="0.25">
      <c r="A143" s="56"/>
      <c r="G143" s="9"/>
      <c r="O143" s="29"/>
      <c r="R143" s="55"/>
    </row>
    <row r="144" spans="1:18" ht="15.75" x14ac:dyDescent="0.25">
      <c r="A144" s="56"/>
      <c r="G144" s="9"/>
      <c r="H144" s="380">
        <f>SUM(H80:H143)</f>
        <v>149658770</v>
      </c>
      <c r="J144" s="391"/>
      <c r="K144" s="398">
        <f>B106+B118+B129+B140+K89+K105+K117+K126+K137+K132+B90</f>
        <v>1.0023942799999999</v>
      </c>
      <c r="L144" s="398">
        <f>+K135+K128+K119+K108+K92+K79+B79+B92+B108+B120+B131</f>
        <v>1.0000000000000002</v>
      </c>
      <c r="Q144" s="380">
        <f>SUM(Q80:Q143)</f>
        <v>139782205.61000001</v>
      </c>
      <c r="R144" s="55"/>
    </row>
    <row r="145" spans="1:18" ht="16.5" thickBot="1" x14ac:dyDescent="0.3">
      <c r="A145" s="57"/>
      <c r="B145" s="58"/>
      <c r="C145" s="58"/>
      <c r="D145" s="58"/>
      <c r="E145" s="58"/>
      <c r="F145" s="58"/>
      <c r="G145" s="258"/>
      <c r="H145" s="413"/>
      <c r="I145" s="58"/>
      <c r="J145" s="411"/>
      <c r="K145" s="58"/>
      <c r="L145" s="58"/>
      <c r="M145" s="58"/>
      <c r="N145" s="58"/>
      <c r="O145" s="58"/>
      <c r="P145" s="58"/>
      <c r="Q145" s="58"/>
      <c r="R145" s="59"/>
    </row>
    <row r="146" spans="1:18" x14ac:dyDescent="0.25">
      <c r="A146" s="56"/>
      <c r="R146" s="55"/>
    </row>
    <row r="147" spans="1:18" x14ac:dyDescent="0.25">
      <c r="A147" s="404">
        <f>+'23'' project'!F53-'current sector weights'!A148</f>
        <v>-637088.00999987125</v>
      </c>
      <c r="G147" s="96"/>
      <c r="H147" s="384" t="s">
        <v>77</v>
      </c>
      <c r="O147" s="384" t="s">
        <v>77</v>
      </c>
      <c r="R147" s="55"/>
    </row>
    <row r="148" spans="1:18" ht="21" x14ac:dyDescent="0.35">
      <c r="A148" s="405">
        <f>+A76+A3</f>
        <v>912531838.1099999</v>
      </c>
      <c r="B148" s="385" t="s">
        <v>157</v>
      </c>
      <c r="C148" s="385"/>
      <c r="D148" s="385"/>
      <c r="E148" s="385"/>
      <c r="F148" s="385"/>
      <c r="G148" s="868" t="s">
        <v>346</v>
      </c>
      <c r="H148" s="869"/>
      <c r="I148" s="869"/>
      <c r="J148" s="870"/>
      <c r="K148" s="385"/>
      <c r="L148" s="385"/>
      <c r="M148" s="385"/>
      <c r="R148" s="55"/>
    </row>
    <row r="149" spans="1:18" x14ac:dyDescent="0.25">
      <c r="A149" s="56"/>
      <c r="B149" s="386"/>
      <c r="C149" s="386"/>
      <c r="D149" s="386"/>
      <c r="E149" s="386"/>
      <c r="F149" s="386"/>
      <c r="G149" s="865">
        <v>44957</v>
      </c>
      <c r="H149" s="866"/>
      <c r="I149" s="866"/>
      <c r="J149" s="867"/>
      <c r="K149" s="386"/>
      <c r="L149" s="386"/>
      <c r="M149" s="386"/>
      <c r="R149" s="55"/>
    </row>
    <row r="150" spans="1:18" x14ac:dyDescent="0.25">
      <c r="A150" s="404">
        <f>+A151-A79-A6</f>
        <v>0</v>
      </c>
      <c r="B150" s="390"/>
      <c r="J150" s="60">
        <f>+J151-J79-J6</f>
        <v>0</v>
      </c>
      <c r="R150" s="55"/>
    </row>
    <row r="151" spans="1:18" ht="15.75" x14ac:dyDescent="0.25">
      <c r="A151" s="407">
        <f>SUM(H152:H165)</f>
        <v>75214586.799999997</v>
      </c>
      <c r="B151" s="381">
        <f>+A151/$A$148</f>
        <v>8.2424068573630813E-2</v>
      </c>
      <c r="J151" s="379">
        <f>SUM(Q152:Q165)</f>
        <v>142439259</v>
      </c>
      <c r="K151" s="381">
        <f>+J151/$A$148</f>
        <v>0.15609237185084368</v>
      </c>
      <c r="R151" s="55"/>
    </row>
    <row r="152" spans="1:18" ht="15.75" x14ac:dyDescent="0.25">
      <c r="A152" s="408" t="s">
        <v>255</v>
      </c>
      <c r="B152" s="387" t="s">
        <v>256</v>
      </c>
      <c r="C152" s="387" t="s">
        <v>62</v>
      </c>
      <c r="D152" s="388" t="s">
        <v>257</v>
      </c>
      <c r="E152" s="388"/>
      <c r="F152" s="388"/>
      <c r="G152" s="388"/>
      <c r="H152" s="388"/>
      <c r="I152" s="388"/>
      <c r="J152" s="389" t="s">
        <v>258</v>
      </c>
      <c r="K152" s="387" t="s">
        <v>256</v>
      </c>
      <c r="L152" s="387" t="s">
        <v>62</v>
      </c>
      <c r="M152" s="388" t="s">
        <v>257</v>
      </c>
      <c r="N152" t="s">
        <v>44</v>
      </c>
      <c r="O152" s="29">
        <v>200000</v>
      </c>
      <c r="P152" s="9">
        <f>_xll.BDP(N152&amp;" EQUITY",$H$1)</f>
        <v>93.43</v>
      </c>
      <c r="Q152" s="29">
        <f t="shared" ref="Q152:Q164" si="21">+P152*O152</f>
        <v>18686000</v>
      </c>
      <c r="R152" s="55"/>
    </row>
    <row r="153" spans="1:18" x14ac:dyDescent="0.25">
      <c r="A153" s="409" t="s">
        <v>259</v>
      </c>
      <c r="B153" s="390">
        <v>7.6646999999999989E-4</v>
      </c>
      <c r="C153" s="368">
        <v>0</v>
      </c>
      <c r="E153" s="377" t="s">
        <v>28</v>
      </c>
      <c r="F153" s="29">
        <v>190000</v>
      </c>
      <c r="G153" s="9">
        <f>_xll.BDP(E153&amp;" EQUITY",$H$1)</f>
        <v>184.005</v>
      </c>
      <c r="H153" s="29">
        <f t="shared" ref="H153:H159" si="22">+G153*F153</f>
        <v>34960950</v>
      </c>
      <c r="J153" s="391" t="s">
        <v>260</v>
      </c>
      <c r="K153" s="368">
        <v>2.0134799999999998E-2</v>
      </c>
      <c r="L153" s="368">
        <v>0</v>
      </c>
      <c r="M153" s="377"/>
      <c r="N153" t="s">
        <v>51</v>
      </c>
      <c r="O153" s="29">
        <v>195000</v>
      </c>
      <c r="P153" s="9">
        <f>_xll.BDP(N153&amp;" EQUITY",$H$1)</f>
        <v>94.114999999999995</v>
      </c>
      <c r="Q153" s="29">
        <f t="shared" si="21"/>
        <v>18352425</v>
      </c>
      <c r="R153" s="55"/>
    </row>
    <row r="154" spans="1:18" x14ac:dyDescent="0.25">
      <c r="A154" s="409" t="s">
        <v>261</v>
      </c>
      <c r="B154" s="390">
        <v>0</v>
      </c>
      <c r="C154" s="368">
        <v>0</v>
      </c>
      <c r="E154" t="s">
        <v>5</v>
      </c>
      <c r="F154" s="29">
        <v>95000</v>
      </c>
      <c r="G154" s="9">
        <f>_xll.BDP(E154&amp;" EQUITY",$H$1)</f>
        <v>98.5</v>
      </c>
      <c r="H154" s="29">
        <f t="shared" si="22"/>
        <v>9357500</v>
      </c>
      <c r="J154" s="391" t="s">
        <v>262</v>
      </c>
      <c r="K154" s="368">
        <v>2.4925040000000002E-2</v>
      </c>
      <c r="L154" s="368">
        <v>0</v>
      </c>
      <c r="M154" s="377"/>
      <c r="N154" t="s">
        <v>32</v>
      </c>
      <c r="O154" s="29">
        <v>28000</v>
      </c>
      <c r="P154" s="9">
        <f>_xll.BDP(N154&amp;" EQUITY",$H$1)</f>
        <v>484.94099999999997</v>
      </c>
      <c r="Q154" s="29">
        <f t="shared" si="21"/>
        <v>13578348</v>
      </c>
      <c r="R154" s="55"/>
    </row>
    <row r="155" spans="1:18" x14ac:dyDescent="0.25">
      <c r="A155" s="409" t="s">
        <v>263</v>
      </c>
      <c r="B155" s="390">
        <v>5.4622000000000004E-4</v>
      </c>
      <c r="C155" s="368">
        <v>0</v>
      </c>
      <c r="D155" s="377"/>
      <c r="E155" t="s">
        <v>34</v>
      </c>
      <c r="F155" s="29">
        <v>185000</v>
      </c>
      <c r="G155" s="9">
        <f>_xll.BDP(E155&amp;" EQUITY",$H$1)</f>
        <v>38.1</v>
      </c>
      <c r="H155" s="29">
        <f t="shared" si="22"/>
        <v>7048500</v>
      </c>
      <c r="I155" s="377"/>
      <c r="J155" s="391" t="s">
        <v>264</v>
      </c>
      <c r="K155" s="368">
        <v>4.1098680000000005E-2</v>
      </c>
      <c r="L155" s="368">
        <v>0</v>
      </c>
      <c r="N155" t="s">
        <v>41</v>
      </c>
      <c r="O155" s="29">
        <v>25000</v>
      </c>
      <c r="P155" s="9">
        <f>_xll.BDP(N155&amp;" EQUITY",$H$1)</f>
        <v>560.07500000000005</v>
      </c>
      <c r="Q155" s="29">
        <f t="shared" si="21"/>
        <v>14001875.000000002</v>
      </c>
      <c r="R155" s="55"/>
    </row>
    <row r="156" spans="1:18" x14ac:dyDescent="0.25">
      <c r="A156" s="409" t="s">
        <v>265</v>
      </c>
      <c r="B156" s="390">
        <v>6.3784400000000008E-3</v>
      </c>
      <c r="C156" s="368">
        <v>0</v>
      </c>
      <c r="D156" s="377"/>
      <c r="E156" t="s">
        <v>18</v>
      </c>
      <c r="F156" s="29">
        <v>63000</v>
      </c>
      <c r="G156" s="9">
        <f>_xll.BDP(E156&amp;" EQUITY",$H$1)</f>
        <v>101.97</v>
      </c>
      <c r="H156" s="29">
        <f t="shared" si="22"/>
        <v>6424110</v>
      </c>
      <c r="I156" s="377"/>
      <c r="J156" s="391" t="s">
        <v>266</v>
      </c>
      <c r="K156" s="368">
        <v>5.4219200000000002E-3</v>
      </c>
      <c r="L156" s="368">
        <v>0</v>
      </c>
      <c r="N156" t="s">
        <v>202</v>
      </c>
      <c r="O156" s="29">
        <v>66900</v>
      </c>
      <c r="P156" s="9">
        <f>_xll.BDP(N156&amp;" EQUITY",$H$1)</f>
        <v>171.54</v>
      </c>
      <c r="Q156" s="29">
        <f t="shared" si="21"/>
        <v>11476026</v>
      </c>
      <c r="R156" s="55"/>
    </row>
    <row r="157" spans="1:18" x14ac:dyDescent="0.25">
      <c r="A157" s="409" t="s">
        <v>267</v>
      </c>
      <c r="B157" s="390">
        <v>6.7132200000000006E-3</v>
      </c>
      <c r="C157" s="368">
        <v>0</v>
      </c>
      <c r="E157" s="377" t="s">
        <v>199</v>
      </c>
      <c r="F157" s="29">
        <v>178000</v>
      </c>
      <c r="G157" s="9">
        <f>_xll.BDP(E157&amp;" EQUITY",$H$1)</f>
        <v>41.353099999999998</v>
      </c>
      <c r="H157" s="29">
        <f t="shared" si="22"/>
        <v>7360851.7999999998</v>
      </c>
      <c r="J157" s="391" t="s">
        <v>343</v>
      </c>
      <c r="K157" s="368">
        <v>1.7476480000000003E-2</v>
      </c>
      <c r="L157" s="368">
        <v>0</v>
      </c>
      <c r="M157" s="377"/>
      <c r="N157" t="s">
        <v>16</v>
      </c>
      <c r="O157" s="29">
        <v>23000</v>
      </c>
      <c r="P157" s="9">
        <f>_xll.BDP(N157&amp;" EQUITY",$H$1)</f>
        <v>489.96</v>
      </c>
      <c r="Q157" s="29">
        <f t="shared" si="21"/>
        <v>11269080</v>
      </c>
      <c r="R157" s="55"/>
    </row>
    <row r="158" spans="1:18" x14ac:dyDescent="0.25">
      <c r="A158" s="409" t="s">
        <v>268</v>
      </c>
      <c r="B158" s="390">
        <v>3.1804100000000003E-3</v>
      </c>
      <c r="C158" s="368">
        <v>0</v>
      </c>
      <c r="E158" t="s">
        <v>211</v>
      </c>
      <c r="F158" s="29">
        <v>135000</v>
      </c>
      <c r="G158" s="9">
        <f>_xll.BDP(E158&amp;" EQUITY",$H$1)</f>
        <v>51.884999999999998</v>
      </c>
      <c r="H158" s="29">
        <f t="shared" si="22"/>
        <v>7004475</v>
      </c>
      <c r="J158" s="391" t="s">
        <v>269</v>
      </c>
      <c r="K158" s="368">
        <v>1.6305240000000002E-2</v>
      </c>
      <c r="L158" s="368">
        <v>0</v>
      </c>
      <c r="N158" t="s">
        <v>110</v>
      </c>
      <c r="O158" s="29">
        <v>20000</v>
      </c>
      <c r="P158" s="9">
        <f>_xll.BDP(N158&amp;" EQUITY",$H$1)</f>
        <v>534.08000000000004</v>
      </c>
      <c r="Q158" s="29">
        <f t="shared" si="21"/>
        <v>10681600</v>
      </c>
      <c r="R158" s="55"/>
    </row>
    <row r="159" spans="1:18" x14ac:dyDescent="0.25">
      <c r="A159" s="409" t="s">
        <v>270</v>
      </c>
      <c r="B159" s="390">
        <v>5.7864080000000005E-2</v>
      </c>
      <c r="C159" s="368">
        <v>0</v>
      </c>
      <c r="D159" s="377"/>
      <c r="E159" s="377" t="s">
        <v>108</v>
      </c>
      <c r="F159" s="29">
        <v>6000</v>
      </c>
      <c r="G159" s="9">
        <f>_xll.BDP(E159&amp;" EQUITY",$H$1)</f>
        <v>509.7</v>
      </c>
      <c r="H159" s="29">
        <f t="shared" si="22"/>
        <v>3058200</v>
      </c>
      <c r="I159" s="377"/>
      <c r="J159" s="392" t="s">
        <v>271</v>
      </c>
      <c r="K159" s="368">
        <v>0</v>
      </c>
      <c r="L159" s="368">
        <v>0</v>
      </c>
      <c r="M159" s="377"/>
      <c r="N159" t="s">
        <v>39</v>
      </c>
      <c r="O159" s="29">
        <v>42000</v>
      </c>
      <c r="P159" s="9">
        <f>_xll.BDP(N159&amp;" EQUITY",$H$1)</f>
        <v>255.35</v>
      </c>
      <c r="Q159" s="29">
        <f t="shared" si="21"/>
        <v>10724700</v>
      </c>
      <c r="R159" s="55"/>
    </row>
    <row r="160" spans="1:18" x14ac:dyDescent="0.25">
      <c r="A160" s="409" t="s">
        <v>272</v>
      </c>
      <c r="B160" s="390">
        <v>1.028127E-2</v>
      </c>
      <c r="C160" s="368">
        <v>0</v>
      </c>
      <c r="D160" s="377"/>
      <c r="E160" s="377"/>
      <c r="F160" s="29"/>
      <c r="G160" s="9"/>
      <c r="H160" s="29"/>
      <c r="I160" s="377"/>
      <c r="J160" s="391" t="s">
        <v>273</v>
      </c>
      <c r="K160" s="378">
        <v>6.2378399999999997E-3</v>
      </c>
      <c r="L160" s="378">
        <v>0</v>
      </c>
      <c r="M160" s="377"/>
      <c r="N160" t="s">
        <v>200</v>
      </c>
      <c r="O160" s="29">
        <v>62000</v>
      </c>
      <c r="P160" s="9">
        <f>_xll.BDP(N160&amp;" EQUITY",$H$1)</f>
        <v>148.19499999999999</v>
      </c>
      <c r="Q160" s="29">
        <f t="shared" si="21"/>
        <v>9188090</v>
      </c>
      <c r="R160" s="55"/>
    </row>
    <row r="161" spans="1:18" x14ac:dyDescent="0.25">
      <c r="A161" s="409" t="s">
        <v>274</v>
      </c>
      <c r="B161" s="393">
        <v>2.3698899999999999E-3</v>
      </c>
      <c r="C161" s="378">
        <v>0</v>
      </c>
      <c r="F161" s="29"/>
      <c r="G161" s="9"/>
      <c r="H161" s="29"/>
      <c r="J161" s="391"/>
      <c r="K161" s="368">
        <f>SUM(K153:K160)</f>
        <v>0.13160000000000002</v>
      </c>
      <c r="L161" s="368">
        <f>+K151</f>
        <v>0.15609237185084368</v>
      </c>
      <c r="N161" t="s">
        <v>19</v>
      </c>
      <c r="O161" s="29">
        <v>23000</v>
      </c>
      <c r="P161" s="9">
        <f>_xll.BDP(N161&amp;" EQUITY",$H$1)</f>
        <v>434.17500000000001</v>
      </c>
      <c r="Q161" s="29">
        <f t="shared" si="21"/>
        <v>9986025</v>
      </c>
      <c r="R161" s="55"/>
    </row>
    <row r="162" spans="1:18" x14ac:dyDescent="0.25">
      <c r="A162" s="56"/>
      <c r="B162" s="390">
        <f>SUM(B153:B161)</f>
        <v>8.8099999999999998E-2</v>
      </c>
      <c r="C162" s="390">
        <f>+B151</f>
        <v>8.2424068573630813E-2</v>
      </c>
      <c r="F162" s="29"/>
      <c r="G162" s="9"/>
      <c r="H162" s="29"/>
      <c r="J162" s="391"/>
      <c r="L162" s="594">
        <f>+L161-K161</f>
        <v>2.4492371850843658E-2</v>
      </c>
      <c r="N162" t="s">
        <v>205</v>
      </c>
      <c r="O162" s="29">
        <v>141000</v>
      </c>
      <c r="P162" s="9">
        <f>_xll.BDP(N162&amp;" EQUITY",$H$1)</f>
        <v>42.29</v>
      </c>
      <c r="Q162" s="29">
        <f t="shared" si="21"/>
        <v>5962890</v>
      </c>
      <c r="R162" s="55"/>
    </row>
    <row r="163" spans="1:18" x14ac:dyDescent="0.25">
      <c r="A163" s="56"/>
      <c r="B163" s="390"/>
      <c r="C163" s="594">
        <f>+C162-B162</f>
        <v>-5.6759314263691851E-3</v>
      </c>
      <c r="F163" s="29"/>
      <c r="G163" s="9"/>
      <c r="H163" s="29"/>
      <c r="J163" s="391"/>
      <c r="N163" t="s">
        <v>218</v>
      </c>
      <c r="O163" s="29">
        <v>46400</v>
      </c>
      <c r="P163" s="9">
        <f>_xll.BDP(N163&amp;" EQUITY",$H$1)</f>
        <v>133.25</v>
      </c>
      <c r="Q163" s="29">
        <f t="shared" si="21"/>
        <v>6182800</v>
      </c>
      <c r="R163" s="55"/>
    </row>
    <row r="164" spans="1:18" x14ac:dyDescent="0.25">
      <c r="A164" s="56"/>
      <c r="B164" s="390"/>
      <c r="C164" s="390"/>
      <c r="F164" s="29"/>
      <c r="G164" s="9"/>
      <c r="H164" s="29"/>
      <c r="J164" s="391"/>
      <c r="N164" t="s">
        <v>10</v>
      </c>
      <c r="O164" s="29">
        <v>10000</v>
      </c>
      <c r="P164" s="9">
        <f>_xll.BDP(N164&amp;" EQUITY",$H$1)</f>
        <v>234.94</v>
      </c>
      <c r="Q164" s="29">
        <f t="shared" si="21"/>
        <v>2349400</v>
      </c>
      <c r="R164" s="55"/>
    </row>
    <row r="165" spans="1:18" x14ac:dyDescent="0.25">
      <c r="A165" s="404">
        <f>+A166-A92-A19</f>
        <v>0</v>
      </c>
      <c r="B165" s="390"/>
      <c r="C165" s="390"/>
      <c r="F165" s="29"/>
      <c r="G165" s="9"/>
      <c r="H165" s="29"/>
      <c r="J165" s="60">
        <f>+J166-J92-J19</f>
        <v>0</v>
      </c>
      <c r="P165" s="9"/>
      <c r="R165" s="55"/>
    </row>
    <row r="166" spans="1:18" ht="15.75" x14ac:dyDescent="0.25">
      <c r="A166" s="407">
        <f>SUM(H167:H178)</f>
        <v>81468852</v>
      </c>
      <c r="B166" s="381">
        <f>+A166/$A$148</f>
        <v>8.927781869916461E-2</v>
      </c>
      <c r="F166" s="29"/>
      <c r="G166" s="9"/>
      <c r="H166" s="29"/>
      <c r="J166" s="379">
        <f>SUM(Q168:Q178)</f>
        <v>67803932.5</v>
      </c>
      <c r="K166" s="381">
        <f>+J166/$A$148</f>
        <v>7.4303086937144949E-2</v>
      </c>
      <c r="P166" s="9"/>
      <c r="R166" s="55"/>
    </row>
    <row r="167" spans="1:18" ht="15.75" x14ac:dyDescent="0.25">
      <c r="A167" s="408" t="s">
        <v>276</v>
      </c>
      <c r="F167" s="29"/>
      <c r="G167" s="9"/>
      <c r="H167" s="29"/>
      <c r="J167" s="389" t="s">
        <v>275</v>
      </c>
      <c r="O167" s="29"/>
      <c r="P167" s="9"/>
      <c r="Q167" s="29"/>
      <c r="R167" s="55"/>
    </row>
    <row r="168" spans="1:18" x14ac:dyDescent="0.25">
      <c r="A168" s="409" t="s">
        <v>278</v>
      </c>
      <c r="B168" s="368">
        <v>1.6827459999999999E-2</v>
      </c>
      <c r="C168" s="368">
        <v>0</v>
      </c>
      <c r="E168" t="s">
        <v>42</v>
      </c>
      <c r="F168" s="29">
        <v>137000</v>
      </c>
      <c r="G168" s="9">
        <f>_xll.BDP(E168&amp;" EQUITY",$H$1)</f>
        <v>188.55</v>
      </c>
      <c r="H168" s="29">
        <f t="shared" ref="H168:H171" si="23">+G168*F168</f>
        <v>25831350</v>
      </c>
      <c r="J168" s="391" t="s">
        <v>277</v>
      </c>
      <c r="K168" s="368">
        <v>1.7824260000000001E-2</v>
      </c>
      <c r="L168" s="368">
        <v>0</v>
      </c>
      <c r="M168" s="377"/>
      <c r="N168" t="s">
        <v>49</v>
      </c>
      <c r="O168" s="29">
        <v>160000</v>
      </c>
      <c r="P168" s="9">
        <f>_xll.BDP(N168&amp;" EQUITY",$H$1)</f>
        <v>76.97</v>
      </c>
      <c r="Q168" s="29">
        <f t="shared" ref="Q168:Q177" si="24">+P168*O168</f>
        <v>12315200</v>
      </c>
      <c r="R168" s="55"/>
    </row>
    <row r="169" spans="1:18" x14ac:dyDescent="0.25">
      <c r="A169" s="409" t="s">
        <v>280</v>
      </c>
      <c r="B169" s="368">
        <v>4.6259599999999993E-3</v>
      </c>
      <c r="C169" s="368">
        <v>0</v>
      </c>
      <c r="D169" s="377"/>
      <c r="E169" t="s">
        <v>13</v>
      </c>
      <c r="F169" s="29">
        <v>40000</v>
      </c>
      <c r="G169" s="9">
        <f>_xll.BDP(E169&amp;" EQUITY",$H$1)</f>
        <v>336.85</v>
      </c>
      <c r="H169" s="29">
        <f t="shared" si="23"/>
        <v>13474000</v>
      </c>
      <c r="I169" s="377"/>
      <c r="J169" s="391" t="s">
        <v>279</v>
      </c>
      <c r="K169" s="368">
        <v>0</v>
      </c>
      <c r="L169" s="368">
        <v>0</v>
      </c>
      <c r="N169" t="s">
        <v>25</v>
      </c>
      <c r="O169" s="29">
        <v>20000</v>
      </c>
      <c r="P169" s="9">
        <f>_xll.BDP(N169&amp;" EQUITY",$H$1)</f>
        <v>467.38</v>
      </c>
      <c r="Q169" s="29">
        <f t="shared" si="24"/>
        <v>9347600</v>
      </c>
      <c r="R169" s="55"/>
    </row>
    <row r="170" spans="1:18" x14ac:dyDescent="0.25">
      <c r="A170" s="409" t="s">
        <v>282</v>
      </c>
      <c r="B170" s="368">
        <v>6.0477000000000003E-4</v>
      </c>
      <c r="C170" s="368">
        <v>0</v>
      </c>
      <c r="E170" t="s">
        <v>6</v>
      </c>
      <c r="F170" s="29">
        <v>100000</v>
      </c>
      <c r="G170" s="9">
        <f>_xll.BDP(E170&amp;" EQUITY",$H$1)</f>
        <v>110.93</v>
      </c>
      <c r="H170" s="29">
        <f t="shared" si="23"/>
        <v>11093000</v>
      </c>
      <c r="J170" s="391" t="s">
        <v>281</v>
      </c>
      <c r="K170" s="368">
        <v>0</v>
      </c>
      <c r="L170" s="368">
        <v>0</v>
      </c>
      <c r="N170" t="s">
        <v>22</v>
      </c>
      <c r="O170" s="29">
        <v>70000</v>
      </c>
      <c r="P170" s="9">
        <f>_xll.BDP(N170&amp;" EQUITY",$H$1)</f>
        <v>136.47999999999999</v>
      </c>
      <c r="Q170" s="29">
        <f t="shared" si="24"/>
        <v>9553600</v>
      </c>
      <c r="R170" s="55"/>
    </row>
    <row r="171" spans="1:18" x14ac:dyDescent="0.25">
      <c r="A171" s="409" t="s">
        <v>284</v>
      </c>
      <c r="B171" s="368">
        <v>1.351714E-2</v>
      </c>
      <c r="C171" s="368">
        <v>0</v>
      </c>
      <c r="D171" s="377"/>
      <c r="E171" s="377" t="s">
        <v>26</v>
      </c>
      <c r="F171" s="29">
        <v>25000</v>
      </c>
      <c r="G171" s="9">
        <f>_xll.BDP(E171&amp;" EQUITY",$H$1)</f>
        <v>312.06</v>
      </c>
      <c r="H171" s="29">
        <f t="shared" si="23"/>
        <v>7801500</v>
      </c>
      <c r="I171" s="377"/>
      <c r="J171" s="391" t="s">
        <v>283</v>
      </c>
      <c r="K171" s="368">
        <v>8.5476000000000007E-3</v>
      </c>
      <c r="L171" s="368">
        <v>0</v>
      </c>
      <c r="M171" s="377"/>
      <c r="N171" t="s">
        <v>78</v>
      </c>
      <c r="O171" s="29">
        <v>140000</v>
      </c>
      <c r="P171" s="9">
        <f>_xll.BDP(N171&amp;" EQUITY",$H$1)</f>
        <v>71.69</v>
      </c>
      <c r="Q171" s="29">
        <f t="shared" si="24"/>
        <v>10036600</v>
      </c>
      <c r="R171" s="55"/>
    </row>
    <row r="172" spans="1:18" x14ac:dyDescent="0.25">
      <c r="A172" s="409" t="s">
        <v>286</v>
      </c>
      <c r="B172" s="368">
        <v>6.716129999999999E-3</v>
      </c>
      <c r="C172" s="368">
        <v>0</v>
      </c>
      <c r="E172" s="377" t="s">
        <v>4</v>
      </c>
      <c r="F172" s="29">
        <v>20000</v>
      </c>
      <c r="G172" s="9">
        <f>_xll.BDP(E172&amp;" EQUITY",$H$1)</f>
        <v>388.85</v>
      </c>
      <c r="H172" s="29">
        <f t="shared" ref="H172:H173" si="25">+G172*F172</f>
        <v>7777000</v>
      </c>
      <c r="J172" s="391" t="s">
        <v>285</v>
      </c>
      <c r="K172" s="368">
        <v>5.5978400000000006E-3</v>
      </c>
      <c r="L172" s="368">
        <v>0</v>
      </c>
      <c r="M172" s="377"/>
      <c r="N172" t="s">
        <v>133</v>
      </c>
      <c r="O172" s="29">
        <v>30000</v>
      </c>
      <c r="P172" s="9">
        <f>_xll.BDP(N172&amp;" EQUITY",$H$1)</f>
        <v>223.44</v>
      </c>
      <c r="Q172" s="29">
        <f t="shared" si="24"/>
        <v>6703200</v>
      </c>
      <c r="R172" s="55"/>
    </row>
    <row r="173" spans="1:18" x14ac:dyDescent="0.25">
      <c r="A173" s="409" t="s">
        <v>289</v>
      </c>
      <c r="B173" s="368">
        <v>2.8127109999999997E-2</v>
      </c>
      <c r="C173" s="368">
        <v>0</v>
      </c>
      <c r="D173" s="377"/>
      <c r="E173" s="377" t="s">
        <v>3</v>
      </c>
      <c r="F173" s="29">
        <v>85000</v>
      </c>
      <c r="G173" s="9">
        <f>_xll.BDP(E173&amp;" EQUITY",$H$1)</f>
        <v>73.239999999999995</v>
      </c>
      <c r="H173" s="29">
        <f t="shared" si="25"/>
        <v>6225400</v>
      </c>
      <c r="I173" s="377"/>
      <c r="J173" s="391" t="s">
        <v>287</v>
      </c>
      <c r="K173" s="368">
        <v>1.861198E-2</v>
      </c>
      <c r="L173" s="368">
        <v>0</v>
      </c>
      <c r="M173" s="377"/>
      <c r="N173" t="s">
        <v>400</v>
      </c>
      <c r="O173" s="29">
        <v>8500</v>
      </c>
      <c r="P173" s="9">
        <f>_xll.BDP(N173&amp;" EQUITY",$H$1)</f>
        <v>633.14499999999998</v>
      </c>
      <c r="Q173" s="29">
        <f t="shared" si="24"/>
        <v>5381732.5</v>
      </c>
      <c r="R173" s="55"/>
    </row>
    <row r="174" spans="1:18" x14ac:dyDescent="0.25">
      <c r="A174" s="409" t="s">
        <v>292</v>
      </c>
      <c r="B174" s="368">
        <v>2.2280999999999999E-4</v>
      </c>
      <c r="C174" s="368">
        <v>0</v>
      </c>
      <c r="D174" s="377"/>
      <c r="E174" s="377" t="s">
        <v>487</v>
      </c>
      <c r="F174" s="29">
        <v>20000</v>
      </c>
      <c r="G174" s="9">
        <f>_xll.BDP(E174&amp;" EQUITY",$H$1)</f>
        <v>185.8151</v>
      </c>
      <c r="H174" s="29">
        <f t="shared" ref="H174" si="26">+G174*F174</f>
        <v>3716302</v>
      </c>
      <c r="I174" s="377"/>
      <c r="J174" s="391" t="s">
        <v>290</v>
      </c>
      <c r="K174" s="368">
        <v>1.707844E-2</v>
      </c>
      <c r="L174" s="368">
        <v>0</v>
      </c>
      <c r="M174" s="377"/>
      <c r="N174" t="s">
        <v>93</v>
      </c>
      <c r="O174" s="29">
        <v>50000</v>
      </c>
      <c r="P174" s="9">
        <f>_xll.BDP(N174&amp;" EQUITY",$H$1)</f>
        <v>74.02</v>
      </c>
      <c r="Q174" s="29">
        <f t="shared" si="24"/>
        <v>3701000</v>
      </c>
      <c r="R174" s="55"/>
    </row>
    <row r="175" spans="1:18" x14ac:dyDescent="0.25">
      <c r="A175" s="409" t="s">
        <v>293</v>
      </c>
      <c r="B175" s="368">
        <v>1.2721389999999999E-2</v>
      </c>
      <c r="C175" s="368">
        <v>0</v>
      </c>
      <c r="D175" s="377"/>
      <c r="E175" s="377" t="s">
        <v>1012</v>
      </c>
      <c r="F175" s="29">
        <v>70000</v>
      </c>
      <c r="G175" s="9">
        <f>_xll.BDP(E175&amp;" EQUITY",$H$1)</f>
        <v>79.290000000000006</v>
      </c>
      <c r="H175" s="29">
        <f t="shared" ref="H175" si="27">+G175*F175</f>
        <v>5550300</v>
      </c>
      <c r="I175" s="377"/>
      <c r="J175" s="391" t="s">
        <v>266</v>
      </c>
      <c r="K175" s="368">
        <v>8.3380999999999993E-3</v>
      </c>
      <c r="L175" s="368">
        <v>0</v>
      </c>
      <c r="M175" s="377"/>
      <c r="N175" t="s">
        <v>230</v>
      </c>
      <c r="O175" s="29">
        <v>18000</v>
      </c>
      <c r="P175" s="9">
        <f>_xll.BDP(N175&amp;" EQUITY",$H$1)</f>
        <v>221.92</v>
      </c>
      <c r="Q175" s="29">
        <f t="shared" si="24"/>
        <v>3994560</v>
      </c>
      <c r="R175" s="55"/>
    </row>
    <row r="176" spans="1:18" x14ac:dyDescent="0.25">
      <c r="A176" s="409" t="s">
        <v>295</v>
      </c>
      <c r="B176" s="368">
        <v>0</v>
      </c>
      <c r="C176" s="368">
        <v>0</v>
      </c>
      <c r="E176" s="377"/>
      <c r="F176" s="377"/>
      <c r="G176" s="9"/>
      <c r="H176" s="377"/>
      <c r="J176" s="391" t="s">
        <v>294</v>
      </c>
      <c r="K176" s="368">
        <v>4.6341400000000001E-3</v>
      </c>
      <c r="L176" s="368">
        <v>0</v>
      </c>
      <c r="M176" s="377"/>
      <c r="N176" t="s">
        <v>122</v>
      </c>
      <c r="O176" s="29">
        <v>10000</v>
      </c>
      <c r="P176" s="9">
        <f>_xll.BDP(N176&amp;" EQUITY",$H$1)</f>
        <v>367.28</v>
      </c>
      <c r="Q176" s="29">
        <f t="shared" si="24"/>
        <v>3672799.9999999995</v>
      </c>
      <c r="R176" s="55"/>
    </row>
    <row r="177" spans="1:18" x14ac:dyDescent="0.25">
      <c r="A177" s="409" t="s">
        <v>297</v>
      </c>
      <c r="B177" s="368">
        <v>4.7957199999999998E-3</v>
      </c>
      <c r="C177" s="368">
        <v>0</v>
      </c>
      <c r="D177" s="377"/>
      <c r="E177" s="377"/>
      <c r="F177" s="377"/>
      <c r="G177" s="9"/>
      <c r="H177" s="377"/>
      <c r="I177" s="377"/>
      <c r="J177" s="391" t="s">
        <v>296</v>
      </c>
      <c r="K177" s="368">
        <v>6.3688000000000004E-4</v>
      </c>
      <c r="L177" s="368">
        <v>0</v>
      </c>
      <c r="M177" s="377"/>
      <c r="N177" t="s">
        <v>403</v>
      </c>
      <c r="O177" s="29">
        <v>23000</v>
      </c>
      <c r="P177" s="9">
        <f>_xll.BDP(N177&amp;" EQUITY",$H$1)</f>
        <v>134.68</v>
      </c>
      <c r="Q177" s="29">
        <f t="shared" si="24"/>
        <v>3097640</v>
      </c>
      <c r="R177" s="55"/>
    </row>
    <row r="178" spans="1:18" x14ac:dyDescent="0.25">
      <c r="A178" s="409" t="s">
        <v>299</v>
      </c>
      <c r="B178" s="368">
        <v>6.3235599999999989E-3</v>
      </c>
      <c r="C178" s="368">
        <v>0</v>
      </c>
      <c r="D178" s="377"/>
      <c r="E178" s="377"/>
      <c r="F178" s="377"/>
      <c r="G178" s="9"/>
      <c r="H178" s="377"/>
      <c r="I178" s="377"/>
      <c r="J178" s="391" t="s">
        <v>298</v>
      </c>
      <c r="K178" s="378">
        <v>2.5223800000000003E-3</v>
      </c>
      <c r="L178" s="378">
        <v>0</v>
      </c>
      <c r="M178" s="377"/>
      <c r="O178" s="29"/>
      <c r="P178" s="9"/>
      <c r="Q178" s="29"/>
      <c r="R178" s="55"/>
    </row>
    <row r="179" spans="1:18" x14ac:dyDescent="0.25">
      <c r="A179" s="409" t="s">
        <v>273</v>
      </c>
      <c r="B179" s="378">
        <v>1.1151109999999999E-2</v>
      </c>
      <c r="C179" s="399">
        <v>0</v>
      </c>
      <c r="D179" s="377"/>
      <c r="E179" s="377"/>
      <c r="F179" s="377"/>
      <c r="G179" s="9"/>
      <c r="H179" s="377"/>
      <c r="I179" s="377"/>
      <c r="K179" s="368">
        <f>SUM(K168:K178)</f>
        <v>8.3791620000000011E-2</v>
      </c>
      <c r="L179" s="368">
        <f>+K166</f>
        <v>7.4303086937144949E-2</v>
      </c>
      <c r="O179" s="29"/>
      <c r="P179" s="9"/>
      <c r="Q179" s="29"/>
      <c r="R179" s="55"/>
    </row>
    <row r="180" spans="1:18" x14ac:dyDescent="0.25">
      <c r="A180" s="56"/>
      <c r="B180" s="390">
        <f>SUM(B168:B179)</f>
        <v>0.10563316</v>
      </c>
      <c r="C180" s="368">
        <f>+B166</f>
        <v>8.927781869916461E-2</v>
      </c>
      <c r="G180" s="9"/>
      <c r="K180" s="368"/>
      <c r="L180" s="594">
        <f>+L179-K179</f>
        <v>-9.4885330628550618E-3</v>
      </c>
      <c r="O180" s="29"/>
      <c r="P180" s="9"/>
      <c r="Q180" s="29"/>
      <c r="R180" s="55"/>
    </row>
    <row r="181" spans="1:18" x14ac:dyDescent="0.25">
      <c r="B181" s="390"/>
      <c r="C181" s="594">
        <f>+C180-B180</f>
        <v>-1.6355341300835394E-2</v>
      </c>
      <c r="G181" s="9"/>
      <c r="J181" s="60">
        <f>+J183-J108-J35</f>
        <v>0</v>
      </c>
      <c r="K181" s="368"/>
      <c r="L181" s="368"/>
      <c r="O181" s="29"/>
      <c r="P181" s="9"/>
      <c r="Q181" s="29"/>
      <c r="R181" s="55"/>
    </row>
    <row r="182" spans="1:18" x14ac:dyDescent="0.25">
      <c r="A182" s="404">
        <f>+A183-A108-A35</f>
        <v>0</v>
      </c>
      <c r="B182" s="390"/>
      <c r="C182" s="607"/>
      <c r="G182" s="9"/>
      <c r="J182" s="60"/>
      <c r="K182" s="368"/>
      <c r="L182" s="368"/>
      <c r="O182" s="29"/>
      <c r="P182" s="9"/>
      <c r="Q182" s="29"/>
      <c r="R182" s="55"/>
    </row>
    <row r="183" spans="1:18" ht="15.75" x14ac:dyDescent="0.25">
      <c r="A183" s="407">
        <f>SUM(H184:H193)</f>
        <v>42992242.600000001</v>
      </c>
      <c r="B183" s="381">
        <f>+A183/$A$148</f>
        <v>4.7113142582557825E-2</v>
      </c>
      <c r="G183" s="9"/>
      <c r="J183" s="379">
        <f>SUM(Q184:Q201)</f>
        <v>250535775</v>
      </c>
      <c r="K183" s="381">
        <f>+J183/$A$148</f>
        <v>0.27455017407272042</v>
      </c>
      <c r="O183" s="29"/>
      <c r="P183" s="9"/>
      <c r="Q183" s="29"/>
      <c r="R183" s="55"/>
    </row>
    <row r="184" spans="1:18" ht="15.75" x14ac:dyDescent="0.25">
      <c r="A184" s="410" t="s">
        <v>302</v>
      </c>
      <c r="C184" s="390">
        <v>0</v>
      </c>
      <c r="G184" s="9"/>
      <c r="J184" s="389" t="s">
        <v>300</v>
      </c>
      <c r="L184" s="368">
        <v>0</v>
      </c>
      <c r="M184" s="377"/>
      <c r="N184" t="s">
        <v>45</v>
      </c>
      <c r="O184" s="29">
        <v>208000</v>
      </c>
      <c r="P184" s="9">
        <f>_xll.BDP(N184&amp;" EQUITY",$H$1)</f>
        <v>245.31</v>
      </c>
      <c r="Q184" s="29">
        <f t="shared" ref="Q184:Q199" si="28">+P184*O184</f>
        <v>51024480</v>
      </c>
      <c r="R184" s="55"/>
    </row>
    <row r="185" spans="1:18" x14ac:dyDescent="0.25">
      <c r="A185" s="409" t="s">
        <v>304</v>
      </c>
      <c r="B185" s="368">
        <v>1.33529E-3</v>
      </c>
      <c r="C185" s="368">
        <v>0</v>
      </c>
      <c r="E185" s="377" t="s">
        <v>48</v>
      </c>
      <c r="F185" s="29">
        <v>200000</v>
      </c>
      <c r="G185" s="9">
        <f>_xll.BDP(E185&amp;" EQUITY",$H$1)</f>
        <v>77.44</v>
      </c>
      <c r="H185" s="29">
        <f>+G185*F185</f>
        <v>15488000</v>
      </c>
      <c r="J185" s="391" t="s">
        <v>301</v>
      </c>
      <c r="K185" s="368">
        <v>0.10212019999999999</v>
      </c>
      <c r="L185" s="368">
        <v>0</v>
      </c>
      <c r="M185" s="377"/>
      <c r="N185" t="s">
        <v>38</v>
      </c>
      <c r="O185" s="29">
        <v>105000</v>
      </c>
      <c r="P185" s="9">
        <f>_xll.BDP(N185&amp;" EQUITY",$H$1)</f>
        <v>449.56</v>
      </c>
      <c r="Q185" s="29">
        <f t="shared" si="28"/>
        <v>47203800</v>
      </c>
      <c r="R185" s="55"/>
    </row>
    <row r="186" spans="1:18" x14ac:dyDescent="0.25">
      <c r="A186" s="409" t="s">
        <v>305</v>
      </c>
      <c r="B186" s="368">
        <v>1.7687559999999998E-2</v>
      </c>
      <c r="C186" s="368">
        <v>0</v>
      </c>
      <c r="E186" s="377" t="s">
        <v>43</v>
      </c>
      <c r="F186" s="29">
        <v>17000</v>
      </c>
      <c r="G186" s="9">
        <f>_xll.BDP(E186&amp;" EQUITY",$H$1)</f>
        <v>852.03</v>
      </c>
      <c r="H186" s="29">
        <f>+G186*F186</f>
        <v>14484510</v>
      </c>
      <c r="J186" s="391" t="s">
        <v>303</v>
      </c>
      <c r="K186" s="368">
        <v>7.6195210000000013E-2</v>
      </c>
      <c r="L186" s="368">
        <v>0</v>
      </c>
      <c r="M186" s="377"/>
      <c r="N186" t="s">
        <v>37</v>
      </c>
      <c r="O186" s="29">
        <v>195000</v>
      </c>
      <c r="P186" s="9">
        <f>_xll.BDP(N186&amp;" EQUITY",$H$1)</f>
        <v>210.08500000000001</v>
      </c>
      <c r="Q186" s="29">
        <f t="shared" si="28"/>
        <v>40966575</v>
      </c>
      <c r="R186" s="55"/>
    </row>
    <row r="187" spans="1:18" x14ac:dyDescent="0.25">
      <c r="A187" s="409" t="s">
        <v>308</v>
      </c>
      <c r="B187" s="368">
        <v>1.6305299999999998E-3</v>
      </c>
      <c r="C187" s="368">
        <v>0</v>
      </c>
      <c r="D187" s="377"/>
      <c r="E187" s="377" t="s">
        <v>217</v>
      </c>
      <c r="F187" s="29">
        <v>130000</v>
      </c>
      <c r="G187" s="9">
        <f>_xll.BDP(E187&amp;" EQUITY",$H$1)</f>
        <v>33.06</v>
      </c>
      <c r="H187" s="29">
        <f>+G187*F187</f>
        <v>4297800</v>
      </c>
      <c r="I187" s="377"/>
      <c r="J187" s="391" t="s">
        <v>285</v>
      </c>
      <c r="K187" s="368">
        <v>5.0495899999999996E-3</v>
      </c>
      <c r="L187" s="368">
        <v>0</v>
      </c>
      <c r="M187" s="377"/>
      <c r="N187" t="s">
        <v>24</v>
      </c>
      <c r="O187" s="29">
        <v>21000</v>
      </c>
      <c r="P187" s="9">
        <f>_xll.BDP(N187&amp;" EQUITY",$H$1)</f>
        <v>751.65</v>
      </c>
      <c r="Q187" s="29">
        <f t="shared" si="28"/>
        <v>15784650</v>
      </c>
      <c r="R187" s="55"/>
    </row>
    <row r="188" spans="1:18" x14ac:dyDescent="0.25">
      <c r="A188" s="409" t="s">
        <v>345</v>
      </c>
      <c r="B188" s="368">
        <v>1.1474100000000002E-3</v>
      </c>
      <c r="C188" s="368">
        <v>0</v>
      </c>
      <c r="E188" s="377" t="s">
        <v>225</v>
      </c>
      <c r="F188" s="29">
        <v>74000</v>
      </c>
      <c r="G188" s="9">
        <f>_xll.BDP(E188&amp;" EQUITY",$H$1)</f>
        <v>63.559899999999999</v>
      </c>
      <c r="H188" s="29">
        <f>+G188*F188</f>
        <v>4703432.5999999996</v>
      </c>
      <c r="J188" s="391" t="s">
        <v>306</v>
      </c>
      <c r="K188" s="368">
        <v>1.119937E-2</v>
      </c>
      <c r="L188" s="368">
        <v>0</v>
      </c>
      <c r="M188" s="377"/>
      <c r="N188" t="s">
        <v>307</v>
      </c>
      <c r="O188" s="29">
        <v>35000</v>
      </c>
      <c r="P188" s="9">
        <f>_xll.BDP(N188&amp;" EQUITY",$H$1)</f>
        <v>306.01</v>
      </c>
      <c r="Q188" s="29">
        <f t="shared" si="28"/>
        <v>10710350</v>
      </c>
      <c r="R188" s="55"/>
    </row>
    <row r="189" spans="1:18" x14ac:dyDescent="0.25">
      <c r="A189" s="409" t="s">
        <v>310</v>
      </c>
      <c r="B189" s="368">
        <v>1.5983219999999999E-2</v>
      </c>
      <c r="C189" s="368">
        <v>0</v>
      </c>
      <c r="D189" s="377"/>
      <c r="E189" s="377" t="s">
        <v>70</v>
      </c>
      <c r="F189" s="29">
        <v>60000</v>
      </c>
      <c r="G189" s="9">
        <f>_xll.BDP(E189&amp;" EQUITY",$H$1)</f>
        <v>66.974999999999994</v>
      </c>
      <c r="H189" s="29">
        <f>+G189*F189</f>
        <v>4018499.9999999995</v>
      </c>
      <c r="I189" s="377"/>
      <c r="J189" s="391" t="s">
        <v>309</v>
      </c>
      <c r="K189" s="368">
        <v>9.3092999999999995E-3</v>
      </c>
      <c r="L189" s="368">
        <v>0</v>
      </c>
      <c r="M189" s="377"/>
      <c r="N189" t="s">
        <v>21</v>
      </c>
      <c r="O189" s="29">
        <v>17000</v>
      </c>
      <c r="P189" s="9">
        <f>_xll.BDP(N189&amp;" EQUITY",$H$1)</f>
        <v>625.94000000000005</v>
      </c>
      <c r="Q189" s="29">
        <f t="shared" si="28"/>
        <v>10640980</v>
      </c>
      <c r="R189" s="55"/>
    </row>
    <row r="190" spans="1:18" x14ac:dyDescent="0.25">
      <c r="A190" s="409" t="s">
        <v>312</v>
      </c>
      <c r="B190" s="368">
        <v>9.6288499999999996E-3</v>
      </c>
      <c r="C190" s="368">
        <v>0</v>
      </c>
      <c r="G190" s="9"/>
      <c r="J190" s="391" t="s">
        <v>311</v>
      </c>
      <c r="K190" s="368">
        <v>7.7464660000000005E-2</v>
      </c>
      <c r="L190" s="368">
        <v>0</v>
      </c>
      <c r="N190" t="s">
        <v>485</v>
      </c>
      <c r="O190" s="29">
        <v>120000</v>
      </c>
      <c r="P190" s="9">
        <f>_xll.BDP(N190&amp;" EQUITY",$H$1)</f>
        <v>123.875</v>
      </c>
      <c r="Q190" s="29">
        <f t="shared" si="28"/>
        <v>14865000</v>
      </c>
      <c r="R190" s="55"/>
    </row>
    <row r="191" spans="1:18" x14ac:dyDescent="0.25">
      <c r="A191" s="409" t="s">
        <v>313</v>
      </c>
      <c r="B191" s="368">
        <v>1.2581249999999999E-2</v>
      </c>
      <c r="C191" s="368">
        <v>0</v>
      </c>
      <c r="D191" s="377"/>
      <c r="E191" s="377"/>
      <c r="F191" s="377"/>
      <c r="G191" s="9"/>
      <c r="H191" s="377"/>
      <c r="I191" s="377"/>
      <c r="J191" s="391"/>
      <c r="K191" s="592"/>
      <c r="L191" s="592"/>
      <c r="M191" s="377"/>
      <c r="N191" t="s">
        <v>50</v>
      </c>
      <c r="O191" s="29">
        <v>100000</v>
      </c>
      <c r="P191" s="9">
        <f>_xll.BDP(N191&amp;" EQUITY",$H$1)</f>
        <v>62.74</v>
      </c>
      <c r="Q191" s="29">
        <f t="shared" si="28"/>
        <v>6274000</v>
      </c>
      <c r="R191" s="55"/>
    </row>
    <row r="192" spans="1:18" x14ac:dyDescent="0.25">
      <c r="A192" s="409" t="s">
        <v>315</v>
      </c>
      <c r="B192" s="378">
        <v>7.0991800000000001E-3</v>
      </c>
      <c r="C192" s="378">
        <v>0</v>
      </c>
      <c r="G192" s="9"/>
      <c r="J192" s="391"/>
      <c r="K192" s="368">
        <f>SUM(K185:K191)</f>
        <v>0.28133832999999997</v>
      </c>
      <c r="L192" s="368">
        <f>+K183</f>
        <v>0.27455017407272042</v>
      </c>
      <c r="N192" t="s">
        <v>30</v>
      </c>
      <c r="O192" s="29">
        <v>16000</v>
      </c>
      <c r="P192" s="9">
        <f>_xll.BDP(N192&amp;" EQUITY",$H$1)</f>
        <v>563.26</v>
      </c>
      <c r="Q192" s="29">
        <f t="shared" si="28"/>
        <v>9012160</v>
      </c>
      <c r="R192" s="55"/>
    </row>
    <row r="193" spans="1:18" x14ac:dyDescent="0.25">
      <c r="A193" s="56"/>
      <c r="B193" s="368">
        <f>SUM(B185:B192)</f>
        <v>6.709329E-2</v>
      </c>
      <c r="C193" s="368">
        <f>+B183</f>
        <v>4.7113142582557825E-2</v>
      </c>
      <c r="G193" s="9"/>
      <c r="J193" s="391"/>
      <c r="L193" s="594">
        <f>+L192-K192</f>
        <v>-6.7881559272795489E-3</v>
      </c>
      <c r="N193" t="s">
        <v>36</v>
      </c>
      <c r="O193" s="29">
        <v>18000</v>
      </c>
      <c r="P193" s="9">
        <f>_xll.BDP(N193&amp;" EQUITY",$H$1)</f>
        <v>487.91</v>
      </c>
      <c r="Q193" s="29">
        <f t="shared" si="28"/>
        <v>8782380</v>
      </c>
      <c r="R193" s="55"/>
    </row>
    <row r="194" spans="1:18" x14ac:dyDescent="0.25">
      <c r="A194" s="56"/>
      <c r="B194" s="368"/>
      <c r="C194" s="594">
        <f>+C193-B193</f>
        <v>-1.9980147417442175E-2</v>
      </c>
      <c r="G194" s="9"/>
      <c r="J194" s="391"/>
      <c r="N194" t="s">
        <v>209</v>
      </c>
      <c r="O194" s="29">
        <v>150000</v>
      </c>
      <c r="P194" s="9">
        <f>_xll.BDP(N194&amp;" EQUITY",$H$1)</f>
        <v>47.57</v>
      </c>
      <c r="Q194" s="29">
        <f t="shared" si="28"/>
        <v>7135500</v>
      </c>
      <c r="R194" s="55"/>
    </row>
    <row r="195" spans="1:18" x14ac:dyDescent="0.25">
      <c r="A195" s="56"/>
      <c r="B195" s="368"/>
      <c r="C195" s="368"/>
      <c r="G195" s="9"/>
      <c r="J195" s="391"/>
      <c r="N195" t="s">
        <v>531</v>
      </c>
      <c r="O195" s="29">
        <v>55000</v>
      </c>
      <c r="P195" s="9">
        <f>_xll.BDP(N195&amp;" EQUITY",$H$1)</f>
        <v>138.61000000000001</v>
      </c>
      <c r="Q195" s="29">
        <f t="shared" si="28"/>
        <v>7623550.0000000009</v>
      </c>
      <c r="R195" s="55"/>
    </row>
    <row r="196" spans="1:18" x14ac:dyDescent="0.25">
      <c r="A196" s="56"/>
      <c r="B196" s="368"/>
      <c r="C196" s="368"/>
      <c r="G196" s="9"/>
      <c r="J196" s="391"/>
      <c r="N196" t="s">
        <v>223</v>
      </c>
      <c r="O196" s="29">
        <v>4000</v>
      </c>
      <c r="P196" s="9">
        <f>_xll.BDP(N196&amp;" EQUITY",$H$1)</f>
        <v>1594.59</v>
      </c>
      <c r="Q196" s="29">
        <f t="shared" si="28"/>
        <v>6378360</v>
      </c>
      <c r="R196" s="55"/>
    </row>
    <row r="197" spans="1:18" x14ac:dyDescent="0.25">
      <c r="A197" s="404">
        <f>+A198-A120-A47</f>
        <v>0</v>
      </c>
      <c r="B197" s="368"/>
      <c r="C197" s="368"/>
      <c r="G197" s="9"/>
      <c r="J197" s="391"/>
      <c r="N197" t="s">
        <v>9</v>
      </c>
      <c r="O197" s="29">
        <v>4000</v>
      </c>
      <c r="P197" s="9">
        <f>_xll.BDP(N197&amp;" EQUITY",$H$1)</f>
        <v>1042.31</v>
      </c>
      <c r="Q197" s="29">
        <f t="shared" si="28"/>
        <v>4169240</v>
      </c>
      <c r="R197" s="55"/>
    </row>
    <row r="198" spans="1:18" ht="15.75" x14ac:dyDescent="0.25">
      <c r="A198" s="407">
        <f>SUM(H199:H208)</f>
        <v>56288525</v>
      </c>
      <c r="B198" s="381">
        <f>+A198/$A$148</f>
        <v>6.1683902576574842E-2</v>
      </c>
      <c r="G198" s="9"/>
      <c r="J198" s="391"/>
      <c r="N198" t="s">
        <v>481</v>
      </c>
      <c r="O198" s="29">
        <v>10000</v>
      </c>
      <c r="P198" s="9">
        <f>_xll.BDP(N198&amp;" EQUITY",$H$1)</f>
        <v>324.72500000000002</v>
      </c>
      <c r="Q198" s="29">
        <f t="shared" si="28"/>
        <v>3247250</v>
      </c>
      <c r="R198" s="55"/>
    </row>
    <row r="199" spans="1:18" ht="15.75" x14ac:dyDescent="0.25">
      <c r="A199" s="410" t="s">
        <v>189</v>
      </c>
      <c r="C199" s="368">
        <v>0</v>
      </c>
      <c r="D199" s="377"/>
      <c r="E199" s="377"/>
      <c r="F199" s="377"/>
      <c r="G199" s="9"/>
      <c r="H199" s="377"/>
      <c r="I199" s="377"/>
      <c r="J199" s="391"/>
      <c r="N199" t="s">
        <v>786</v>
      </c>
      <c r="O199" s="29">
        <v>17000</v>
      </c>
      <c r="P199" s="9">
        <f>_xll.BDP(N199&amp;" EQUITY",$H$1)</f>
        <v>123.955</v>
      </c>
      <c r="Q199" s="29">
        <f t="shared" si="28"/>
        <v>2107235</v>
      </c>
      <c r="R199" s="55"/>
    </row>
    <row r="200" spans="1:18" x14ac:dyDescent="0.25">
      <c r="A200" s="409" t="s">
        <v>318</v>
      </c>
      <c r="B200" s="368">
        <v>0</v>
      </c>
      <c r="C200" s="368">
        <v>0</v>
      </c>
      <c r="E200" s="377" t="s">
        <v>112</v>
      </c>
      <c r="F200" s="29">
        <v>180000</v>
      </c>
      <c r="G200" s="9">
        <f>_xll.BDP(E200&amp;" EQUITY",$H$1)</f>
        <v>91.265000000000001</v>
      </c>
      <c r="H200" s="29">
        <f>+G200*F200</f>
        <v>16427700</v>
      </c>
      <c r="J200" s="400">
        <f>+J201-J119-J52</f>
        <v>0</v>
      </c>
      <c r="N200" t="s">
        <v>486</v>
      </c>
      <c r="O200" s="29">
        <v>12000</v>
      </c>
      <c r="P200" s="9">
        <f>_xll.BDP(N200&amp;" EQUITY",$H$1)</f>
        <v>159.02500000000001</v>
      </c>
      <c r="Q200" s="29">
        <f t="shared" ref="Q200" si="29">+P200*O200</f>
        <v>1908300</v>
      </c>
      <c r="R200" s="55"/>
    </row>
    <row r="201" spans="1:18" ht="15.75" x14ac:dyDescent="0.25">
      <c r="A201" s="409" t="s">
        <v>320</v>
      </c>
      <c r="B201" s="368">
        <v>2.4470159999999998E-2</v>
      </c>
      <c r="C201" s="368">
        <v>0</v>
      </c>
      <c r="D201" s="377"/>
      <c r="E201" s="377" t="s">
        <v>7</v>
      </c>
      <c r="F201" s="29">
        <v>75000</v>
      </c>
      <c r="G201" s="9">
        <f>_xll.BDP(E201&amp;" EQUITY",$H$1)</f>
        <v>158.83500000000001</v>
      </c>
      <c r="H201" s="29">
        <f>+G201*F201</f>
        <v>11912625</v>
      </c>
      <c r="I201" s="377"/>
      <c r="J201" s="379">
        <f>SUM(Q203:Q209)</f>
        <v>9184800</v>
      </c>
      <c r="K201" s="381">
        <f>+J201/$A$148</f>
        <v>1.0065183061473446E-2</v>
      </c>
      <c r="N201" t="s">
        <v>482</v>
      </c>
      <c r="O201" s="101">
        <v>7000</v>
      </c>
      <c r="P201" s="9">
        <f>_xll.BDP(N201&amp;" EQUITY",$H$1)</f>
        <v>385.995</v>
      </c>
      <c r="Q201" s="29">
        <f t="shared" ref="Q201" si="30">+P201*O201</f>
        <v>2701965</v>
      </c>
      <c r="R201" s="55"/>
    </row>
    <row r="202" spans="1:18" ht="15.75" x14ac:dyDescent="0.25">
      <c r="A202" s="409" t="s">
        <v>322</v>
      </c>
      <c r="B202" s="368">
        <v>0</v>
      </c>
      <c r="C202" s="368">
        <v>0</v>
      </c>
      <c r="D202" s="377"/>
      <c r="E202" s="377" t="s">
        <v>8</v>
      </c>
      <c r="F202" s="29">
        <v>80000</v>
      </c>
      <c r="G202" s="9">
        <f>_xll.BDP(E202&amp;" EQUITY",$H$1)</f>
        <v>114.32</v>
      </c>
      <c r="H202" s="29">
        <f>+G202*F202</f>
        <v>9145600</v>
      </c>
      <c r="I202" s="377"/>
      <c r="J202" s="389" t="s">
        <v>191</v>
      </c>
      <c r="L202" s="368">
        <v>0</v>
      </c>
      <c r="M202" s="377"/>
      <c r="R202" s="55"/>
    </row>
    <row r="203" spans="1:18" x14ac:dyDescent="0.25">
      <c r="A203" s="409" t="s">
        <v>324</v>
      </c>
      <c r="B203" s="368">
        <v>4.397139999999999E-3</v>
      </c>
      <c r="C203" s="368">
        <v>0</v>
      </c>
      <c r="D203" s="377"/>
      <c r="E203" s="377" t="s">
        <v>204</v>
      </c>
      <c r="F203" s="29">
        <v>488000</v>
      </c>
      <c r="G203" s="9">
        <f>_xll.BDP(E203&amp;" EQUITY",$H$1)</f>
        <v>20.074999999999999</v>
      </c>
      <c r="H203" s="29">
        <f>+G203*F203</f>
        <v>9796600</v>
      </c>
      <c r="I203" s="377"/>
      <c r="J203" s="391" t="s">
        <v>316</v>
      </c>
      <c r="K203" s="368">
        <v>1.5055200000000002E-3</v>
      </c>
      <c r="L203" s="368">
        <v>0</v>
      </c>
      <c r="R203" s="55"/>
    </row>
    <row r="204" spans="1:18" x14ac:dyDescent="0.25">
      <c r="A204" s="409" t="s">
        <v>325</v>
      </c>
      <c r="B204" s="368">
        <v>1.33837E-2</v>
      </c>
      <c r="C204" s="368">
        <v>0</v>
      </c>
      <c r="D204" s="377"/>
      <c r="E204" s="377" t="s">
        <v>773</v>
      </c>
      <c r="F204" s="29">
        <v>190000</v>
      </c>
      <c r="G204" s="9">
        <f>_xll.BDP(E204&amp;" EQUITY",$H$1)</f>
        <v>47.4</v>
      </c>
      <c r="H204" s="29">
        <f>+G204*F204</f>
        <v>9006000</v>
      </c>
      <c r="I204" s="377"/>
      <c r="J204" s="391" t="s">
        <v>317</v>
      </c>
      <c r="K204" s="368">
        <v>1.0093379999999999E-2</v>
      </c>
      <c r="L204" s="368">
        <v>0</v>
      </c>
      <c r="N204" t="s">
        <v>201</v>
      </c>
      <c r="O204" s="29">
        <v>172000</v>
      </c>
      <c r="P204" s="9">
        <f>_xll.BDP(N204&amp;" EQUITY",$H$1)</f>
        <v>53.4</v>
      </c>
      <c r="Q204" s="29">
        <f t="shared" ref="Q204" si="31">+P204*O204</f>
        <v>9184800</v>
      </c>
      <c r="R204" s="55"/>
    </row>
    <row r="205" spans="1:18" x14ac:dyDescent="0.25">
      <c r="A205" s="409" t="s">
        <v>326</v>
      </c>
      <c r="B205" s="395">
        <v>4.7412199999999991E-3</v>
      </c>
      <c r="C205" s="395">
        <v>0</v>
      </c>
      <c r="G205" s="9"/>
      <c r="J205" s="391" t="s">
        <v>319</v>
      </c>
      <c r="K205" s="368">
        <v>3.9507599999999993E-3</v>
      </c>
      <c r="L205" s="368">
        <v>0</v>
      </c>
      <c r="O205" s="29"/>
      <c r="P205" s="9"/>
      <c r="Q205" s="29"/>
      <c r="R205" s="55"/>
    </row>
    <row r="206" spans="1:18" x14ac:dyDescent="0.25">
      <c r="A206" s="409" t="s">
        <v>327</v>
      </c>
      <c r="B206" s="378">
        <v>3.6077799999999997E-3</v>
      </c>
      <c r="C206" s="378">
        <v>0</v>
      </c>
      <c r="G206" s="9"/>
      <c r="J206" s="392" t="s">
        <v>321</v>
      </c>
      <c r="K206" s="368">
        <v>1.8253200000000001E-3</v>
      </c>
      <c r="L206" s="368">
        <v>0</v>
      </c>
      <c r="O206" s="29"/>
      <c r="P206" s="9"/>
      <c r="Q206" s="29"/>
      <c r="R206" s="55"/>
    </row>
    <row r="207" spans="1:18" x14ac:dyDescent="0.25">
      <c r="A207" s="56"/>
      <c r="B207" s="368">
        <f>SUM(B200:B206)</f>
        <v>5.0599999999999992E-2</v>
      </c>
      <c r="C207" s="368">
        <f>+B198</f>
        <v>6.1683902576574842E-2</v>
      </c>
      <c r="G207" s="9"/>
      <c r="J207" s="391" t="s">
        <v>323</v>
      </c>
      <c r="K207" s="378">
        <v>7.2250200000000004E-3</v>
      </c>
      <c r="L207" s="378">
        <v>0</v>
      </c>
      <c r="O207" s="29"/>
      <c r="P207" s="9"/>
      <c r="Q207" s="29"/>
      <c r="R207" s="55"/>
    </row>
    <row r="208" spans="1:18" x14ac:dyDescent="0.25">
      <c r="A208" s="404">
        <f>+A209-A131-A58</f>
        <v>0</v>
      </c>
      <c r="B208" s="368"/>
      <c r="C208" s="594">
        <f>+C207-B207</f>
        <v>1.108390257657485E-2</v>
      </c>
      <c r="G208" s="9"/>
      <c r="J208" s="391"/>
      <c r="K208" s="368">
        <f>SUM(K203:K207)</f>
        <v>2.4599999999999997E-2</v>
      </c>
      <c r="L208" s="390">
        <f>+K201</f>
        <v>1.0065183061473446E-2</v>
      </c>
      <c r="O208" s="29"/>
      <c r="P208" s="9"/>
      <c r="Q208" s="29"/>
      <c r="R208" s="55"/>
    </row>
    <row r="209" spans="1:18" ht="15.75" x14ac:dyDescent="0.25">
      <c r="A209" s="407">
        <f>SUM(H210:H227)</f>
        <v>133096675.59999999</v>
      </c>
      <c r="B209" s="381">
        <f>+A209/$A$148</f>
        <v>0.14585428150722346</v>
      </c>
      <c r="G209" s="9"/>
      <c r="J209" s="400">
        <f>+J210-J128-J61</f>
        <v>0</v>
      </c>
      <c r="L209" s="594">
        <f>+L208-K208</f>
        <v>-1.4534816938526551E-2</v>
      </c>
      <c r="O209" s="29"/>
      <c r="P209" s="9"/>
      <c r="Q209" s="29"/>
      <c r="R209" s="55"/>
    </row>
    <row r="210" spans="1:18" ht="15.75" x14ac:dyDescent="0.25">
      <c r="A210" s="410" t="s">
        <v>331</v>
      </c>
      <c r="G210" s="9"/>
      <c r="J210" s="379">
        <f>SUM(Q212:Q220)</f>
        <v>28103290</v>
      </c>
      <c r="K210" s="381">
        <f>+J210/$A$148</f>
        <v>3.0797051485027011E-2</v>
      </c>
      <c r="O210" s="29"/>
      <c r="P210" s="9"/>
      <c r="Q210" s="29"/>
      <c r="R210" s="55"/>
    </row>
    <row r="211" spans="1:18" ht="15.75" x14ac:dyDescent="0.25">
      <c r="A211" s="409" t="s">
        <v>332</v>
      </c>
      <c r="B211" s="368">
        <v>8.36808E-3</v>
      </c>
      <c r="C211" s="368">
        <v>0</v>
      </c>
      <c r="D211" s="377"/>
      <c r="E211" s="377" t="s">
        <v>15</v>
      </c>
      <c r="F211" s="29">
        <v>110000</v>
      </c>
      <c r="G211" s="9">
        <f>_xll.BDP(E211&amp;" EQUITY",$H$1)</f>
        <v>198.995</v>
      </c>
      <c r="H211" s="29">
        <f t="shared" ref="H211:H213" si="32">+G211*F211</f>
        <v>21889450</v>
      </c>
      <c r="I211" s="377"/>
      <c r="J211" s="389" t="s">
        <v>328</v>
      </c>
      <c r="O211" s="29"/>
      <c r="P211" s="9"/>
      <c r="Q211" s="29"/>
      <c r="R211" s="55"/>
    </row>
    <row r="212" spans="1:18" x14ac:dyDescent="0.25">
      <c r="A212" s="409" t="s">
        <v>333</v>
      </c>
      <c r="B212" s="368">
        <v>1.7685480000000003E-2</v>
      </c>
      <c r="C212" s="368">
        <v>0</v>
      </c>
      <c r="D212" s="377"/>
      <c r="E212" t="s">
        <v>17</v>
      </c>
      <c r="F212" s="29">
        <v>31500</v>
      </c>
      <c r="G212" s="9">
        <f>_xll.BDP(E212&amp;" EQUITY",$H$1)</f>
        <v>456.26</v>
      </c>
      <c r="H212" s="29">
        <f t="shared" si="32"/>
        <v>14372190</v>
      </c>
      <c r="I212" s="377"/>
      <c r="J212" s="392" t="s">
        <v>329</v>
      </c>
      <c r="K212" s="163">
        <v>0</v>
      </c>
      <c r="L212" s="396">
        <v>0</v>
      </c>
      <c r="N212" t="s">
        <v>40</v>
      </c>
      <c r="O212" s="29">
        <v>60600</v>
      </c>
      <c r="P212" s="9">
        <f>_xll.BDP(N212&amp;" EQUITY",$H$1)</f>
        <v>193.52500000000001</v>
      </c>
      <c r="Q212" s="29">
        <f>+P212*O212</f>
        <v>11727615</v>
      </c>
      <c r="R212" s="55"/>
    </row>
    <row r="213" spans="1:18" x14ac:dyDescent="0.25">
      <c r="A213" s="409" t="s">
        <v>334</v>
      </c>
      <c r="B213" s="368">
        <v>2.9464080000000004E-2</v>
      </c>
      <c r="C213" s="368">
        <v>0</v>
      </c>
      <c r="D213" s="377"/>
      <c r="E213" t="s">
        <v>31</v>
      </c>
      <c r="F213" s="29">
        <v>52500</v>
      </c>
      <c r="G213" s="9">
        <f>_xll.BDP(E213&amp;" EQUITY",$H$1)</f>
        <v>275.2</v>
      </c>
      <c r="H213" s="29">
        <f t="shared" si="32"/>
        <v>14448000</v>
      </c>
      <c r="I213" s="377"/>
      <c r="J213" s="392" t="s">
        <v>330</v>
      </c>
      <c r="K213" s="397">
        <v>2.4399999999999995E-2</v>
      </c>
      <c r="L213" s="378">
        <v>0</v>
      </c>
      <c r="M213" s="377"/>
      <c r="N213" t="s">
        <v>214</v>
      </c>
      <c r="O213" s="29">
        <v>90000</v>
      </c>
      <c r="P213" s="9">
        <f>_xll.BDP(N213&amp;" EQUITY",$H$1)</f>
        <v>53.024999999999999</v>
      </c>
      <c r="Q213" s="29">
        <f>+P213*O213</f>
        <v>4772250</v>
      </c>
      <c r="R213" s="55"/>
    </row>
    <row r="214" spans="1:18" x14ac:dyDescent="0.25">
      <c r="A214" s="409" t="s">
        <v>336</v>
      </c>
      <c r="B214" s="395">
        <v>2.3873640000000002E-2</v>
      </c>
      <c r="C214" s="395">
        <v>0</v>
      </c>
      <c r="E214" s="377" t="s">
        <v>14</v>
      </c>
      <c r="F214" s="29">
        <v>95000</v>
      </c>
      <c r="G214" s="9">
        <f>_xll.BDP(E214&amp;" EQUITY",$H$1)</f>
        <v>124.17</v>
      </c>
      <c r="H214" s="29">
        <f t="shared" ref="H214:H225" si="33">+G214*F214</f>
        <v>11796150</v>
      </c>
      <c r="K214" s="390">
        <f>SUM(K212:K213)</f>
        <v>2.4399999999999995E-2</v>
      </c>
      <c r="L214" s="390">
        <f>+K210</f>
        <v>3.0797051485027011E-2</v>
      </c>
      <c r="N214" t="s">
        <v>356</v>
      </c>
      <c r="O214" s="29">
        <v>100000</v>
      </c>
      <c r="P214" s="9">
        <f>_xll.BDP(N214&amp;" EQUITY",$H$1)</f>
        <v>40.659999999999997</v>
      </c>
      <c r="Q214" s="29">
        <f>+P214*O214</f>
        <v>4065999.9999999995</v>
      </c>
      <c r="R214" s="55"/>
    </row>
    <row r="215" spans="1:18" x14ac:dyDescent="0.25">
      <c r="A215" s="409" t="s">
        <v>337</v>
      </c>
      <c r="B215" s="368">
        <v>1.1497320000000002E-2</v>
      </c>
      <c r="C215" s="368">
        <v>0</v>
      </c>
      <c r="D215" s="377"/>
      <c r="E215" s="377" t="s">
        <v>47</v>
      </c>
      <c r="F215" s="29">
        <v>200000</v>
      </c>
      <c r="G215" s="9">
        <f>_xll.BDP(E215&amp;" EQUITY",$H$1)</f>
        <v>41.354999999999997</v>
      </c>
      <c r="H215" s="29">
        <f t="shared" si="33"/>
        <v>8270999.9999999991</v>
      </c>
      <c r="I215" s="377"/>
      <c r="L215" s="594">
        <f>+L214-K214</f>
        <v>6.3970514850270159E-3</v>
      </c>
      <c r="N215" t="s">
        <v>392</v>
      </c>
      <c r="O215" s="29">
        <v>35000</v>
      </c>
      <c r="P215" s="9">
        <f>_xll.BDP(N215&amp;" EQUITY",$H$1)</f>
        <v>109.86</v>
      </c>
      <c r="Q215" s="29">
        <f>+P215*O215</f>
        <v>3845100</v>
      </c>
      <c r="R215" s="55"/>
    </row>
    <row r="216" spans="1:18" x14ac:dyDescent="0.25">
      <c r="A216" s="409" t="s">
        <v>338</v>
      </c>
      <c r="B216" s="368">
        <v>1.6454880000000002E-2</v>
      </c>
      <c r="C216" s="368">
        <v>0</v>
      </c>
      <c r="D216" s="377"/>
      <c r="E216" s="377" t="s">
        <v>203</v>
      </c>
      <c r="F216" s="29">
        <v>189000</v>
      </c>
      <c r="G216" s="9">
        <f>_xll.BDP(E216&amp;" EQUITY",$H$1)</f>
        <v>39.862900000000003</v>
      </c>
      <c r="H216" s="29">
        <f t="shared" si="33"/>
        <v>7534088.1000000006</v>
      </c>
      <c r="I216" s="377"/>
      <c r="N216" t="s">
        <v>545</v>
      </c>
      <c r="O216" s="29">
        <v>5000</v>
      </c>
      <c r="P216" s="9">
        <f>_xll.BDP(N216&amp;" EQUITY",$H$1)</f>
        <v>738.46500000000003</v>
      </c>
      <c r="Q216" s="29">
        <f>+P216*O216</f>
        <v>3692325</v>
      </c>
      <c r="R216" s="55"/>
    </row>
    <row r="217" spans="1:18" x14ac:dyDescent="0.25">
      <c r="A217" s="409" t="s">
        <v>339</v>
      </c>
      <c r="B217" s="378">
        <v>9.8682400000000003E-3</v>
      </c>
      <c r="C217" s="378">
        <v>0</v>
      </c>
      <c r="E217" s="377" t="s">
        <v>212</v>
      </c>
      <c r="F217" s="29">
        <v>135000</v>
      </c>
      <c r="G217" s="9">
        <f>_xll.BDP(E217&amp;" EQUITY",$H$1)</f>
        <v>58.81</v>
      </c>
      <c r="H217" s="29">
        <f t="shared" si="33"/>
        <v>7939350</v>
      </c>
      <c r="O217" s="29"/>
      <c r="P217" s="9"/>
      <c r="Q217" s="29"/>
      <c r="R217" s="55"/>
    </row>
    <row r="218" spans="1:18" x14ac:dyDescent="0.25">
      <c r="A218" s="56"/>
      <c r="B218" s="368">
        <f>SUM(B211:B217)</f>
        <v>0.11721172000000002</v>
      </c>
      <c r="C218" s="368">
        <f>+B209</f>
        <v>0.14585428150722346</v>
      </c>
      <c r="E218" s="377" t="s">
        <v>215</v>
      </c>
      <c r="F218" s="29">
        <v>83000</v>
      </c>
      <c r="G218" s="9">
        <f>_xll.BDP(E218&amp;" EQUITY",$H$1)</f>
        <v>97.41</v>
      </c>
      <c r="H218" s="29">
        <f t="shared" si="33"/>
        <v>8085030</v>
      </c>
      <c r="O218" s="29"/>
      <c r="P218" s="9"/>
      <c r="Q218" s="29"/>
      <c r="R218" s="55"/>
    </row>
    <row r="219" spans="1:18" x14ac:dyDescent="0.25">
      <c r="A219" s="56"/>
      <c r="B219" s="368"/>
      <c r="C219" s="594">
        <f>+C218-B218</f>
        <v>2.8642561507223441E-2</v>
      </c>
      <c r="E219" s="377" t="s">
        <v>46</v>
      </c>
      <c r="F219" s="29">
        <v>150000</v>
      </c>
      <c r="G219" s="9">
        <f>_xll.BDP(E219&amp;" EQUITY",$H$1)</f>
        <v>44.945</v>
      </c>
      <c r="H219" s="29">
        <f t="shared" si="33"/>
        <v>6741750</v>
      </c>
      <c r="J219" s="60">
        <f>+J220-J135-J67</f>
        <v>0</v>
      </c>
      <c r="O219" s="29"/>
      <c r="P219" s="9"/>
      <c r="Q219" s="29"/>
      <c r="R219" s="55"/>
    </row>
    <row r="220" spans="1:18" ht="15.75" x14ac:dyDescent="0.25">
      <c r="A220" s="56"/>
      <c r="B220" s="368"/>
      <c r="C220" s="368"/>
      <c r="E220" s="377" t="s">
        <v>377</v>
      </c>
      <c r="F220" s="29">
        <v>350000</v>
      </c>
      <c r="G220" s="9">
        <f>_xll.BDP(E220&amp;" EQUITY",$H$1)</f>
        <v>17.524999999999999</v>
      </c>
      <c r="H220" s="29">
        <f t="shared" si="33"/>
        <v>6133749.9999999991</v>
      </c>
      <c r="J220" s="379">
        <f>SUM(Q222:Q226)</f>
        <v>25403899.609999999</v>
      </c>
      <c r="K220" s="381">
        <f>+J220/$A$148</f>
        <v>2.7838918653639043E-2</v>
      </c>
      <c r="O220" s="29"/>
      <c r="R220" s="55"/>
    </row>
    <row r="221" spans="1:18" ht="15.75" x14ac:dyDescent="0.25">
      <c r="A221" s="56"/>
      <c r="B221" s="368"/>
      <c r="C221" s="368"/>
      <c r="E221" s="377" t="s">
        <v>220</v>
      </c>
      <c r="F221" s="29">
        <v>97000</v>
      </c>
      <c r="G221" s="9">
        <f>_xll.BDP(E221&amp;" EQUITY",$H$1)</f>
        <v>61.44</v>
      </c>
      <c r="H221" s="29">
        <f t="shared" si="33"/>
        <v>5959680</v>
      </c>
      <c r="J221" s="389" t="s">
        <v>335</v>
      </c>
      <c r="O221" s="29"/>
      <c r="R221" s="55"/>
    </row>
    <row r="222" spans="1:18" x14ac:dyDescent="0.25">
      <c r="A222" s="56"/>
      <c r="B222" s="368"/>
      <c r="C222" s="368"/>
      <c r="E222" s="377" t="s">
        <v>149</v>
      </c>
      <c r="F222" s="29">
        <v>80000</v>
      </c>
      <c r="G222" s="9">
        <f>_xll.BDP(E222&amp;" EQUITY",$H$1)</f>
        <v>73.52</v>
      </c>
      <c r="H222" s="29">
        <f t="shared" si="33"/>
        <v>5881600</v>
      </c>
      <c r="J222" s="391"/>
      <c r="K222" s="368">
        <v>2.4297569999999998E-2</v>
      </c>
      <c r="L222" s="368">
        <f>+K220</f>
        <v>2.7838918653639043E-2</v>
      </c>
      <c r="N222" t="s">
        <v>208</v>
      </c>
      <c r="O222" s="29">
        <v>76000</v>
      </c>
      <c r="P222" s="9">
        <f>_xll.BDP(N222&amp;" EQUITY",$H$1)</f>
        <v>100.52</v>
      </c>
      <c r="Q222" s="29">
        <f t="shared" ref="Q222:Q225" si="34">+P222*O222</f>
        <v>7639520</v>
      </c>
      <c r="R222" s="55"/>
    </row>
    <row r="223" spans="1:18" x14ac:dyDescent="0.25">
      <c r="A223" s="56"/>
      <c r="B223" s="368"/>
      <c r="C223" s="368"/>
      <c r="E223" s="377" t="s">
        <v>378</v>
      </c>
      <c r="F223" s="29">
        <v>50000</v>
      </c>
      <c r="G223" s="9">
        <f>_xll.BDP(E223&amp;" EQUITY",$H$1)</f>
        <v>133.625</v>
      </c>
      <c r="H223" s="29">
        <f t="shared" si="33"/>
        <v>6681250</v>
      </c>
      <c r="L223" s="594">
        <f>+L222-K222</f>
        <v>3.5413486536390454E-3</v>
      </c>
      <c r="N223" t="s">
        <v>207</v>
      </c>
      <c r="O223" s="29">
        <v>88800</v>
      </c>
      <c r="P223" s="9">
        <f>_xll.BDP(N223&amp;" EQUITY",$H$1)</f>
        <v>87.27</v>
      </c>
      <c r="Q223" s="29">
        <f t="shared" si="34"/>
        <v>7749576</v>
      </c>
      <c r="R223" s="55"/>
    </row>
    <row r="224" spans="1:18" x14ac:dyDescent="0.25">
      <c r="A224" s="56"/>
      <c r="B224" s="368"/>
      <c r="C224" s="368"/>
      <c r="E224" s="377" t="s">
        <v>222</v>
      </c>
      <c r="F224" s="29">
        <v>6500</v>
      </c>
      <c r="G224" s="9">
        <f>_xll.BDP(E224&amp;" EQUITY",$H$1)</f>
        <v>791.07500000000005</v>
      </c>
      <c r="H224" s="29">
        <f t="shared" si="33"/>
        <v>5141987.5</v>
      </c>
      <c r="N224" t="s">
        <v>219</v>
      </c>
      <c r="O224" s="29">
        <v>75300</v>
      </c>
      <c r="P224" s="9">
        <f>_xll.BDP(N224&amp;" EQUITY",$H$1)</f>
        <v>78.373699999999999</v>
      </c>
      <c r="Q224" s="29">
        <f t="shared" si="34"/>
        <v>5901539.6100000003</v>
      </c>
      <c r="R224" s="55"/>
    </row>
    <row r="225" spans="1:18" x14ac:dyDescent="0.25">
      <c r="A225" s="56"/>
      <c r="B225" s="368"/>
      <c r="C225" s="368"/>
      <c r="E225" s="377" t="s">
        <v>95</v>
      </c>
      <c r="F225" s="29">
        <v>5000</v>
      </c>
      <c r="G225" s="9">
        <f>_xll.BDP(E225&amp;" EQUITY",$H$1)</f>
        <v>444.28</v>
      </c>
      <c r="H225" s="29">
        <f t="shared" si="33"/>
        <v>2221400</v>
      </c>
      <c r="N225" t="s">
        <v>226</v>
      </c>
      <c r="O225" s="29">
        <v>107200</v>
      </c>
      <c r="P225" s="9">
        <f>_xll.BDP(N225&amp;" EQUITY",$H$1)</f>
        <v>38.369999999999997</v>
      </c>
      <c r="Q225" s="29">
        <f t="shared" si="34"/>
        <v>4113263.9999999995</v>
      </c>
      <c r="R225" s="55"/>
    </row>
    <row r="226" spans="1:18" x14ac:dyDescent="0.25">
      <c r="A226" s="56"/>
      <c r="B226" s="368"/>
      <c r="C226" s="368"/>
      <c r="G226" s="9"/>
      <c r="O226" s="29"/>
      <c r="P226" s="9"/>
      <c r="Q226" s="29"/>
      <c r="R226" s="55"/>
    </row>
    <row r="227" spans="1:18" x14ac:dyDescent="0.25">
      <c r="A227" s="56"/>
      <c r="G227" s="9"/>
      <c r="O227" s="29"/>
      <c r="R227" s="55"/>
    </row>
    <row r="228" spans="1:18" ht="15.75" x14ac:dyDescent="0.25">
      <c r="A228" s="56"/>
      <c r="G228" s="9"/>
      <c r="J228" s="391"/>
      <c r="K228" s="398">
        <f>B180+B193+B207+B218+K161+K179+K192+K208+K222+K214+B162</f>
        <v>0.99866568999999983</v>
      </c>
      <c r="L228" s="390">
        <f>L222+L208+L192+L179+C180+C193+C207+C218+L161+L214+C162</f>
        <v>1</v>
      </c>
      <c r="Q228" s="380">
        <f>SUM(Q152:Q227)</f>
        <v>523470956.11000001</v>
      </c>
      <c r="R228" s="55"/>
    </row>
    <row r="229" spans="1:18" ht="15.75" x14ac:dyDescent="0.25">
      <c r="A229" s="56"/>
      <c r="G229" s="9"/>
      <c r="H229" s="380">
        <f>SUM(H152:H228)</f>
        <v>389060882</v>
      </c>
      <c r="J229" s="391"/>
      <c r="R229" s="55"/>
    </row>
    <row r="230" spans="1:18" ht="15.75" x14ac:dyDescent="0.25">
      <c r="A230" s="56"/>
      <c r="G230" s="9"/>
      <c r="H230" s="383"/>
      <c r="J230" s="391"/>
      <c r="R230" s="55"/>
    </row>
    <row r="231" spans="1:18" ht="15.75" x14ac:dyDescent="0.25">
      <c r="A231" s="56"/>
      <c r="G231" s="9"/>
      <c r="H231" s="383"/>
      <c r="J231" s="391"/>
      <c r="Q231" s="162">
        <f>+Q228+H229</f>
        <v>912531838.11000001</v>
      </c>
      <c r="R231" s="55"/>
    </row>
    <row r="232" spans="1:18" x14ac:dyDescent="0.25">
      <c r="A232" s="56"/>
      <c r="Q232" s="99">
        <f>+A148-Q231</f>
        <v>0</v>
      </c>
      <c r="R232" s="55"/>
    </row>
    <row r="233" spans="1:18" ht="15.75" thickBot="1" x14ac:dyDescent="0.3">
      <c r="A233" s="56"/>
      <c r="B233" s="58"/>
      <c r="C233" s="58"/>
      <c r="D233" s="58"/>
      <c r="E233" s="414"/>
      <c r="F233" s="257"/>
      <c r="G233" s="258"/>
      <c r="H233" s="257"/>
      <c r="I233" s="58"/>
      <c r="J233" s="58"/>
      <c r="K233" s="58"/>
      <c r="L233" s="58"/>
      <c r="M233" s="58"/>
      <c r="N233" s="58"/>
      <c r="O233" s="58"/>
      <c r="P233" s="58"/>
      <c r="Q233" s="58"/>
      <c r="R233" s="59"/>
    </row>
    <row r="234" spans="1:18" ht="15.75" x14ac:dyDescent="0.25">
      <c r="A234" s="609" t="s">
        <v>421</v>
      </c>
      <c r="B234" s="793">
        <v>45443</v>
      </c>
      <c r="E234" s="377"/>
      <c r="F234" s="4"/>
      <c r="G234" s="9"/>
      <c r="H234" s="4"/>
    </row>
    <row r="235" spans="1:18" ht="15.75" x14ac:dyDescent="0.25">
      <c r="B235" s="608" t="s">
        <v>114</v>
      </c>
      <c r="C235" s="608" t="s">
        <v>420</v>
      </c>
      <c r="E235" s="377"/>
      <c r="F235" s="4"/>
      <c r="G235" s="9"/>
      <c r="H235" s="4"/>
    </row>
    <row r="236" spans="1:18" x14ac:dyDescent="0.25">
      <c r="A236" s="595" t="s">
        <v>300</v>
      </c>
      <c r="B236" s="330">
        <v>0.30580000000000002</v>
      </c>
      <c r="C236" s="330">
        <f>+K183</f>
        <v>0.27455017407272042</v>
      </c>
      <c r="D236" s="596">
        <f t="shared" ref="D236:D246" si="35">+C236-B236</f>
        <v>-3.1249825927279595E-2</v>
      </c>
      <c r="H236" s="4"/>
    </row>
    <row r="237" spans="1:18" x14ac:dyDescent="0.25">
      <c r="A237" s="595" t="s">
        <v>258</v>
      </c>
      <c r="B237" s="330">
        <v>0.1198</v>
      </c>
      <c r="C237" s="330">
        <f>+K151</f>
        <v>0.15609237185084368</v>
      </c>
      <c r="D237" s="594">
        <f t="shared" si="35"/>
        <v>3.6292371850843677E-2</v>
      </c>
      <c r="H237" s="4"/>
    </row>
    <row r="238" spans="1:18" x14ac:dyDescent="0.25">
      <c r="A238" s="595" t="s">
        <v>331</v>
      </c>
      <c r="B238" s="330">
        <v>0.129</v>
      </c>
      <c r="C238" s="330">
        <f>+B209</f>
        <v>0.14585428150722346</v>
      </c>
      <c r="D238" s="594">
        <f t="shared" si="35"/>
        <v>1.6854281507223456E-2</v>
      </c>
      <c r="H238" s="4"/>
    </row>
    <row r="239" spans="1:18" x14ac:dyDescent="0.25">
      <c r="A239" s="595" t="s">
        <v>276</v>
      </c>
      <c r="B239" s="330">
        <v>9.8500000000000004E-2</v>
      </c>
      <c r="C239" s="330">
        <f>+B166</f>
        <v>8.927781869916461E-2</v>
      </c>
      <c r="D239" s="596">
        <f t="shared" si="35"/>
        <v>-9.2221813008353942E-3</v>
      </c>
      <c r="H239" s="4"/>
    </row>
    <row r="240" spans="1:18" x14ac:dyDescent="0.25">
      <c r="A240" s="595" t="s">
        <v>255</v>
      </c>
      <c r="B240" s="689">
        <v>9.2799999999999994E-2</v>
      </c>
      <c r="C240" s="689">
        <f>+B151</f>
        <v>8.2424068573630813E-2</v>
      </c>
      <c r="D240" s="596">
        <f t="shared" si="35"/>
        <v>-1.0375931426369181E-2</v>
      </c>
      <c r="H240" s="4"/>
    </row>
    <row r="241" spans="1:8" x14ac:dyDescent="0.25">
      <c r="A241" s="595" t="s">
        <v>275</v>
      </c>
      <c r="B241" s="330">
        <v>8.5400000000000004E-2</v>
      </c>
      <c r="C241" s="330">
        <f>+K166</f>
        <v>7.4303086937144949E-2</v>
      </c>
      <c r="D241" s="596">
        <f t="shared" si="35"/>
        <v>-1.1096913062855054E-2</v>
      </c>
      <c r="H241" s="4"/>
    </row>
    <row r="242" spans="1:8" x14ac:dyDescent="0.25">
      <c r="A242" s="595" t="s">
        <v>302</v>
      </c>
      <c r="B242" s="330">
        <v>6.0199999999999997E-2</v>
      </c>
      <c r="C242" s="330">
        <f>+B183</f>
        <v>4.7113142582557825E-2</v>
      </c>
      <c r="D242" s="596">
        <f t="shared" si="35"/>
        <v>-1.3086857417442171E-2</v>
      </c>
      <c r="H242" s="4"/>
    </row>
    <row r="243" spans="1:8" x14ac:dyDescent="0.25">
      <c r="A243" s="595" t="s">
        <v>189</v>
      </c>
      <c r="B243" s="330">
        <v>3.8600000000000002E-2</v>
      </c>
      <c r="C243" s="330">
        <f>+B198</f>
        <v>6.1683902576574842E-2</v>
      </c>
      <c r="D243" s="594">
        <f t="shared" si="35"/>
        <v>2.308390257657484E-2</v>
      </c>
      <c r="H243" s="4"/>
    </row>
    <row r="244" spans="1:8" x14ac:dyDescent="0.25">
      <c r="A244" s="595" t="s">
        <v>191</v>
      </c>
      <c r="B244" s="330">
        <v>2.3199999999999998E-2</v>
      </c>
      <c r="C244" s="330">
        <f>+K201</f>
        <v>1.0065183061473446E-2</v>
      </c>
      <c r="D244" s="596">
        <f t="shared" si="35"/>
        <v>-1.3134816938526552E-2</v>
      </c>
      <c r="H244" s="4"/>
    </row>
    <row r="245" spans="1:8" x14ac:dyDescent="0.25">
      <c r="A245" s="595" t="s">
        <v>328</v>
      </c>
      <c r="B245" s="330">
        <v>2.18E-2</v>
      </c>
      <c r="C245" s="330">
        <f>+K210</f>
        <v>3.0797051485027011E-2</v>
      </c>
      <c r="D245" s="594">
        <f t="shared" si="35"/>
        <v>8.9970514850270106E-3</v>
      </c>
      <c r="H245" s="4"/>
    </row>
    <row r="246" spans="1:8" x14ac:dyDescent="0.25">
      <c r="A246" s="595" t="s">
        <v>335</v>
      </c>
      <c r="B246" s="330">
        <v>2.4799999999999999E-2</v>
      </c>
      <c r="C246" s="330">
        <f>+K220</f>
        <v>2.7838918653639043E-2</v>
      </c>
      <c r="D246" s="594">
        <f t="shared" si="35"/>
        <v>3.0389186536390438E-3</v>
      </c>
      <c r="H246" s="4"/>
    </row>
    <row r="247" spans="1:8" x14ac:dyDescent="0.25">
      <c r="B247" s="96"/>
      <c r="C247" s="96"/>
      <c r="H247" s="4"/>
    </row>
    <row r="248" spans="1:8" ht="15.75" x14ac:dyDescent="0.25">
      <c r="B248" s="608" t="s">
        <v>114</v>
      </c>
      <c r="C248" s="608" t="s">
        <v>363</v>
      </c>
      <c r="H248" s="4"/>
    </row>
    <row r="249" spans="1:8" x14ac:dyDescent="0.25">
      <c r="A249" s="595" t="s">
        <v>300</v>
      </c>
      <c r="B249" s="330">
        <f>+B236</f>
        <v>0.30580000000000002</v>
      </c>
      <c r="C249" s="330">
        <f>+K35</f>
        <v>0.36816197894412228</v>
      </c>
      <c r="D249" s="594">
        <f t="shared" ref="D249:D259" si="36">+C249-B249</f>
        <v>6.2361978944122265E-2</v>
      </c>
      <c r="H249" s="4"/>
    </row>
    <row r="250" spans="1:8" x14ac:dyDescent="0.25">
      <c r="A250" s="595" t="s">
        <v>258</v>
      </c>
      <c r="B250" s="330">
        <f>+B237</f>
        <v>0.1198</v>
      </c>
      <c r="C250" s="330">
        <f>+K6</f>
        <v>0.17594456859813123</v>
      </c>
      <c r="D250" s="594">
        <f t="shared" si="36"/>
        <v>5.6144568598131231E-2</v>
      </c>
      <c r="H250" s="4"/>
    </row>
    <row r="251" spans="1:8" x14ac:dyDescent="0.25">
      <c r="A251" s="595" t="s">
        <v>331</v>
      </c>
      <c r="B251" s="330">
        <f t="shared" ref="B251:B259" si="37">+B238</f>
        <v>0.129</v>
      </c>
      <c r="C251" s="330">
        <f>+B58</f>
        <v>0.10228378208643688</v>
      </c>
      <c r="D251" s="596">
        <f t="shared" si="36"/>
        <v>-2.6716217913563128E-2</v>
      </c>
      <c r="H251" s="4"/>
    </row>
    <row r="252" spans="1:8" x14ac:dyDescent="0.25">
      <c r="A252" s="595" t="s">
        <v>276</v>
      </c>
      <c r="B252" s="330">
        <f t="shared" si="37"/>
        <v>9.8500000000000004E-2</v>
      </c>
      <c r="C252" s="330">
        <f>+B19</f>
        <v>0.10021740930280454</v>
      </c>
      <c r="D252" s="594">
        <f t="shared" si="36"/>
        <v>1.7174093028045345E-3</v>
      </c>
      <c r="E252" s="377"/>
      <c r="F252" s="4"/>
      <c r="G252" s="9"/>
      <c r="H252" s="4"/>
    </row>
    <row r="253" spans="1:8" x14ac:dyDescent="0.25">
      <c r="A253" s="595" t="s">
        <v>255</v>
      </c>
      <c r="B253" s="330">
        <f t="shared" si="37"/>
        <v>9.2799999999999994E-2</v>
      </c>
      <c r="C253" s="689">
        <f>+B6</f>
        <v>8.6344967063290867E-2</v>
      </c>
      <c r="D253" s="596">
        <f t="shared" si="36"/>
        <v>-6.4550329367091264E-3</v>
      </c>
      <c r="E253" s="377"/>
      <c r="F253" s="4"/>
      <c r="G253" s="9"/>
      <c r="H253" s="4"/>
    </row>
    <row r="254" spans="1:8" x14ac:dyDescent="0.25">
      <c r="A254" s="595" t="s">
        <v>275</v>
      </c>
      <c r="B254" s="330">
        <f t="shared" si="37"/>
        <v>8.5400000000000004E-2</v>
      </c>
      <c r="C254" s="330">
        <f>+K19</f>
        <v>7.1676436275776717E-2</v>
      </c>
      <c r="D254" s="596">
        <f t="shared" si="36"/>
        <v>-1.3723563724223287E-2</v>
      </c>
      <c r="E254" s="377"/>
      <c r="F254" s="4"/>
      <c r="G254" s="9"/>
      <c r="H254" s="4"/>
    </row>
    <row r="255" spans="1:8" x14ac:dyDescent="0.25">
      <c r="A255" s="595" t="s">
        <v>302</v>
      </c>
      <c r="B255" s="330">
        <f t="shared" si="37"/>
        <v>6.0199999999999997E-2</v>
      </c>
      <c r="C255" s="330">
        <f>+B35</f>
        <v>5.4552252401229843E-2</v>
      </c>
      <c r="D255" s="596">
        <f t="shared" si="36"/>
        <v>-5.6477475987701531E-3</v>
      </c>
      <c r="E255" s="377"/>
      <c r="F255" s="4"/>
      <c r="G255" s="9"/>
      <c r="H255" s="4"/>
    </row>
    <row r="256" spans="1:8" x14ac:dyDescent="0.25">
      <c r="A256" s="595" t="s">
        <v>189</v>
      </c>
      <c r="B256" s="330">
        <f t="shared" si="37"/>
        <v>3.8600000000000002E-2</v>
      </c>
      <c r="C256" s="330">
        <f>+B47</f>
        <v>4.0818605328207649E-2</v>
      </c>
      <c r="D256" s="596">
        <f t="shared" si="36"/>
        <v>2.2186053282076471E-3</v>
      </c>
      <c r="E256" s="377"/>
      <c r="F256" s="4"/>
      <c r="G256" s="9"/>
      <c r="H256" s="4"/>
    </row>
    <row r="257" spans="1:8" x14ac:dyDescent="0.25">
      <c r="A257" s="595" t="s">
        <v>191</v>
      </c>
      <c r="B257" s="330">
        <f t="shared" si="37"/>
        <v>2.3199999999999998E-2</v>
      </c>
      <c r="C257" s="330">
        <f>+K52</f>
        <v>0</v>
      </c>
      <c r="D257" s="596">
        <f t="shared" si="36"/>
        <v>-2.3199999999999998E-2</v>
      </c>
      <c r="E257" s="377"/>
      <c r="F257" s="4"/>
      <c r="G257" s="9"/>
      <c r="H257" s="4"/>
    </row>
    <row r="258" spans="1:8" x14ac:dyDescent="0.25">
      <c r="A258" s="595" t="s">
        <v>328</v>
      </c>
      <c r="B258" s="330">
        <f t="shared" si="37"/>
        <v>2.18E-2</v>
      </c>
      <c r="C258" s="330">
        <f>+K61</f>
        <v>0</v>
      </c>
      <c r="D258" s="596">
        <f t="shared" si="36"/>
        <v>-2.18E-2</v>
      </c>
      <c r="E258" s="377"/>
      <c r="F258" s="4"/>
      <c r="G258" s="9"/>
      <c r="H258" s="4"/>
    </row>
    <row r="259" spans="1:8" x14ac:dyDescent="0.25">
      <c r="A259" s="595" t="s">
        <v>335</v>
      </c>
      <c r="B259" s="330">
        <f t="shared" si="37"/>
        <v>2.4799999999999999E-2</v>
      </c>
      <c r="C259" s="330">
        <f>+L69</f>
        <v>0</v>
      </c>
      <c r="D259" s="596">
        <f t="shared" si="36"/>
        <v>-2.4799999999999999E-2</v>
      </c>
      <c r="E259" s="377"/>
      <c r="F259" s="4"/>
      <c r="G259" s="9"/>
      <c r="H259" s="4"/>
    </row>
    <row r="260" spans="1:8" x14ac:dyDescent="0.25">
      <c r="B260" s="96"/>
      <c r="C260" s="96"/>
      <c r="E260" s="377"/>
      <c r="F260" s="4"/>
      <c r="G260" s="9"/>
      <c r="H260" s="4"/>
    </row>
    <row r="261" spans="1:8" ht="15.75" x14ac:dyDescent="0.25">
      <c r="B261" s="608" t="s">
        <v>114</v>
      </c>
      <c r="C261" s="608" t="s">
        <v>134</v>
      </c>
      <c r="E261" s="377"/>
      <c r="F261" s="4"/>
      <c r="G261" s="9"/>
      <c r="H261" s="4"/>
    </row>
    <row r="262" spans="1:8" x14ac:dyDescent="0.25">
      <c r="A262" s="595" t="s">
        <v>300</v>
      </c>
      <c r="B262" s="330">
        <f>+B236</f>
        <v>0.30580000000000002</v>
      </c>
      <c r="C262" s="330">
        <f>+K108</f>
        <v>7.3028395359201234E-2</v>
      </c>
      <c r="D262" s="596">
        <f t="shared" ref="D262:D272" si="38">+C262-B262</f>
        <v>-0.23277160464079877</v>
      </c>
      <c r="E262" s="377"/>
      <c r="F262" s="4"/>
      <c r="G262" s="9"/>
      <c r="H262" s="4"/>
    </row>
    <row r="263" spans="1:8" x14ac:dyDescent="0.25">
      <c r="A263" s="595" t="s">
        <v>258</v>
      </c>
      <c r="B263" s="330">
        <f>+B237</f>
        <v>0.1198</v>
      </c>
      <c r="C263" s="330">
        <f>+K79</f>
        <v>0.11335577463022636</v>
      </c>
      <c r="D263" s="594">
        <f t="shared" si="38"/>
        <v>-6.4442253697736401E-3</v>
      </c>
      <c r="E263" s="377"/>
      <c r="F263" s="4"/>
      <c r="G263" s="9"/>
      <c r="H263" s="4"/>
    </row>
    <row r="264" spans="1:8" x14ac:dyDescent="0.25">
      <c r="A264" s="595" t="s">
        <v>331</v>
      </c>
      <c r="B264" s="330">
        <f t="shared" ref="B264:B272" si="39">+B238</f>
        <v>0.129</v>
      </c>
      <c r="C264" s="330">
        <f>+B131</f>
        <v>0.23965019276836455</v>
      </c>
      <c r="D264" s="594">
        <f t="shared" si="38"/>
        <v>0.11065019276836455</v>
      </c>
      <c r="E264" s="377"/>
      <c r="F264" s="4"/>
      <c r="G264" s="9"/>
      <c r="H264" s="4"/>
    </row>
    <row r="265" spans="1:8" x14ac:dyDescent="0.25">
      <c r="A265" s="595" t="s">
        <v>276</v>
      </c>
      <c r="B265" s="330">
        <f t="shared" si="39"/>
        <v>9.8500000000000004E-2</v>
      </c>
      <c r="C265" s="330">
        <f>+B92</f>
        <v>6.5727735887795721E-2</v>
      </c>
      <c r="D265" s="596">
        <f t="shared" si="38"/>
        <v>-3.2772264112204283E-2</v>
      </c>
      <c r="E265" s="377"/>
      <c r="F265" s="4"/>
      <c r="G265" s="9"/>
      <c r="H265" s="4"/>
    </row>
    <row r="266" spans="1:8" x14ac:dyDescent="0.25">
      <c r="A266" s="595" t="s">
        <v>255</v>
      </c>
      <c r="B266" s="330">
        <f t="shared" si="39"/>
        <v>9.2799999999999994E-2</v>
      </c>
      <c r="C266" s="689">
        <f>+B79</f>
        <v>7.3983397668108783E-2</v>
      </c>
      <c r="D266" s="596">
        <f t="shared" si="38"/>
        <v>-1.8816602331891211E-2</v>
      </c>
      <c r="E266" s="377"/>
      <c r="F266" s="4"/>
      <c r="G266" s="9"/>
      <c r="H266" s="4"/>
    </row>
    <row r="267" spans="1:8" x14ac:dyDescent="0.25">
      <c r="A267" s="595" t="s">
        <v>275</v>
      </c>
      <c r="B267" s="330">
        <f t="shared" si="39"/>
        <v>8.5400000000000004E-2</v>
      </c>
      <c r="C267" s="330">
        <f>+K92</f>
        <v>7.9957580129164083E-2</v>
      </c>
      <c r="D267" s="596">
        <f t="shared" si="38"/>
        <v>-5.4424198708359212E-3</v>
      </c>
      <c r="E267" s="377"/>
      <c r="F267" s="4"/>
      <c r="G267" s="9"/>
      <c r="H267" s="4"/>
    </row>
    <row r="268" spans="1:8" x14ac:dyDescent="0.25">
      <c r="A268" s="595" t="s">
        <v>302</v>
      </c>
      <c r="B268" s="330">
        <f t="shared" si="39"/>
        <v>6.0199999999999997E-2</v>
      </c>
      <c r="C268" s="330">
        <f>+B108</f>
        <v>3.1098681107710493E-2</v>
      </c>
      <c r="D268" s="596">
        <f t="shared" si="38"/>
        <v>-2.9101318892289504E-2</v>
      </c>
      <c r="E268" s="377"/>
      <c r="F268" s="4"/>
      <c r="G268" s="9"/>
      <c r="H268" s="4"/>
    </row>
    <row r="269" spans="1:8" x14ac:dyDescent="0.25">
      <c r="A269" s="595" t="s">
        <v>189</v>
      </c>
      <c r="B269" s="330">
        <f t="shared" si="39"/>
        <v>3.8600000000000002E-2</v>
      </c>
      <c r="C269" s="330">
        <f>+B120</f>
        <v>0.10660144070815518</v>
      </c>
      <c r="D269" s="594">
        <f t="shared" si="38"/>
        <v>6.800144070815517E-2</v>
      </c>
      <c r="E269" s="377"/>
      <c r="F269" s="4"/>
      <c r="G269" s="9"/>
      <c r="H269" s="4"/>
    </row>
    <row r="270" spans="1:8" x14ac:dyDescent="0.25">
      <c r="A270" s="595" t="s">
        <v>191</v>
      </c>
      <c r="B270" s="330">
        <f t="shared" si="39"/>
        <v>2.3199999999999998E-2</v>
      </c>
      <c r="C270" s="330">
        <f>+K119</f>
        <v>3.173289469689955E-2</v>
      </c>
      <c r="D270" s="596">
        <f t="shared" si="38"/>
        <v>8.5328946968995512E-3</v>
      </c>
      <c r="E270" s="377"/>
      <c r="F270" s="4"/>
      <c r="G270" s="9"/>
      <c r="H270" s="4"/>
    </row>
    <row r="271" spans="1:8" x14ac:dyDescent="0.25">
      <c r="A271" s="595" t="s">
        <v>328</v>
      </c>
      <c r="B271" s="330">
        <f t="shared" si="39"/>
        <v>2.18E-2</v>
      </c>
      <c r="C271" s="330">
        <f>+K128</f>
        <v>9.7095063823537817E-2</v>
      </c>
      <c r="D271" s="594">
        <f t="shared" si="38"/>
        <v>7.5295063823537817E-2</v>
      </c>
      <c r="E271" s="377"/>
      <c r="F271" s="4"/>
      <c r="G271" s="9"/>
      <c r="H271" s="4"/>
    </row>
    <row r="272" spans="1:8" x14ac:dyDescent="0.25">
      <c r="A272" s="595" t="s">
        <v>335</v>
      </c>
      <c r="B272" s="330">
        <f t="shared" si="39"/>
        <v>2.4799999999999999E-2</v>
      </c>
      <c r="C272" s="330">
        <f>+K135</f>
        <v>8.7768843220836334E-2</v>
      </c>
      <c r="D272" s="594">
        <f t="shared" si="38"/>
        <v>6.2968843220836332E-2</v>
      </c>
      <c r="E272" s="377"/>
      <c r="F272" s="4"/>
      <c r="G272" s="9"/>
      <c r="H272" s="4"/>
    </row>
    <row r="273" spans="2:8" x14ac:dyDescent="0.25">
      <c r="B273" s="96"/>
      <c r="C273" s="96"/>
      <c r="E273" s="377"/>
      <c r="F273" s="4"/>
      <c r="G273" s="9"/>
      <c r="H273" s="4"/>
    </row>
    <row r="274" spans="2:8" x14ac:dyDescent="0.25">
      <c r="B274" s="390">
        <f>SUM(B262:B273)</f>
        <v>0.99990000000000012</v>
      </c>
      <c r="E274" s="377"/>
      <c r="F274" s="4"/>
      <c r="G274" s="9"/>
      <c r="H274" s="4"/>
    </row>
    <row r="275" spans="2:8" x14ac:dyDescent="0.25">
      <c r="E275" s="377"/>
      <c r="F275" s="4"/>
      <c r="G275" s="9"/>
      <c r="H275" s="4"/>
    </row>
    <row r="276" spans="2:8" x14ac:dyDescent="0.25">
      <c r="E276" s="377"/>
      <c r="F276" s="4"/>
      <c r="G276" s="9"/>
      <c r="H276" s="4"/>
    </row>
    <row r="277" spans="2:8" x14ac:dyDescent="0.25">
      <c r="E277" s="377"/>
      <c r="F277" s="4"/>
      <c r="G277" s="9"/>
      <c r="H277" s="4"/>
    </row>
    <row r="278" spans="2:8" x14ac:dyDescent="0.25">
      <c r="E278" s="377"/>
      <c r="F278" s="4"/>
      <c r="G278" s="9"/>
      <c r="H278" s="4"/>
    </row>
  </sheetData>
  <sortState xmlns:xlrd2="http://schemas.microsoft.com/office/spreadsheetml/2017/richdata2" ref="E211:H226">
    <sortCondition descending="1" ref="H211:H226"/>
  </sortState>
  <mergeCells count="6">
    <mergeCell ref="G149:J149"/>
    <mergeCell ref="G148:J148"/>
    <mergeCell ref="G3:J3"/>
    <mergeCell ref="G4:J4"/>
    <mergeCell ref="G76:J76"/>
    <mergeCell ref="G77:J77"/>
  </mergeCells>
  <conditionalFormatting sqref="D236:D24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49:D25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62:D27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3DA9-7368-46BD-8992-E76E6422082C}">
  <sheetPr codeName="Sheet3"/>
  <dimension ref="A1:BF316"/>
  <sheetViews>
    <sheetView zoomScale="80" zoomScaleNormal="80" workbookViewId="0">
      <selection activeCell="G29" sqref="G29"/>
    </sheetView>
  </sheetViews>
  <sheetFormatPr defaultRowHeight="15" x14ac:dyDescent="0.25"/>
  <cols>
    <col min="1" max="1" width="11.42578125" customWidth="1"/>
    <col min="2" max="2" width="13.140625" customWidth="1"/>
    <col min="3" max="3" width="10.85546875" customWidth="1"/>
    <col min="4" max="4" width="10.42578125" customWidth="1"/>
    <col min="5" max="5" width="9.7109375" customWidth="1"/>
    <col min="8" max="8" width="10.5703125" customWidth="1"/>
    <col min="9" max="9" width="12.28515625" bestFit="1" customWidth="1"/>
    <col min="11" max="11" width="14" customWidth="1"/>
    <col min="12" max="12" width="14.42578125" customWidth="1"/>
    <col min="13" max="13" width="13.7109375" customWidth="1"/>
    <col min="14" max="14" width="14.140625" customWidth="1"/>
    <col min="15" max="15" width="18.140625" customWidth="1"/>
    <col min="16" max="16" width="16.5703125" customWidth="1"/>
    <col min="17" max="17" width="13.140625" style="47" customWidth="1"/>
    <col min="18" max="18" width="13.28515625" customWidth="1"/>
    <col min="19" max="19" width="12.85546875" customWidth="1"/>
    <col min="20" max="20" width="11.28515625" customWidth="1"/>
    <col min="21" max="21" width="10" customWidth="1"/>
    <col min="22" max="23" width="11.140625" customWidth="1"/>
    <col min="24" max="24" width="13.28515625" customWidth="1"/>
    <col min="25" max="25" width="12.7109375" customWidth="1"/>
    <col min="26" max="26" width="12.140625" customWidth="1"/>
    <col min="27" max="27" width="12.28515625" customWidth="1"/>
    <col min="28" max="28" width="16.140625" customWidth="1"/>
    <col min="29" max="29" width="12.5703125" customWidth="1"/>
    <col min="30" max="30" width="11.7109375" customWidth="1"/>
    <col min="31" max="31" width="11.140625" customWidth="1"/>
    <col min="32" max="32" width="10.5703125" customWidth="1"/>
    <col min="33" max="33" width="8.140625" customWidth="1"/>
    <col min="34" max="34" width="11.28515625" customWidth="1"/>
    <col min="35" max="35" width="7.140625" customWidth="1"/>
    <col min="36" max="36" width="14.42578125" customWidth="1"/>
    <col min="37" max="37" width="13.140625" customWidth="1"/>
    <col min="38" max="38" width="12.5703125" customWidth="1"/>
    <col min="40" max="40" width="11.28515625" customWidth="1"/>
    <col min="41" max="41" width="14.28515625" style="47" customWidth="1"/>
    <col min="42" max="42" width="11" customWidth="1"/>
    <col min="43" max="43" width="14.42578125" customWidth="1"/>
    <col min="44" max="44" width="11.5703125" customWidth="1"/>
    <col min="46" max="46" width="6.85546875" customWidth="1"/>
    <col min="47" max="47" width="15" customWidth="1"/>
    <col min="48" max="48" width="15.42578125" customWidth="1"/>
    <col min="52" max="52" width="9.140625" style="22"/>
    <col min="53" max="53" width="8.42578125" customWidth="1"/>
    <col min="54" max="54" width="9.140625" style="96"/>
    <col min="55" max="56" width="8.7109375" customWidth="1"/>
    <col min="57" max="57" width="10.140625" bestFit="1" customWidth="1"/>
    <col min="63" max="63" width="16.28515625" bestFit="1" customWidth="1"/>
  </cols>
  <sheetData>
    <row r="1" spans="1:54" ht="28.5" customHeight="1" thickBot="1" x14ac:dyDescent="0.3">
      <c r="B1" s="883" t="s">
        <v>136</v>
      </c>
      <c r="E1" s="329" t="s">
        <v>135</v>
      </c>
      <c r="F1" s="894" t="s">
        <v>241</v>
      </c>
      <c r="G1" s="895"/>
      <c r="H1" s="895"/>
      <c r="I1" s="895"/>
      <c r="J1" s="895"/>
      <c r="K1" s="896"/>
      <c r="L1" s="897">
        <v>2024</v>
      </c>
      <c r="M1" s="898"/>
      <c r="N1" s="434" t="s">
        <v>77</v>
      </c>
      <c r="O1" s="434" t="s">
        <v>87</v>
      </c>
      <c r="P1" s="434" t="s">
        <v>88</v>
      </c>
      <c r="Q1" s="899" t="s">
        <v>117</v>
      </c>
      <c r="R1" s="900"/>
      <c r="S1" s="171">
        <f>+AM1/AL1-1</f>
        <v>0.14524836314921075</v>
      </c>
      <c r="T1" s="47"/>
      <c r="U1" s="47"/>
      <c r="V1" s="47"/>
      <c r="W1" s="47"/>
      <c r="Y1" s="47"/>
      <c r="Z1" s="47"/>
      <c r="AA1" s="434" t="s">
        <v>81</v>
      </c>
      <c r="AB1" s="434" t="s">
        <v>80</v>
      </c>
      <c r="AC1" s="436"/>
      <c r="AD1" s="436"/>
      <c r="AE1" s="434" t="s">
        <v>86</v>
      </c>
      <c r="AF1" s="434" t="s">
        <v>85</v>
      </c>
      <c r="AG1" s="47"/>
      <c r="AH1" s="47"/>
      <c r="AI1" s="47"/>
      <c r="AJ1" s="47"/>
      <c r="AK1" s="22" t="s">
        <v>73</v>
      </c>
      <c r="AL1">
        <v>4769.83</v>
      </c>
      <c r="AM1" s="9">
        <f>_xll.BDP(AK1&amp;" Index",$N$1)</f>
        <v>5462.64</v>
      </c>
      <c r="AO1"/>
      <c r="AZ1"/>
      <c r="BB1"/>
    </row>
    <row r="2" spans="1:54" ht="21.75" thickBot="1" x14ac:dyDescent="0.3">
      <c r="A2" s="186" t="s">
        <v>541</v>
      </c>
      <c r="B2" s="884"/>
      <c r="F2" s="47"/>
      <c r="G2" s="796">
        <v>39</v>
      </c>
      <c r="H2" s="195"/>
      <c r="I2" s="195"/>
      <c r="J2" s="195"/>
      <c r="K2" s="435"/>
      <c r="L2" s="906" t="s">
        <v>113</v>
      </c>
      <c r="M2" s="907"/>
      <c r="N2" s="189"/>
      <c r="O2" s="908" t="s">
        <v>0</v>
      </c>
      <c r="P2" s="734" t="s">
        <v>488</v>
      </c>
      <c r="Q2" s="901" t="s">
        <v>489</v>
      </c>
      <c r="R2" s="189"/>
      <c r="S2" s="1">
        <v>45291</v>
      </c>
      <c r="T2" s="49" t="s">
        <v>1</v>
      </c>
      <c r="U2" s="80" t="s">
        <v>57</v>
      </c>
      <c r="V2" s="197" t="s">
        <v>58</v>
      </c>
      <c r="W2" s="189"/>
      <c r="X2" s="1">
        <v>44926</v>
      </c>
      <c r="Y2" s="49" t="s">
        <v>1</v>
      </c>
      <c r="Z2" s="80" t="s">
        <v>57</v>
      </c>
      <c r="AA2" s="197" t="s">
        <v>58</v>
      </c>
      <c r="AB2" s="47"/>
      <c r="AC2" s="311"/>
      <c r="AD2" s="197" t="s">
        <v>237</v>
      </c>
      <c r="AE2" s="551" t="s">
        <v>404</v>
      </c>
      <c r="AF2" s="603"/>
      <c r="AG2" s="191" t="s">
        <v>405</v>
      </c>
      <c r="AH2" s="47"/>
      <c r="AI2" s="80" t="s">
        <v>83</v>
      </c>
      <c r="AJ2" s="104" t="s">
        <v>82</v>
      </c>
      <c r="AK2" s="49"/>
      <c r="AL2" s="47"/>
      <c r="AM2" s="80" t="s">
        <v>83</v>
      </c>
      <c r="AN2" s="104" t="s">
        <v>84</v>
      </c>
      <c r="AO2" s="49"/>
      <c r="AP2" s="47"/>
      <c r="AQ2" s="47"/>
      <c r="AR2" s="22"/>
      <c r="AT2" s="9"/>
      <c r="AZ2"/>
      <c r="BB2"/>
    </row>
    <row r="3" spans="1:54" ht="15" customHeight="1" x14ac:dyDescent="0.25">
      <c r="A3" s="491" t="s">
        <v>543</v>
      </c>
      <c r="B3" s="759" t="s">
        <v>135</v>
      </c>
      <c r="D3" s="69" t="s">
        <v>64</v>
      </c>
      <c r="E3" s="69" t="s">
        <v>63</v>
      </c>
      <c r="F3" s="96" t="s">
        <v>413</v>
      </c>
      <c r="G3" s="97">
        <f>COUNT(G4:G42)</f>
        <v>0</v>
      </c>
      <c r="H3" s="52"/>
      <c r="I3" s="74" t="s">
        <v>2</v>
      </c>
      <c r="J3" s="115" t="s">
        <v>89</v>
      </c>
      <c r="K3" s="128" t="s">
        <v>90</v>
      </c>
      <c r="L3" s="156"/>
      <c r="M3" s="131"/>
      <c r="O3" s="909"/>
      <c r="P3" s="731" t="s">
        <v>490</v>
      </c>
      <c r="Q3" s="902"/>
      <c r="S3" s="2"/>
      <c r="V3" s="45"/>
      <c r="X3" s="2"/>
      <c r="AA3" s="45"/>
      <c r="AB3" s="47"/>
      <c r="AC3" s="312"/>
      <c r="AD3" s="306"/>
      <c r="AE3" s="45"/>
      <c r="AF3" s="47"/>
      <c r="AG3" s="28"/>
      <c r="AH3" s="47"/>
      <c r="AI3" s="2"/>
      <c r="AK3" s="28"/>
      <c r="AL3" s="47"/>
      <c r="AM3" s="2"/>
      <c r="AN3" s="2"/>
      <c r="AO3" s="28"/>
      <c r="AP3" s="47"/>
      <c r="AQ3" s="47"/>
      <c r="AR3" s="22"/>
      <c r="AZ3"/>
      <c r="BB3"/>
    </row>
    <row r="4" spans="1:54" ht="15" customHeight="1" x14ac:dyDescent="0.25">
      <c r="A4" s="762">
        <f>+B4*F4</f>
        <v>1.7506601114148741E-3</v>
      </c>
      <c r="B4" s="441">
        <f>_xll.BDP(G4&amp;" EQUITY",$B$3)*0.01</f>
        <v>2.3181978050862109E-2</v>
      </c>
      <c r="D4" s="24">
        <f>+F4-E4</f>
        <v>6.2418150676092507E-2</v>
      </c>
      <c r="E4" s="85">
        <v>1.3100000000000001E-2</v>
      </c>
      <c r="F4" s="519">
        <f>+O4/$O$46</f>
        <v>7.5518150676092508E-2</v>
      </c>
      <c r="G4" s="741" t="s">
        <v>15</v>
      </c>
      <c r="H4" s="583">
        <v>110000</v>
      </c>
      <c r="I4" s="584">
        <f>_xll.BDP(G4&amp;" EQUITY",$N$1)</f>
        <v>198.4</v>
      </c>
      <c r="J4" s="112">
        <f>_xll.BDP(G4&amp;" EQUITY",$O$1)</f>
        <v>-0.48</v>
      </c>
      <c r="K4" s="127">
        <f>_xll.BDP(G4&amp;" EQUITY",$P$1)*0.01</f>
        <v>-2.4135160000000001E-3</v>
      </c>
      <c r="L4" s="132"/>
      <c r="M4" s="161">
        <f>+J4*H4</f>
        <v>-52800</v>
      </c>
      <c r="N4" s="99"/>
      <c r="O4" s="587">
        <f>+I4*H4</f>
        <v>21824000</v>
      </c>
      <c r="P4" s="732">
        <f>+E4*$O$46</f>
        <v>3785770.6715600006</v>
      </c>
      <c r="Q4" s="733">
        <f>+O4-P4</f>
        <v>18038229.328439999</v>
      </c>
      <c r="R4" s="99"/>
      <c r="S4" s="173">
        <v>170.1</v>
      </c>
      <c r="T4" s="590">
        <f>+I4/S4-1</f>
        <v>0.16637272192827757</v>
      </c>
      <c r="U4" s="82">
        <f>+RANK(T4,$T$4:$T$44)</f>
        <v>6</v>
      </c>
      <c r="V4" s="45" t="s">
        <v>61</v>
      </c>
      <c r="W4" s="99"/>
      <c r="X4" s="173">
        <v>134.1</v>
      </c>
      <c r="Y4" s="590">
        <f>+S4/X4-1</f>
        <v>0.26845637583892623</v>
      </c>
      <c r="Z4" s="82">
        <f>+RANK(Y4,$Y$4:$Y$44)</f>
        <v>6</v>
      </c>
      <c r="AA4" s="45" t="s">
        <v>61</v>
      </c>
      <c r="AB4" s="47"/>
      <c r="AC4" s="549" t="s">
        <v>15</v>
      </c>
      <c r="AD4" s="9">
        <v>90.937053416666672</v>
      </c>
      <c r="AE4" s="550">
        <f>+I4/AD4-1</f>
        <v>1.1817289272717719</v>
      </c>
      <c r="AF4" s="47"/>
      <c r="AG4" s="604">
        <f>+AD4*H4</f>
        <v>10003075.875833334</v>
      </c>
      <c r="AH4" s="48"/>
      <c r="AI4" s="105" t="str">
        <f>_xll.BDP(G4&amp;" EQUITY",$AA$1)</f>
        <v>5/20/2024</v>
      </c>
      <c r="AJ4" s="84">
        <f>_xll.BDP(G4&amp;" EQUITY",$AB$1)</f>
        <v>205.88</v>
      </c>
      <c r="AK4" s="591">
        <f>+I4/AJ4-1</f>
        <v>-3.6331843792500429E-2</v>
      </c>
      <c r="AL4" s="47"/>
      <c r="AM4" s="105" t="str">
        <f>_xll.BDP(G4&amp;" EQUITY",$AE$1)</f>
        <v>10/27/2023</v>
      </c>
      <c r="AN4" s="77">
        <f>_xll.BDP(G4&amp;" EQUITY",$AF$1)</f>
        <v>135.19</v>
      </c>
      <c r="AO4" s="591">
        <f>+I4/AN4-1</f>
        <v>0.46756416894740749</v>
      </c>
      <c r="AP4" s="47"/>
      <c r="AQ4" s="47"/>
      <c r="AR4" s="22"/>
      <c r="AZ4"/>
      <c r="BB4"/>
    </row>
    <row r="5" spans="1:54" ht="15" customHeight="1" x14ac:dyDescent="0.25">
      <c r="A5" s="762">
        <f>+B5*F5</f>
        <v>1.2457172948768926E-3</v>
      </c>
      <c r="B5" s="441">
        <f>_xll.BDP(G5&amp;" EQUITY",$B$3)*0.01</f>
        <v>2.6728439059158941E-2</v>
      </c>
      <c r="D5" s="24">
        <f>+F5-E5</f>
        <v>3.8706436392327473E-2</v>
      </c>
      <c r="E5" s="85">
        <v>7.9000000000000008E-3</v>
      </c>
      <c r="F5" s="740">
        <f>+O5/$O$46</f>
        <v>4.6606436392327477E-2</v>
      </c>
      <c r="G5" s="741" t="s">
        <v>13</v>
      </c>
      <c r="H5" s="583">
        <v>40000</v>
      </c>
      <c r="I5" s="584">
        <f>_xll.BDP(G5&amp;" EQUITY",$N$1)</f>
        <v>336.72</v>
      </c>
      <c r="J5" s="112">
        <f>_xll.BDP(G5&amp;" EQUITY",$O$1)</f>
        <v>-14.16</v>
      </c>
      <c r="K5" s="127">
        <f>_xll.BDP(G5&amp;" EQUITY",$P$1)*0.01</f>
        <v>-4.0355679999999998E-2</v>
      </c>
      <c r="L5" s="132"/>
      <c r="M5" s="161">
        <f>+J5*H5</f>
        <v>-566400</v>
      </c>
      <c r="N5" s="99"/>
      <c r="O5" s="587">
        <f>+I5*H5</f>
        <v>13468800.000000002</v>
      </c>
      <c r="P5" s="732">
        <f>+E5*$O$46</f>
        <v>2283022.0080400002</v>
      </c>
      <c r="Q5" s="733">
        <f>+O5-P5</f>
        <v>11185777.991960002</v>
      </c>
      <c r="R5" s="99"/>
      <c r="S5" s="173">
        <v>346.55</v>
      </c>
      <c r="T5" s="590">
        <f>+I5/S5-1</f>
        <v>-2.8365315250324596E-2</v>
      </c>
      <c r="U5" s="82">
        <f>+RANK(T5,$T$4:$T$44)</f>
        <v>25</v>
      </c>
      <c r="V5" s="45"/>
      <c r="W5" s="99"/>
      <c r="X5" s="173">
        <v>315.86</v>
      </c>
      <c r="Y5" s="590">
        <f>+S5/X5-1</f>
        <v>9.7163300196289493E-2</v>
      </c>
      <c r="Z5" s="17">
        <f>+RANK(Y5,$Y$4:$Y$44)</f>
        <v>14</v>
      </c>
      <c r="AA5" s="45" t="s">
        <v>61</v>
      </c>
      <c r="AB5" s="605"/>
      <c r="AC5" s="549" t="s">
        <v>13</v>
      </c>
      <c r="AD5" s="9">
        <v>90.767898823529407</v>
      </c>
      <c r="AE5" s="550">
        <f>+I5/AD5-1</f>
        <v>2.7096815544298289</v>
      </c>
      <c r="AF5" s="47"/>
      <c r="AG5" s="604">
        <f>+AD5*H5</f>
        <v>3630715.9529411765</v>
      </c>
      <c r="AH5" s="48"/>
      <c r="AI5" s="105" t="str">
        <f>_xll.BDP(G5&amp;" EQUITY",$AA$1)</f>
        <v>3/21/2024</v>
      </c>
      <c r="AJ5" s="84">
        <f>_xll.BDP(G5&amp;" EQUITY",$AB$1)</f>
        <v>396.87299999999999</v>
      </c>
      <c r="AK5" s="591">
        <f>+I5/AJ5-1</f>
        <v>-0.15156737797733777</v>
      </c>
      <c r="AL5" s="47"/>
      <c r="AM5" s="105" t="str">
        <f>_xll.BDP(G5&amp;" EQUITY",$AE$1)</f>
        <v>10/27/2023</v>
      </c>
      <c r="AN5" s="77">
        <f>_xll.BDP(G5&amp;" EQUITY",$AF$1)</f>
        <v>274.26</v>
      </c>
      <c r="AO5" s="591">
        <f>+I5/AN5-1</f>
        <v>0.22774010063443462</v>
      </c>
      <c r="AP5" s="47"/>
      <c r="AQ5" s="47"/>
      <c r="AR5" s="22"/>
      <c r="AZ5"/>
      <c r="BB5"/>
    </row>
    <row r="6" spans="1:54" ht="15.75" x14ac:dyDescent="0.25">
      <c r="A6" s="762">
        <f>+B6*F6</f>
        <v>1.6920993205910763E-3</v>
      </c>
      <c r="B6" s="441">
        <f>_xll.BDP(G6&amp;" EQUITY",$B$3)*0.01</f>
        <v>4.1174613078159228E-2</v>
      </c>
      <c r="D6" s="24">
        <f>+F6-E6</f>
        <v>3.4495694509115812E-2</v>
      </c>
      <c r="E6" s="85">
        <v>6.6E-3</v>
      </c>
      <c r="F6" s="520">
        <f>+O6/$O$46</f>
        <v>4.1095694509115814E-2</v>
      </c>
      <c r="G6" s="582" t="s">
        <v>7</v>
      </c>
      <c r="H6" s="585">
        <v>75000</v>
      </c>
      <c r="I6" s="584">
        <f>_xll.BDP(G6&amp;" EQUITY",$N$1)</f>
        <v>158.35</v>
      </c>
      <c r="J6" s="112">
        <f>_xll.BDP(G6&amp;" EQUITY",$O$1)</f>
        <v>-0.96</v>
      </c>
      <c r="K6" s="127">
        <f>_xll.BDP(G6&amp;" EQUITY",$P$1)*0.01</f>
        <v>-6.0259870000000009E-3</v>
      </c>
      <c r="L6" s="132"/>
      <c r="M6" s="161">
        <f>+J6*H6</f>
        <v>-72000</v>
      </c>
      <c r="N6" s="99"/>
      <c r="O6" s="587">
        <f>+I6*H6</f>
        <v>11876250</v>
      </c>
      <c r="P6" s="732">
        <f>+E6*$O$46</f>
        <v>1907334.8421600002</v>
      </c>
      <c r="Q6" s="733">
        <f>+O6-P6</f>
        <v>9968915.1578400005</v>
      </c>
      <c r="R6" s="99"/>
      <c r="S6" s="173">
        <v>149.16</v>
      </c>
      <c r="T6" s="590">
        <f>+I6/S6-1</f>
        <v>6.1611692142665486E-2</v>
      </c>
      <c r="U6" s="82">
        <f>+RANK(T6,$T$4:$T$44)</f>
        <v>17</v>
      </c>
      <c r="V6" s="45" t="s">
        <v>61</v>
      </c>
      <c r="W6" s="99"/>
      <c r="X6" s="173">
        <v>179.49</v>
      </c>
      <c r="Y6" s="590">
        <f>+S6/X6-1</f>
        <v>-0.16897877319070709</v>
      </c>
      <c r="Z6" s="103">
        <f>+RANK(Y6,$Y$4:$Y$44)</f>
        <v>38</v>
      </c>
      <c r="AA6" s="45"/>
      <c r="AB6" s="47"/>
      <c r="AC6" s="549" t="s">
        <v>7</v>
      </c>
      <c r="AD6" s="9">
        <v>97.497991666666664</v>
      </c>
      <c r="AE6" s="550">
        <f>+I6/AD6-1</f>
        <v>0.62413601852824496</v>
      </c>
      <c r="AF6" s="47"/>
      <c r="AG6" s="604">
        <f>+AD6*H6</f>
        <v>7312349.375</v>
      </c>
      <c r="AH6" s="48"/>
      <c r="AI6" s="105" t="str">
        <f>_xll.BDP(G6&amp;" EQUITY",$AA$1)</f>
        <v>9/28/2023</v>
      </c>
      <c r="AJ6" s="84">
        <f>_xll.BDP(G6&amp;" EQUITY",$AB$1)</f>
        <v>171.7</v>
      </c>
      <c r="AK6" s="591">
        <f>+I6/AJ6-1</f>
        <v>-7.7751892836342429E-2</v>
      </c>
      <c r="AL6" s="47"/>
      <c r="AM6" s="105" t="str">
        <f>_xll.BDP(G6&amp;" EQUITY",$AE$1)</f>
        <v>1/18/2024</v>
      </c>
      <c r="AN6" s="77">
        <f>_xll.BDP(G6&amp;" EQUITY",$AF$1)</f>
        <v>139.62</v>
      </c>
      <c r="AO6" s="591">
        <f>+I6/AN6-1</f>
        <v>0.13414983526715352</v>
      </c>
      <c r="AP6" s="47"/>
      <c r="AQ6" s="47"/>
      <c r="AR6" s="22"/>
      <c r="AZ6"/>
      <c r="BB6"/>
    </row>
    <row r="7" spans="1:54" ht="15.75" x14ac:dyDescent="0.25">
      <c r="A7" s="762">
        <f>+B7*F7</f>
        <v>1.3588284292513429E-3</v>
      </c>
      <c r="B7" s="441">
        <f>_xll.BDP(G7&amp;" EQUITY",$B$3)*0.01</f>
        <v>3.3597760248216341E-2</v>
      </c>
      <c r="D7" s="24">
        <f>+F7-E7</f>
        <v>3.8544018268255882E-2</v>
      </c>
      <c r="E7" s="85">
        <v>1.9E-3</v>
      </c>
      <c r="F7" s="520">
        <f>+O7/$O$46</f>
        <v>4.0444018268255881E-2</v>
      </c>
      <c r="G7" s="741" t="s">
        <v>40</v>
      </c>
      <c r="H7" s="585">
        <v>60600</v>
      </c>
      <c r="I7" s="584">
        <f>_xll.BDP(G7&amp;" EQUITY",$N$1)</f>
        <v>192.87</v>
      </c>
      <c r="J7" s="112">
        <f>_xll.BDP(G7&amp;" EQUITY",$O$1)</f>
        <v>-3.52</v>
      </c>
      <c r="K7" s="127">
        <f>_xll.BDP(G7&amp;" EQUITY",$P$1)*0.01</f>
        <v>-1.7923519999999998E-2</v>
      </c>
      <c r="L7" s="132"/>
      <c r="M7" s="161">
        <f>+J7*H7</f>
        <v>-213312</v>
      </c>
      <c r="N7" s="99"/>
      <c r="O7" s="587">
        <f>+I7*H7</f>
        <v>11687922</v>
      </c>
      <c r="P7" s="732">
        <f>+E7*$O$46</f>
        <v>549081.24244000006</v>
      </c>
      <c r="Q7" s="733">
        <f>+O7-P7</f>
        <v>11138840.75756</v>
      </c>
      <c r="R7" s="99"/>
      <c r="S7" s="173">
        <v>215.88</v>
      </c>
      <c r="T7" s="590">
        <f>+I7/S7-1</f>
        <v>-0.10658699277376316</v>
      </c>
      <c r="U7" s="82">
        <f>+RANK(T7,$T$4:$T$44)</f>
        <v>32</v>
      </c>
      <c r="V7" s="45"/>
      <c r="W7" s="99"/>
      <c r="X7" s="173">
        <v>211.86</v>
      </c>
      <c r="Y7" s="590">
        <f>+S7/X7-1</f>
        <v>1.8974794675729267E-2</v>
      </c>
      <c r="Z7" s="17">
        <f>+RANK(Y7,$Y$4:$Y$44)</f>
        <v>18</v>
      </c>
      <c r="AA7" s="45" t="s">
        <v>61</v>
      </c>
      <c r="AB7" s="605"/>
      <c r="AC7" s="549" t="s">
        <v>40</v>
      </c>
      <c r="AD7" s="9">
        <v>98.357805280528055</v>
      </c>
      <c r="AE7" s="550">
        <f>+I7/AD7-1</f>
        <v>0.96090182624461806</v>
      </c>
      <c r="AF7" s="47"/>
      <c r="AG7" s="604">
        <f>+AD7*H7</f>
        <v>5960483</v>
      </c>
      <c r="AH7" s="48"/>
      <c r="AI7" s="105" t="str">
        <f>_xll.BDP(G7&amp;" EQUITY",$AA$1)</f>
        <v>1/2/2024</v>
      </c>
      <c r="AJ7" s="84">
        <f>_xll.BDP(G7&amp;" EQUITY",$AB$1)</f>
        <v>219.1</v>
      </c>
      <c r="AK7" s="591">
        <f>+I7/AJ7-1</f>
        <v>-0.11971702418986763</v>
      </c>
      <c r="AL7" s="47"/>
      <c r="AM7" s="105" t="str">
        <f>_xll.BDP(G7&amp;" EQUITY",$AE$1)</f>
        <v>10/6/2023</v>
      </c>
      <c r="AN7" s="77">
        <f>_xll.BDP(G7&amp;" EQUITY",$AF$1)</f>
        <v>154.58000000000001</v>
      </c>
      <c r="AO7" s="591">
        <f>+I7/AN7-1</f>
        <v>0.24770345452193032</v>
      </c>
      <c r="AP7" s="47"/>
      <c r="AQ7" s="47"/>
      <c r="AR7" s="22"/>
      <c r="AZ7"/>
      <c r="BB7"/>
    </row>
    <row r="8" spans="1:54" ht="15.75" x14ac:dyDescent="0.25">
      <c r="A8" s="762">
        <f>+B8*F8</f>
        <v>1.4352738990930072E-3</v>
      </c>
      <c r="B8" s="441">
        <f>_xll.BDP(G8&amp;" EQUITY",$B$3)*0.01</f>
        <v>3.6217067639845418E-2</v>
      </c>
      <c r="D8" s="24">
        <f>+F8-E8</f>
        <v>3.3129765539437063E-2</v>
      </c>
      <c r="E8" s="85">
        <v>6.4999999999999997E-3</v>
      </c>
      <c r="F8" s="520">
        <f>+O8/$O$46</f>
        <v>3.9629765539437062E-2</v>
      </c>
      <c r="G8" s="582" t="s">
        <v>202</v>
      </c>
      <c r="H8" s="583">
        <v>66900</v>
      </c>
      <c r="I8" s="584">
        <f>_xll.BDP(G8&amp;" EQUITY",$N$1)</f>
        <v>171.19</v>
      </c>
      <c r="J8" s="112">
        <f>_xll.BDP(G8&amp;" EQUITY",$O$1)</f>
        <v>-1.55</v>
      </c>
      <c r="K8" s="127">
        <f>_xll.BDP(G8&amp;" EQUITY",$P$1)*0.01</f>
        <v>-8.9730230000000001E-3</v>
      </c>
      <c r="L8" s="132"/>
      <c r="M8" s="161">
        <f>+J8*H8</f>
        <v>-103695</v>
      </c>
      <c r="N8" s="99"/>
      <c r="O8" s="587">
        <f>+I8*H8</f>
        <v>11452611</v>
      </c>
      <c r="P8" s="732">
        <f>+E8*$O$46</f>
        <v>1878435.8294000002</v>
      </c>
      <c r="Q8" s="733">
        <f>+O8-P8</f>
        <v>9574175.1706000008</v>
      </c>
      <c r="R8" s="99"/>
      <c r="S8" s="173">
        <v>154.97</v>
      </c>
      <c r="T8" s="590">
        <f>+I8/S8-1</f>
        <v>0.10466541911337668</v>
      </c>
      <c r="U8" s="82">
        <f>+RANK(T8,$T$4:$T$44)</f>
        <v>12</v>
      </c>
      <c r="V8" s="45" t="s">
        <v>61</v>
      </c>
      <c r="W8" s="99"/>
      <c r="X8" s="173">
        <v>161.61000000000001</v>
      </c>
      <c r="Y8" s="590">
        <f>+S8/X8-1</f>
        <v>-4.1086566425345028E-2</v>
      </c>
      <c r="Z8" s="103">
        <f>+RANK(Y8,$Y$4:$Y$44)</f>
        <v>26</v>
      </c>
      <c r="AA8" s="45"/>
      <c r="AB8" s="605"/>
      <c r="AC8" s="549" t="s">
        <v>202</v>
      </c>
      <c r="AD8" s="9">
        <v>107.49604050822123</v>
      </c>
      <c r="AE8" s="550">
        <f>+I8/AD8-1</f>
        <v>0.5925237728817323</v>
      </c>
      <c r="AF8" s="47"/>
      <c r="AG8" s="604">
        <f>+AD8*H8</f>
        <v>7191485.1100000003</v>
      </c>
      <c r="AH8" s="48"/>
      <c r="AI8" s="105" t="str">
        <f>_xll.BDP(G8&amp;" EQUITY",$AA$1)</f>
        <v>3/12/2024</v>
      </c>
      <c r="AJ8" s="84">
        <f>_xll.BDP(G8&amp;" EQUITY",$AB$1)</f>
        <v>182.89</v>
      </c>
      <c r="AK8" s="591">
        <f>+I8/AJ8-1</f>
        <v>-6.3972879873147703E-2</v>
      </c>
      <c r="AL8" s="47"/>
      <c r="AM8" s="105" t="str">
        <f>_xll.BDP(G8&amp;" EQUITY",$AE$1)</f>
        <v>6/28/2023</v>
      </c>
      <c r="AN8" s="77">
        <f>_xll.BDP(G8&amp;" EQUITY",$AF$1)</f>
        <v>130.96010000000001</v>
      </c>
      <c r="AO8" s="591">
        <f>+I8/AN8-1</f>
        <v>0.30719203788023974</v>
      </c>
      <c r="AP8" s="47"/>
      <c r="AQ8" s="47"/>
      <c r="AR8" s="22"/>
      <c r="AT8" s="96"/>
      <c r="AZ8"/>
      <c r="BB8"/>
    </row>
    <row r="9" spans="1:54" ht="15.75" x14ac:dyDescent="0.25">
      <c r="A9" s="762">
        <f>+B9*F9</f>
        <v>1.9419348094200201E-3</v>
      </c>
      <c r="B9" s="441">
        <f>_xll.BDP(G9&amp;" EQUITY",$B$3)*0.01</f>
        <v>5.7157056469092547E-2</v>
      </c>
      <c r="D9" s="24">
        <f>+F9-E9</f>
        <v>3.3075416674406839E-2</v>
      </c>
      <c r="E9" s="85">
        <v>8.9999999999999998E-4</v>
      </c>
      <c r="F9" s="520">
        <f>+O9/$O$46</f>
        <v>3.3975416674406837E-2</v>
      </c>
      <c r="G9" s="582" t="s">
        <v>204</v>
      </c>
      <c r="H9" s="585">
        <v>488000</v>
      </c>
      <c r="I9" s="584">
        <f>_xll.BDP(G9&amp;" EQUITY",$N$1)</f>
        <v>20.12</v>
      </c>
      <c r="J9" s="112">
        <f>_xll.BDP(G9&amp;" EQUITY",$O$1)</f>
        <v>0.01</v>
      </c>
      <c r="K9" s="127">
        <f>_xll.BDP(G9&amp;" EQUITY",$P$1)*0.01</f>
        <v>4.9726499999999999E-4</v>
      </c>
      <c r="L9" s="132"/>
      <c r="M9" s="161">
        <f>+J9*H9</f>
        <v>4880</v>
      </c>
      <c r="N9" s="99"/>
      <c r="O9" s="587">
        <f>+I9*H9</f>
        <v>9818560</v>
      </c>
      <c r="P9" s="732">
        <f>+E9*$O$46</f>
        <v>260091.11484000002</v>
      </c>
      <c r="Q9" s="733">
        <f>+O9-P9</f>
        <v>9558468.8851599991</v>
      </c>
      <c r="R9" s="99"/>
      <c r="S9" s="173">
        <v>17.64</v>
      </c>
      <c r="T9" s="590">
        <f>+I9/S9-1</f>
        <v>0.14058956916099774</v>
      </c>
      <c r="U9" s="82">
        <f>+RANK(T9,$T$4:$T$44)</f>
        <v>7</v>
      </c>
      <c r="V9" s="45" t="s">
        <v>61</v>
      </c>
      <c r="W9" s="99"/>
      <c r="X9" s="173">
        <v>18.079999999999998</v>
      </c>
      <c r="Y9" s="590">
        <f>+S9/X9-1</f>
        <v>-2.4336283185840579E-2</v>
      </c>
      <c r="Z9" s="17">
        <f>+RANK(Y9,$Y$4:$Y$44)</f>
        <v>24</v>
      </c>
      <c r="AA9" s="45"/>
      <c r="AB9" s="605"/>
      <c r="AC9" s="549" t="s">
        <v>204</v>
      </c>
      <c r="AD9" s="9">
        <v>17.287488668032786</v>
      </c>
      <c r="AE9" s="550">
        <f>+I9/AD9-1</f>
        <v>0.16384747295337121</v>
      </c>
      <c r="AF9" s="47"/>
      <c r="AG9" s="604">
        <f>+AD9*H9</f>
        <v>8436294.4699999988</v>
      </c>
      <c r="AH9" s="48"/>
      <c r="AI9" s="105" t="str">
        <f>_xll.BDP(G9&amp;" EQUITY",$AA$1)</f>
        <v>6/24/2024</v>
      </c>
      <c r="AJ9" s="84">
        <f>_xll.BDP(G9&amp;" EQUITY",$AB$1)</f>
        <v>20.190000000000001</v>
      </c>
      <c r="AK9" s="591">
        <f>+I9/AJ9-1</f>
        <v>-3.4670629024269317E-3</v>
      </c>
      <c r="AL9" s="47"/>
      <c r="AM9" s="105" t="str">
        <f>_xll.BDP(G9&amp;" EQUITY",$AE$1)</f>
        <v>10/4/2023</v>
      </c>
      <c r="AN9" s="77">
        <f>_xll.BDP(G9&amp;" EQUITY",$AF$1)</f>
        <v>15.89</v>
      </c>
      <c r="AO9" s="591">
        <f>+I9/AN9-1</f>
        <v>0.26620516047828824</v>
      </c>
      <c r="AP9" s="47"/>
      <c r="AQ9" s="47"/>
      <c r="AR9" s="22"/>
      <c r="AT9" s="96"/>
      <c r="AZ9"/>
      <c r="BB9"/>
    </row>
    <row r="10" spans="1:54" ht="15.75" x14ac:dyDescent="0.25">
      <c r="A10" s="762">
        <f>+B10*F10</f>
        <v>8.7200213281401562E-4</v>
      </c>
      <c r="B10" s="441">
        <f>_xll.BDP(G10&amp;" EQUITY",$B$3)*0.01</f>
        <v>2.6952448996705229E-2</v>
      </c>
      <c r="D10" s="24">
        <f>+F10-E10</f>
        <v>3.0053354343444357E-2</v>
      </c>
      <c r="E10" s="85">
        <v>2.3E-3</v>
      </c>
      <c r="F10" s="520">
        <f>+O10/$O$46</f>
        <v>3.2353354343444357E-2</v>
      </c>
      <c r="G10" s="582" t="s">
        <v>25</v>
      </c>
      <c r="H10" s="585">
        <v>20000</v>
      </c>
      <c r="I10" s="584">
        <f>_xll.BDP(G10&amp;" EQUITY",$N$1)</f>
        <v>467.49</v>
      </c>
      <c r="J10" s="112">
        <f>_xll.BDP(G10&amp;" EQUITY",$O$1)</f>
        <v>-4.0199999999999996</v>
      </c>
      <c r="K10" s="127">
        <f>_xll.BDP(G10&amp;" EQUITY",$P$1)*0.01</f>
        <v>-8.5258E-3</v>
      </c>
      <c r="L10" s="132"/>
      <c r="M10" s="161">
        <f>+J10*H10</f>
        <v>-80399.999999999985</v>
      </c>
      <c r="N10" s="99"/>
      <c r="O10" s="587">
        <f>+I10*H10</f>
        <v>9349800</v>
      </c>
      <c r="P10" s="732">
        <f>+E10*$O$46</f>
        <v>664677.29347999999</v>
      </c>
      <c r="Q10" s="733">
        <f>+O10-P10</f>
        <v>8685122.7065200005</v>
      </c>
      <c r="R10" s="99"/>
      <c r="S10" s="173">
        <v>453.24</v>
      </c>
      <c r="T10" s="590">
        <f>+I10/S10-1</f>
        <v>3.1440296531638934E-2</v>
      </c>
      <c r="U10" s="82">
        <f>+RANK(T10,$T$4:$T$44)</f>
        <v>21</v>
      </c>
      <c r="V10" s="45" t="s">
        <v>61</v>
      </c>
      <c r="W10" s="99"/>
      <c r="X10" s="173">
        <v>486.49</v>
      </c>
      <c r="Y10" s="590">
        <f>+S10/X10-1</f>
        <v>-6.8346728606960006E-2</v>
      </c>
      <c r="Z10" s="17">
        <f>+RANK(Y10,$Y$4:$Y$44)</f>
        <v>29</v>
      </c>
      <c r="AA10" s="45"/>
      <c r="AB10" s="605"/>
      <c r="AC10" s="549" t="s">
        <v>25</v>
      </c>
      <c r="AD10" s="9">
        <v>282.49161466666669</v>
      </c>
      <c r="AE10" s="550">
        <f>+I10/AD10-1</f>
        <v>0.65488097957040936</v>
      </c>
      <c r="AF10" s="47"/>
      <c r="AG10" s="604">
        <f>+AD10*H10</f>
        <v>5649832.2933333339</v>
      </c>
      <c r="AH10" s="48"/>
      <c r="AI10" s="105" t="str">
        <f>_xll.BDP(G10&amp;" EQUITY",$AA$1)</f>
        <v>7/18/2023</v>
      </c>
      <c r="AJ10" s="84">
        <f>_xll.BDP(G10&amp;" EQUITY",$AB$1)</f>
        <v>479.5</v>
      </c>
      <c r="AK10" s="591">
        <f>+I10/AJ10-1</f>
        <v>-2.5046923879040617E-2</v>
      </c>
      <c r="AL10" s="47"/>
      <c r="AM10" s="105" t="str">
        <f>_xll.BDP(G10&amp;" EQUITY",$AE$1)</f>
        <v>10/6/2023</v>
      </c>
      <c r="AN10" s="77">
        <f>_xll.BDP(G10&amp;" EQUITY",$AF$1)</f>
        <v>393.77</v>
      </c>
      <c r="AO10" s="591">
        <f>+I10/AN10-1</f>
        <v>0.18721588744698692</v>
      </c>
      <c r="AP10" s="47"/>
      <c r="AQ10" s="47"/>
      <c r="AR10" s="22"/>
      <c r="AT10" s="96"/>
      <c r="AZ10"/>
      <c r="BB10"/>
    </row>
    <row r="11" spans="1:54" ht="15.75" x14ac:dyDescent="0.25">
      <c r="A11" s="762">
        <f>+B11*F11</f>
        <v>1.6664928860995489E-3</v>
      </c>
      <c r="B11" s="441">
        <f>_xll.BDP(G11&amp;" EQUITY",$B$3)*0.01</f>
        <v>5.2503280560965399E-2</v>
      </c>
      <c r="D11" s="24">
        <f>+F11-E11</f>
        <v>3.0740738260430452E-2</v>
      </c>
      <c r="E11" s="85">
        <v>1E-3</v>
      </c>
      <c r="F11" s="520">
        <f>+O11/$O$46</f>
        <v>3.1740738260430452E-2</v>
      </c>
      <c r="G11" s="582" t="s">
        <v>201</v>
      </c>
      <c r="H11" s="583">
        <v>172000</v>
      </c>
      <c r="I11" s="584">
        <f>_xll.BDP(G11&amp;" EQUITY",$N$1)</f>
        <v>53.33</v>
      </c>
      <c r="J11" s="112">
        <f>_xll.BDP(G11&amp;" EQUITY",$O$1)</f>
        <v>-1.29</v>
      </c>
      <c r="K11" s="127">
        <f>_xll.BDP(G11&amp;" EQUITY",$P$1)*0.01</f>
        <v>-2.3617720000000002E-2</v>
      </c>
      <c r="L11" s="132"/>
      <c r="M11" s="161">
        <f>+J11*H11</f>
        <v>-221880</v>
      </c>
      <c r="N11" s="99"/>
      <c r="O11" s="587">
        <f>+I11*H11</f>
        <v>9172760</v>
      </c>
      <c r="P11" s="732">
        <f>+E11*$O$46</f>
        <v>288990.12760000001</v>
      </c>
      <c r="Q11" s="733">
        <f>+O11-P11</f>
        <v>8883769.8724000007</v>
      </c>
      <c r="R11" s="99"/>
      <c r="S11" s="173">
        <v>54.84</v>
      </c>
      <c r="T11" s="590">
        <f>+I11/S11-1</f>
        <v>-2.75346462436179E-2</v>
      </c>
      <c r="U11" s="82">
        <f>+RANK(T11,$T$4:$T$44)</f>
        <v>24</v>
      </c>
      <c r="V11" s="45"/>
      <c r="W11" s="99"/>
      <c r="X11" s="173">
        <v>50.39</v>
      </c>
      <c r="Y11" s="590">
        <f>+S11/X11-1</f>
        <v>8.831117285175627E-2</v>
      </c>
      <c r="Z11" s="102">
        <f>+RANK(Y11,$Y$4:$Y$44)</f>
        <v>15</v>
      </c>
      <c r="AA11" s="45" t="s">
        <v>61</v>
      </c>
      <c r="AB11" s="605"/>
      <c r="AC11" s="549" t="s">
        <v>201</v>
      </c>
      <c r="AD11" s="9">
        <v>58.416931395348833</v>
      </c>
      <c r="AE11" s="550">
        <f>+I11/AD11-1</f>
        <v>-8.7079743386758168E-2</v>
      </c>
      <c r="AF11" s="47"/>
      <c r="AG11" s="604">
        <f>+AD11*H11</f>
        <v>10047712.199999999</v>
      </c>
      <c r="AH11" s="48"/>
      <c r="AI11" s="105" t="str">
        <f>_xll.BDP(G11&amp;" EQUITY",$AA$1)</f>
        <v>4/4/2024</v>
      </c>
      <c r="AJ11" s="84">
        <f>_xll.BDP(G11&amp;" EQUITY",$AB$1)</f>
        <v>60.69</v>
      </c>
      <c r="AK11" s="591">
        <f>+I11/AJ11-1</f>
        <v>-0.12127203822705557</v>
      </c>
      <c r="AL11" s="47"/>
      <c r="AM11" s="105" t="str">
        <f>_xll.BDP(G11&amp;" EQUITY",$AE$1)</f>
        <v>10/25/2023</v>
      </c>
      <c r="AN11" s="77">
        <f>_xll.BDP(G11&amp;" EQUITY",$AF$1)</f>
        <v>47.26</v>
      </c>
      <c r="AO11" s="591">
        <f>+I11/AN11-1</f>
        <v>0.12843842573000419</v>
      </c>
      <c r="AP11" s="47"/>
      <c r="AQ11" s="47"/>
      <c r="AR11" s="22"/>
      <c r="AT11" s="96"/>
      <c r="AZ11"/>
      <c r="BB11"/>
    </row>
    <row r="12" spans="1:54" ht="15.75" x14ac:dyDescent="0.25">
      <c r="A12" s="762">
        <f>+B12*F12</f>
        <v>1.0641194040744537E-3</v>
      </c>
      <c r="B12" s="441">
        <f>_xll.BDP(G12&amp;" EQUITY",$B$3)*0.01</f>
        <v>3.3561134299661496E-2</v>
      </c>
      <c r="D12" s="24">
        <f>+F12-E12</f>
        <v>2.3506896273919636E-2</v>
      </c>
      <c r="E12" s="85">
        <v>8.2000000000000007E-3</v>
      </c>
      <c r="F12" s="520">
        <f>+O12/$O$46</f>
        <v>3.1706896273919635E-2</v>
      </c>
      <c r="G12" s="582" t="s">
        <v>200</v>
      </c>
      <c r="H12" s="583">
        <v>62000</v>
      </c>
      <c r="I12" s="584">
        <f>_xll.BDP(G12&amp;" EQUITY",$N$1)</f>
        <v>147.79</v>
      </c>
      <c r="J12" s="112">
        <f>_xll.BDP(G12&amp;" EQUITY",$O$1)</f>
        <v>-1.33</v>
      </c>
      <c r="K12" s="127">
        <f>_xll.BDP(G12&amp;" EQUITY",$P$1)*0.01</f>
        <v>-8.9189909999999994E-3</v>
      </c>
      <c r="L12" s="132"/>
      <c r="M12" s="161">
        <f>+J12*H12</f>
        <v>-82460</v>
      </c>
      <c r="N12" s="99"/>
      <c r="O12" s="587">
        <f>+I12*H12</f>
        <v>9162980</v>
      </c>
      <c r="P12" s="732">
        <f>+E12*$O$46</f>
        <v>2369719.0463200002</v>
      </c>
      <c r="Q12" s="733">
        <f>+O12-P12</f>
        <v>6793260.9536799993</v>
      </c>
      <c r="R12" s="99"/>
      <c r="S12" s="173">
        <v>156.74</v>
      </c>
      <c r="T12" s="590">
        <f>+I12/S12-1</f>
        <v>-5.7100931478882289E-2</v>
      </c>
      <c r="U12" s="82">
        <f>+RANK(T12,$T$4:$T$44)</f>
        <v>26</v>
      </c>
      <c r="V12" s="45"/>
      <c r="W12" s="99"/>
      <c r="X12" s="173">
        <v>176.65</v>
      </c>
      <c r="Y12" s="590">
        <f>+S12/X12-1</f>
        <v>-0.11270874610812343</v>
      </c>
      <c r="Z12" s="17">
        <f>+RANK(Y12,$Y$4:$Y$44)</f>
        <v>35</v>
      </c>
      <c r="AA12" s="45"/>
      <c r="AB12" s="605"/>
      <c r="AC12" s="549" t="s">
        <v>200</v>
      </c>
      <c r="AD12" s="9">
        <v>162.26002903225807</v>
      </c>
      <c r="AE12" s="550">
        <f>+I12/AD12-1</f>
        <v>-8.9178025657701387E-2</v>
      </c>
      <c r="AF12" s="47"/>
      <c r="AG12" s="604">
        <f>+AD12*H12</f>
        <v>10060121.800000001</v>
      </c>
      <c r="AH12" s="48"/>
      <c r="AI12" s="105" t="str">
        <f>_xll.BDP(G12&amp;" EQUITY",$AA$1)</f>
        <v>8/10/2023</v>
      </c>
      <c r="AJ12" s="84">
        <f>_xll.BDP(G12&amp;" EQUITY",$AB$1)</f>
        <v>175.97</v>
      </c>
      <c r="AK12" s="591">
        <f>+I12/AJ12-1</f>
        <v>-0.16014093311359889</v>
      </c>
      <c r="AL12" s="119"/>
      <c r="AM12" s="105" t="str">
        <f>_xll.BDP(G12&amp;" EQUITY",$AE$1)</f>
        <v>4/18/2024</v>
      </c>
      <c r="AN12" s="77">
        <f>_xll.BDP(G12&amp;" EQUITY",$AF$1)</f>
        <v>143.13</v>
      </c>
      <c r="AO12" s="591">
        <f>+I12/AN12-1</f>
        <v>3.2557814574163402E-2</v>
      </c>
      <c r="AP12" s="47"/>
      <c r="AQ12" s="47"/>
      <c r="AR12" s="22"/>
      <c r="AT12" s="96"/>
      <c r="AZ12"/>
      <c r="BB12"/>
    </row>
    <row r="13" spans="1:54" ht="15.75" x14ac:dyDescent="0.25">
      <c r="A13" s="762">
        <f>+B13*F13</f>
        <v>1.0519390358070583E-3</v>
      </c>
      <c r="B13" s="441">
        <f>_xll.BDP(G13&amp;" EQUITY",$B$3)*0.01</f>
        <v>3.3347959212955545E-2</v>
      </c>
      <c r="D13" s="24">
        <f>+F13-E13</f>
        <v>1.9444330166938202E-2</v>
      </c>
      <c r="E13" s="85">
        <v>1.21E-2</v>
      </c>
      <c r="F13" s="520">
        <f>+O13/$O$46</f>
        <v>3.1544330166938202E-2</v>
      </c>
      <c r="G13" s="582" t="s">
        <v>8</v>
      </c>
      <c r="H13" s="583">
        <v>80000</v>
      </c>
      <c r="I13" s="584">
        <f>_xll.BDP(G13&amp;" EQUITY",$N$1)</f>
        <v>113.95</v>
      </c>
      <c r="J13" s="112">
        <f>_xll.BDP(G13&amp;" EQUITY",$O$1)</f>
        <v>-0.1</v>
      </c>
      <c r="K13" s="127">
        <f>_xll.BDP(G13&amp;" EQUITY",$P$1)*0.01</f>
        <v>-8.768084E-4</v>
      </c>
      <c r="L13" s="132"/>
      <c r="M13" s="161">
        <f>+J13*H13</f>
        <v>-8000</v>
      </c>
      <c r="N13" s="99"/>
      <c r="O13" s="587">
        <f>+I13*H13</f>
        <v>9116000</v>
      </c>
      <c r="P13" s="732">
        <f>+E13*$O$46</f>
        <v>3496780.5439600004</v>
      </c>
      <c r="Q13" s="733">
        <f>+O13-P13</f>
        <v>5619219.4560399996</v>
      </c>
      <c r="R13" s="99"/>
      <c r="S13" s="173">
        <v>99.98</v>
      </c>
      <c r="T13" s="590">
        <f>+I13/S13-1</f>
        <v>0.13972794558911783</v>
      </c>
      <c r="U13" s="82">
        <f>+RANK(T13,$T$4:$T$44)</f>
        <v>8</v>
      </c>
      <c r="V13" s="45" t="s">
        <v>61</v>
      </c>
      <c r="W13" s="99"/>
      <c r="X13" s="173">
        <v>110.3</v>
      </c>
      <c r="Y13" s="590">
        <f>+S13/X13-1</f>
        <v>-9.3563009972801425E-2</v>
      </c>
      <c r="Z13" s="17">
        <f>+RANK(Y13,$Y$4:$Y$44)</f>
        <v>32</v>
      </c>
      <c r="AA13" s="45"/>
      <c r="AB13" s="605"/>
      <c r="AC13" s="549" t="s">
        <v>8</v>
      </c>
      <c r="AD13" s="9">
        <v>27.676122749999998</v>
      </c>
      <c r="AE13" s="550">
        <f>+I13/AD13-1</f>
        <v>3.1172674738191066</v>
      </c>
      <c r="AF13" s="47"/>
      <c r="AG13" s="604">
        <f>+AD13*H13</f>
        <v>2214089.8199999998</v>
      </c>
      <c r="AH13" s="48"/>
      <c r="AI13" s="105" t="str">
        <f>_xll.BDP(G13&amp;" EQUITY",$AA$1)</f>
        <v>4/12/2024</v>
      </c>
      <c r="AJ13" s="84">
        <f>_xll.BDP(G13&amp;" EQUITY",$AB$1)</f>
        <v>123.75</v>
      </c>
      <c r="AK13" s="591">
        <f>+I13/AJ13-1</f>
        <v>-7.9191919191919147E-2</v>
      </c>
      <c r="AL13" s="47"/>
      <c r="AM13" s="105" t="str">
        <f>_xll.BDP(G13&amp;" EQUITY",$AE$1)</f>
        <v>1/22/2024</v>
      </c>
      <c r="AN13" s="77">
        <f>_xll.BDP(G13&amp;" EQUITY",$AF$1)</f>
        <v>95.77</v>
      </c>
      <c r="AO13" s="591">
        <f>+I13/AN13-1</f>
        <v>0.18982980056385101</v>
      </c>
      <c r="AP13" s="47"/>
      <c r="AQ13" s="47"/>
      <c r="AR13" s="22"/>
      <c r="AT13" s="96"/>
      <c r="AZ13"/>
      <c r="BB13"/>
    </row>
    <row r="14" spans="1:54" ht="15.75" x14ac:dyDescent="0.25">
      <c r="A14" s="762">
        <f>+B14*F14</f>
        <v>9.7650397354091779E-4</v>
      </c>
      <c r="B14" s="441">
        <f>_xll.BDP(G14&amp;" EQUITY",$B$3)*0.01</f>
        <v>3.486464412804996E-2</v>
      </c>
      <c r="D14" s="24">
        <f>+F14-E14</f>
        <v>2.5308430831946522E-2</v>
      </c>
      <c r="E14" s="85">
        <v>2.7000000000000001E-3</v>
      </c>
      <c r="F14" s="520">
        <f>+O14/$O$46</f>
        <v>2.8008430831946523E-2</v>
      </c>
      <c r="G14" s="582" t="s">
        <v>215</v>
      </c>
      <c r="H14" s="585">
        <v>83000</v>
      </c>
      <c r="I14" s="584">
        <f>_xll.BDP(G14&amp;" EQUITY",$N$1)</f>
        <v>97.52</v>
      </c>
      <c r="J14" s="112">
        <f>_xll.BDP(G14&amp;" EQUITY",$O$1)</f>
        <v>0.42</v>
      </c>
      <c r="K14" s="127">
        <f>_xll.BDP(G14&amp;" EQUITY",$P$1)*0.01</f>
        <v>4.325438E-3</v>
      </c>
      <c r="L14" s="132"/>
      <c r="M14" s="161">
        <f>+J14*H14</f>
        <v>34860</v>
      </c>
      <c r="N14" s="99"/>
      <c r="O14" s="587">
        <f>+I14*H14</f>
        <v>8094160</v>
      </c>
      <c r="P14" s="732">
        <f>+E14*$O$46</f>
        <v>780273.34452000016</v>
      </c>
      <c r="Q14" s="733">
        <f>+O14-P14</f>
        <v>7313886.6554800002</v>
      </c>
      <c r="R14" s="99"/>
      <c r="S14" s="173">
        <v>92.25</v>
      </c>
      <c r="T14" s="590">
        <f>+I14/S14-1</f>
        <v>5.712737127371259E-2</v>
      </c>
      <c r="U14" s="82">
        <f>+RANK(T14,$T$4:$T$44)</f>
        <v>19</v>
      </c>
      <c r="V14" s="45" t="s">
        <v>61</v>
      </c>
      <c r="W14" s="99"/>
      <c r="X14" s="173">
        <v>85.02</v>
      </c>
      <c r="Y14" s="590">
        <f>+S14/X14-1</f>
        <v>8.5038814396612539E-2</v>
      </c>
      <c r="Z14" s="82">
        <f>+RANK(Y14,$Y$4:$Y$44)</f>
        <v>16</v>
      </c>
      <c r="AA14" s="45" t="s">
        <v>61</v>
      </c>
      <c r="AB14" s="605"/>
      <c r="AC14" s="549" t="s">
        <v>215</v>
      </c>
      <c r="AD14" s="9">
        <v>92.57071084337349</v>
      </c>
      <c r="AE14" s="550">
        <f>+I14/AD14-1</f>
        <v>5.3464957885011044E-2</v>
      </c>
      <c r="AF14" s="47"/>
      <c r="AG14" s="604">
        <f>+AD14*H14</f>
        <v>7683369</v>
      </c>
      <c r="AH14" s="48"/>
      <c r="AI14" s="105" t="str">
        <f>_xll.BDP(G14&amp;" EQUITY",$AA$1)</f>
        <v>5/21/2024</v>
      </c>
      <c r="AJ14" s="84">
        <f>_xll.BDP(G14&amp;" EQUITY",$AB$1)</f>
        <v>103.25</v>
      </c>
      <c r="AK14" s="591">
        <f>+I14/AJ14-1</f>
        <v>-5.5496368038740918E-2</v>
      </c>
      <c r="AL14" s="47"/>
      <c r="AM14" s="105" t="str">
        <f>_xll.BDP(G14&amp;" EQUITY",$AE$1)</f>
        <v>10/30/2023</v>
      </c>
      <c r="AN14" s="77">
        <f>_xll.BDP(G14&amp;" EQUITY",$AF$1)</f>
        <v>69.42</v>
      </c>
      <c r="AO14" s="591">
        <f>+I14/AN14-1</f>
        <v>0.40478248343416867</v>
      </c>
      <c r="AP14" s="47"/>
      <c r="AQ14" s="47"/>
      <c r="AR14" s="22"/>
      <c r="AT14" s="96"/>
      <c r="AZ14"/>
      <c r="BB14"/>
    </row>
    <row r="15" spans="1:54" ht="15.75" x14ac:dyDescent="0.25">
      <c r="A15" s="762">
        <f>+B15*F15</f>
        <v>7.8480187126976522E-4</v>
      </c>
      <c r="B15" s="441">
        <f>_xll.BDP(G15&amp;" EQUITY",$B$3)*0.01</f>
        <v>2.8583580562278398E-2</v>
      </c>
      <c r="D15" s="24">
        <f>+F15-E15</f>
        <v>2.6556387752396007E-2</v>
      </c>
      <c r="E15" s="85">
        <v>8.9999999999999998E-4</v>
      </c>
      <c r="F15" s="520">
        <f>+O15/$O$46</f>
        <v>2.7456387752396009E-2</v>
      </c>
      <c r="G15" s="582" t="s">
        <v>212</v>
      </c>
      <c r="H15" s="585">
        <v>135000</v>
      </c>
      <c r="I15" s="584">
        <f>_xll.BDP(G15&amp;" EQUITY",$N$1)</f>
        <v>58.774999999999999</v>
      </c>
      <c r="J15" s="112">
        <f>_xll.BDP(G15&amp;" EQUITY",$O$1)</f>
        <v>-0.70499999999999996</v>
      </c>
      <c r="K15" s="127">
        <f>_xll.BDP(G15&amp;" EQUITY",$P$1)*0.01</f>
        <v>-1.1852720000000001E-2</v>
      </c>
      <c r="L15" s="132"/>
      <c r="M15" s="161">
        <f>+J15*H15</f>
        <v>-95175</v>
      </c>
      <c r="N15" s="99"/>
      <c r="O15" s="587">
        <f>+I15*H15</f>
        <v>7934625</v>
      </c>
      <c r="P15" s="732">
        <f>+E15*$O$46</f>
        <v>260091.11484000002</v>
      </c>
      <c r="Q15" s="733">
        <f>+O15-P15</f>
        <v>7674533.8851600001</v>
      </c>
      <c r="R15" s="99"/>
      <c r="S15" s="173">
        <v>52.05</v>
      </c>
      <c r="T15" s="590">
        <f>+I15/S15-1</f>
        <v>0.12920268972142179</v>
      </c>
      <c r="U15" s="82">
        <f>+RANK(T15,$T$4:$T$44)</f>
        <v>9</v>
      </c>
      <c r="V15" s="45" t="s">
        <v>61</v>
      </c>
      <c r="W15" s="99"/>
      <c r="X15" s="173">
        <v>45.52</v>
      </c>
      <c r="Y15" s="590">
        <f>+S15/X15-1</f>
        <v>0.14345342706502628</v>
      </c>
      <c r="Z15" s="17">
        <f>+RANK(Y15,$Y$4:$Y$44)</f>
        <v>12</v>
      </c>
      <c r="AA15" s="45" t="s">
        <v>61</v>
      </c>
      <c r="AB15" s="605"/>
      <c r="AC15" s="549" t="s">
        <v>212</v>
      </c>
      <c r="AD15" s="9">
        <v>44.8068377037037</v>
      </c>
      <c r="AE15" s="550">
        <f>+I15/AD15-1</f>
        <v>0.31174175666366444</v>
      </c>
      <c r="AF15" s="47"/>
      <c r="AG15" s="604">
        <f>+AD15*H15</f>
        <v>6048923.0899999999</v>
      </c>
      <c r="AH15" s="48"/>
      <c r="AI15" s="105" t="str">
        <f>_xll.BDP(G15&amp;" EQUITY",$AA$1)</f>
        <v>6/10/2024</v>
      </c>
      <c r="AJ15" s="84">
        <f>_xll.BDP(G15&amp;" EQUITY",$AB$1)</f>
        <v>60.865000000000002</v>
      </c>
      <c r="AK15" s="591">
        <f>+I15/AJ15-1</f>
        <v>-3.4338289657438681E-2</v>
      </c>
      <c r="AL15" s="47"/>
      <c r="AM15" s="105" t="str">
        <f>_xll.BDP(G15&amp;" EQUITY",$AE$1)</f>
        <v>10/17/2023</v>
      </c>
      <c r="AN15" s="77">
        <f>_xll.BDP(G15&amp;" EQUITY",$AF$1)</f>
        <v>39.659999999999997</v>
      </c>
      <c r="AO15" s="591">
        <f>+I15/AN15-1</f>
        <v>0.48197175995965713</v>
      </c>
      <c r="AP15" s="47"/>
      <c r="AQ15" s="47"/>
      <c r="AR15" s="22"/>
      <c r="AT15" s="96"/>
      <c r="AZ15"/>
      <c r="BB15"/>
    </row>
    <row r="16" spans="1:54" ht="15.75" x14ac:dyDescent="0.25">
      <c r="A16" s="762">
        <f>+B16*F16</f>
        <v>1.0816147973709343E-3</v>
      </c>
      <c r="B16" s="441">
        <f>_xll.BDP(G16&amp;" EQUITY",$B$3)*0.01</f>
        <v>4.0406359191029265E-2</v>
      </c>
      <c r="D16" s="24">
        <f>+F16-E16</f>
        <v>2.5768429995322785E-2</v>
      </c>
      <c r="E16" s="85">
        <v>1E-3</v>
      </c>
      <c r="F16" s="520">
        <f>+O16/$O$46</f>
        <v>2.6768429995322786E-2</v>
      </c>
      <c r="G16" s="582" t="s">
        <v>207</v>
      </c>
      <c r="H16" s="585">
        <v>88800</v>
      </c>
      <c r="I16" s="584">
        <f>_xll.BDP(G16&amp;" EQUITY",$N$1)</f>
        <v>87.114999999999995</v>
      </c>
      <c r="J16" s="112">
        <f>_xll.BDP(G16&amp;" EQUITY",$O$1)</f>
        <v>-1.0249999999999999</v>
      </c>
      <c r="K16" s="127">
        <f>_xll.BDP(G16&amp;" EQUITY",$P$1)*0.01</f>
        <v>-1.1629229999999999E-2</v>
      </c>
      <c r="L16" s="132"/>
      <c r="M16" s="161">
        <f>+J16*H16</f>
        <v>-91019.999999999985</v>
      </c>
      <c r="N16" s="99"/>
      <c r="O16" s="587">
        <f>+I16*H16</f>
        <v>7735812</v>
      </c>
      <c r="P16" s="732">
        <f>+E16*$O$46</f>
        <v>288990.12760000001</v>
      </c>
      <c r="Q16" s="733">
        <f>+O16-P16</f>
        <v>7446821.8723999998</v>
      </c>
      <c r="R16" s="99"/>
      <c r="S16" s="173">
        <v>81.22</v>
      </c>
      <c r="T16" s="590">
        <f>+I16/S16-1</f>
        <v>7.2580645161290258E-2</v>
      </c>
      <c r="U16" s="82">
        <f>+RANK(T16,$T$4:$T$44)</f>
        <v>15</v>
      </c>
      <c r="V16" s="45" t="s">
        <v>61</v>
      </c>
      <c r="W16" s="99"/>
      <c r="X16" s="173">
        <v>94.95</v>
      </c>
      <c r="Y16" s="590">
        <f>+S16/X16-1</f>
        <v>-0.14460242232754084</v>
      </c>
      <c r="Z16" s="103">
        <f>+RANK(Y16,$Y$4:$Y$44)</f>
        <v>37</v>
      </c>
      <c r="AA16" s="45"/>
      <c r="AB16" s="605"/>
      <c r="AC16" s="549" t="s">
        <v>207</v>
      </c>
      <c r="AD16" s="9">
        <v>77.493958896396393</v>
      </c>
      <c r="AE16" s="550">
        <f>+I16/AD16-1</f>
        <v>0.12415214347825754</v>
      </c>
      <c r="AF16" s="47"/>
      <c r="AG16" s="604">
        <f>+AD16*H16</f>
        <v>6881463.5499999998</v>
      </c>
      <c r="AH16" s="48"/>
      <c r="AI16" s="105" t="str">
        <f>_xll.BDP(G16&amp;" EQUITY",$AA$1)</f>
        <v>5/21/2024</v>
      </c>
      <c r="AJ16" s="84">
        <f>_xll.BDP(G16&amp;" EQUITY",$AB$1)</f>
        <v>93.44</v>
      </c>
      <c r="AK16" s="591">
        <f>+I16/AJ16-1</f>
        <v>-6.769049657534254E-2</v>
      </c>
      <c r="AL16" s="47"/>
      <c r="AM16" s="105" t="str">
        <f>_xll.BDP(G16&amp;" EQUITY",$AE$1)</f>
        <v>10/6/2023</v>
      </c>
      <c r="AN16" s="77">
        <f>_xll.BDP(G16&amp;" EQUITY",$AF$1)</f>
        <v>69.38</v>
      </c>
      <c r="AO16" s="591">
        <f>+I16/AN16-1</f>
        <v>0.25562121648890179</v>
      </c>
      <c r="AP16" s="47"/>
      <c r="AQ16" s="47"/>
      <c r="AR16" s="22"/>
      <c r="AT16" s="96"/>
      <c r="AZ16"/>
      <c r="BB16"/>
    </row>
    <row r="17" spans="1:54" ht="15.75" x14ac:dyDescent="0.25">
      <c r="A17" s="762">
        <f>+B17*F17</f>
        <v>1.0782375001521512E-3</v>
      </c>
      <c r="B17" s="441">
        <f>_xll.BDP(G17&amp;" EQUITY",$B$3)*0.01</f>
        <v>4.0975413798046853E-2</v>
      </c>
      <c r="D17" s="24">
        <f>+F17-E17</f>
        <v>2.451425531091395E-2</v>
      </c>
      <c r="E17" s="85">
        <v>1.8E-3</v>
      </c>
      <c r="F17" s="520">
        <f>+O17/$O$46</f>
        <v>2.6314255310913949E-2</v>
      </c>
      <c r="G17" s="582" t="s">
        <v>208</v>
      </c>
      <c r="H17" s="585">
        <v>76000</v>
      </c>
      <c r="I17" s="584">
        <f>_xll.BDP(G17&amp;" EQUITY",$N$1)</f>
        <v>100.06</v>
      </c>
      <c r="J17" s="112">
        <f>_xll.BDP(G17&amp;" EQUITY",$O$1)</f>
        <v>-1.45</v>
      </c>
      <c r="K17" s="127">
        <f>_xll.BDP(G17&amp;" EQUITY",$P$1)*0.01</f>
        <v>-1.428431E-2</v>
      </c>
      <c r="L17" s="132"/>
      <c r="M17" s="161">
        <f>+J17*H17</f>
        <v>-110200</v>
      </c>
      <c r="N17" s="99"/>
      <c r="O17" s="587">
        <f>+I17*H17</f>
        <v>7604560</v>
      </c>
      <c r="P17" s="732">
        <f>+E17*$O$46</f>
        <v>520182.22968000005</v>
      </c>
      <c r="Q17" s="733">
        <f>+O17-P17</f>
        <v>7084377.7703200001</v>
      </c>
      <c r="R17" s="99"/>
      <c r="S17" s="173">
        <v>97.04</v>
      </c>
      <c r="T17" s="590">
        <f>+I17/S17-1</f>
        <v>3.1121187139323991E-2</v>
      </c>
      <c r="U17" s="82">
        <f>+RANK(T17,$T$4:$T$44)</f>
        <v>22</v>
      </c>
      <c r="V17" s="45" t="s">
        <v>61</v>
      </c>
      <c r="W17" s="99"/>
      <c r="X17" s="173">
        <v>102.99</v>
      </c>
      <c r="Y17" s="590">
        <f>+S17/X17-1</f>
        <v>-5.7772599281483483E-2</v>
      </c>
      <c r="Z17" s="103">
        <f>+RANK(Y17,$Y$4:$Y$44)</f>
        <v>28</v>
      </c>
      <c r="AA17" s="45"/>
      <c r="AB17" s="605"/>
      <c r="AC17" s="549" t="s">
        <v>208</v>
      </c>
      <c r="AD17" s="9">
        <v>88.938951842105254</v>
      </c>
      <c r="AE17" s="550">
        <f>+I17/AD17-1</f>
        <v>0.12504136744986738</v>
      </c>
      <c r="AF17" s="47"/>
      <c r="AG17" s="604">
        <f>+AD17*H17</f>
        <v>6759360.3399999989</v>
      </c>
      <c r="AH17" s="48"/>
      <c r="AI17" s="105" t="str">
        <f>_xll.BDP(G17&amp;" EQUITY",$AA$1)</f>
        <v>6/4/2024</v>
      </c>
      <c r="AJ17" s="84">
        <f>_xll.BDP(G17&amp;" EQUITY",$AB$1)</f>
        <v>104.8693</v>
      </c>
      <c r="AK17" s="591">
        <f>+I17/AJ17-1</f>
        <v>-4.5859941851428387E-2</v>
      </c>
      <c r="AL17" s="47"/>
      <c r="AM17" s="105" t="str">
        <f>_xll.BDP(G17&amp;" EQUITY",$AE$1)</f>
        <v>10/6/2023</v>
      </c>
      <c r="AN17" s="77">
        <f>_xll.BDP(G17&amp;" EQUITY",$AF$1)</f>
        <v>83.06</v>
      </c>
      <c r="AO17" s="591">
        <f>+I17/AN17-1</f>
        <v>0.20467132193594995</v>
      </c>
      <c r="AP17" s="47"/>
      <c r="AQ17" s="47"/>
      <c r="AR17" s="22"/>
      <c r="AT17" s="96"/>
      <c r="AZ17"/>
      <c r="BB17"/>
    </row>
    <row r="18" spans="1:54" ht="15.75" x14ac:dyDescent="0.25">
      <c r="A18" s="762">
        <f>+B18*F18</f>
        <v>3.04508676618551E-4</v>
      </c>
      <c r="B18" s="441">
        <f>_xll.BDP(G18&amp;" EQUITY",$B$3)*0.01</f>
        <v>1.1601769442693482E-2</v>
      </c>
      <c r="D18" s="24">
        <f>+F18-E18</f>
        <v>2.2046744354183259E-2</v>
      </c>
      <c r="E18" s="85">
        <v>4.1999999999999997E-3</v>
      </c>
      <c r="F18" s="520">
        <f>+O18/$O$46</f>
        <v>2.6246744354183258E-2</v>
      </c>
      <c r="G18" s="582" t="s">
        <v>531</v>
      </c>
      <c r="H18" s="585">
        <v>55000</v>
      </c>
      <c r="I18" s="584">
        <f>_xll.BDP(G18&amp;" EQUITY",$N$1)</f>
        <v>137.91</v>
      </c>
      <c r="J18" s="112">
        <f>_xll.BDP(G18&amp;" EQUITY",$O$1)</f>
        <v>-1.98</v>
      </c>
      <c r="K18" s="127">
        <f>_xll.BDP(G18&amp;" EQUITY",$P$1)*0.01</f>
        <v>-1.415398E-2</v>
      </c>
      <c r="L18" s="132"/>
      <c r="M18" s="161">
        <f>+J18*H18</f>
        <v>-108900</v>
      </c>
      <c r="N18" s="99"/>
      <c r="O18" s="587">
        <f>+I18*H18</f>
        <v>7585050</v>
      </c>
      <c r="P18" s="732">
        <f>+E18*$O$46</f>
        <v>1213758.5359199999</v>
      </c>
      <c r="Q18" s="733">
        <f>+O18-P18</f>
        <v>6371291.4640800003</v>
      </c>
      <c r="R18" s="99"/>
      <c r="S18" s="173">
        <v>105.43</v>
      </c>
      <c r="T18" s="590">
        <f>+I18/S18-1</f>
        <v>0.30807170634544234</v>
      </c>
      <c r="U18" s="82">
        <f>+RANK(T18,$T$4:$T$44)</f>
        <v>2</v>
      </c>
      <c r="V18" s="45" t="s">
        <v>61</v>
      </c>
      <c r="W18" s="99"/>
      <c r="X18" s="173">
        <v>81.739999999999995</v>
      </c>
      <c r="Y18" s="590">
        <f>+S18/X18-1</f>
        <v>0.28982138487888442</v>
      </c>
      <c r="Z18" s="17">
        <f>+RANK(Y18,$Y$4:$Y$44)</f>
        <v>5</v>
      </c>
      <c r="AA18" s="45" t="s">
        <v>61</v>
      </c>
      <c r="AB18" s="605"/>
      <c r="AC18" s="549" t="s">
        <v>531</v>
      </c>
      <c r="AD18" s="9">
        <v>103.48760428571428</v>
      </c>
      <c r="AE18" s="550">
        <f>+I18/AD18-1</f>
        <v>0.33262337022751498</v>
      </c>
      <c r="AF18" s="47"/>
      <c r="AG18" s="604">
        <f>+AD18*H18</f>
        <v>5691818.2357142856</v>
      </c>
      <c r="AH18" s="48"/>
      <c r="AI18" s="105" t="str">
        <f>_xll.BDP(G18&amp;" EQUITY",$AA$1)</f>
        <v>6/20/2024</v>
      </c>
      <c r="AJ18" s="84">
        <f>_xll.BDP(G18&amp;" EQUITY",$AB$1)</f>
        <v>145.32</v>
      </c>
      <c r="AK18" s="591">
        <f>+I18/AJ18-1</f>
        <v>-5.0990916597853042E-2</v>
      </c>
      <c r="AL18" s="47"/>
      <c r="AM18" s="105" t="str">
        <f>_xll.BDP(G18&amp;" EQUITY",$AE$1)</f>
        <v>12/13/2023</v>
      </c>
      <c r="AN18" s="77">
        <f>_xll.BDP(G18&amp;" EQUITY",$AF$1)</f>
        <v>99.26</v>
      </c>
      <c r="AO18" s="591">
        <f>+I18/AN18-1</f>
        <v>0.38938142252669738</v>
      </c>
      <c r="AP18" s="47"/>
      <c r="AQ18" s="47"/>
      <c r="AR18" s="22"/>
      <c r="AT18" s="96"/>
      <c r="AZ18"/>
      <c r="BB18"/>
    </row>
    <row r="19" spans="1:54" ht="15.75" x14ac:dyDescent="0.25">
      <c r="A19" s="762">
        <f>+B19*F19</f>
        <v>1.281843121376503E-3</v>
      </c>
      <c r="B19" s="441">
        <f>_xll.BDP(G19&amp;" EQUITY",$B$3)*0.01</f>
        <v>4.9258608649082006E-2</v>
      </c>
      <c r="D19" s="24">
        <f>+F19-E19</f>
        <v>2.4422722860654562E-2</v>
      </c>
      <c r="E19" s="85">
        <v>1.6000000000000001E-3</v>
      </c>
      <c r="F19" s="520">
        <f>+O19/$O$46</f>
        <v>2.6022722860654563E-2</v>
      </c>
      <c r="G19" s="582" t="s">
        <v>203</v>
      </c>
      <c r="H19" s="585">
        <v>189000</v>
      </c>
      <c r="I19" s="584">
        <f>_xll.BDP(G19&amp;" EQUITY",$N$1)</f>
        <v>39.79</v>
      </c>
      <c r="J19" s="112">
        <f>_xll.BDP(G19&amp;" EQUITY",$O$1)</f>
        <v>-0.76</v>
      </c>
      <c r="K19" s="127">
        <f>_xll.BDP(G19&amp;" EQUITY",$P$1)*0.01</f>
        <v>-1.8742289999999998E-2</v>
      </c>
      <c r="L19" s="132"/>
      <c r="M19" s="161">
        <f>+J19*H19</f>
        <v>-143640</v>
      </c>
      <c r="N19" s="99"/>
      <c r="O19" s="587">
        <f>+I19*H19</f>
        <v>7520310</v>
      </c>
      <c r="P19" s="732">
        <f>+E19*$O$46</f>
        <v>462384.20416000008</v>
      </c>
      <c r="Q19" s="733">
        <f>+O19-P19</f>
        <v>7057925.7958399998</v>
      </c>
      <c r="R19" s="99"/>
      <c r="S19" s="173">
        <v>43.28</v>
      </c>
      <c r="T19" s="590">
        <f>+I19/S19-1</f>
        <v>-8.0637707948243986E-2</v>
      </c>
      <c r="U19" s="82">
        <f>+RANK(T19,$T$4:$T$44)</f>
        <v>29</v>
      </c>
      <c r="V19" s="45"/>
      <c r="W19" s="99"/>
      <c r="X19" s="173">
        <v>43.61</v>
      </c>
      <c r="Y19" s="590">
        <f>+S19/X19-1</f>
        <v>-7.5670717725292436E-3</v>
      </c>
      <c r="Z19" s="103">
        <f>+RANK(Y19,$Y$4:$Y$44)</f>
        <v>20</v>
      </c>
      <c r="AA19" s="45"/>
      <c r="AB19" s="605"/>
      <c r="AC19" s="549" t="s">
        <v>203</v>
      </c>
      <c r="AD19" s="9">
        <v>53.050638095238092</v>
      </c>
      <c r="AE19" s="550">
        <f>+I19/AD19-1</f>
        <v>-0.24996189624396603</v>
      </c>
      <c r="AF19" s="47"/>
      <c r="AG19" s="604">
        <f>+AD19*H19</f>
        <v>10026570.6</v>
      </c>
      <c r="AH19" s="48"/>
      <c r="AI19" s="105" t="str">
        <f>_xll.BDP(G19&amp;" EQUITY",$AA$1)</f>
        <v>12/14/2023</v>
      </c>
      <c r="AJ19" s="84">
        <f>_xll.BDP(G19&amp;" EQUITY",$AB$1)</f>
        <v>45.85</v>
      </c>
      <c r="AK19" s="591">
        <f>+I19/AJ19-1</f>
        <v>-0.13217011995637951</v>
      </c>
      <c r="AL19" s="47"/>
      <c r="AM19" s="105" t="str">
        <f>_xll.BDP(G19&amp;" EQUITY",$AE$1)</f>
        <v>10/27/2023</v>
      </c>
      <c r="AN19" s="77">
        <f>_xll.BDP(G19&amp;" EQUITY",$AF$1)</f>
        <v>30.47</v>
      </c>
      <c r="AO19" s="591">
        <f>+I19/AN19-1</f>
        <v>0.30587463078437804</v>
      </c>
      <c r="AP19" s="47"/>
      <c r="AQ19" s="47"/>
      <c r="AR19" s="22"/>
      <c r="AT19" s="96"/>
      <c r="AZ19"/>
      <c r="BB19"/>
    </row>
    <row r="20" spans="1:54" ht="15.75" x14ac:dyDescent="0.25">
      <c r="A20" s="762">
        <f>+B20*F20</f>
        <v>1.6383951216950238E-3</v>
      </c>
      <c r="B20" s="441">
        <f>_xll.BDP(G20&amp;" EQUITY",$B$3)*0.01</f>
        <v>6.4555901181680891E-2</v>
      </c>
      <c r="D20" s="24">
        <f>+F20-E20</f>
        <v>2.1579478741750618E-2</v>
      </c>
      <c r="E20" s="85">
        <v>3.8E-3</v>
      </c>
      <c r="F20" s="520">
        <f>+O20/$O$46</f>
        <v>2.537947874175062E-2</v>
      </c>
      <c r="G20" s="582" t="s">
        <v>199</v>
      </c>
      <c r="H20" s="583">
        <v>178000</v>
      </c>
      <c r="I20" s="584">
        <f>_xll.BDP(G20&amp;" EQUITY",$N$1)</f>
        <v>41.204599999999999</v>
      </c>
      <c r="J20" s="112">
        <f>_xll.BDP(G20&amp;" EQUITY",$O$1)</f>
        <v>3.4599999999999999E-2</v>
      </c>
      <c r="K20" s="127">
        <f>_xll.BDP(G20&amp;" EQUITY",$P$1)*0.01</f>
        <v>8.4041779999999993E-4</v>
      </c>
      <c r="L20" s="132"/>
      <c r="M20" s="161">
        <f>+J20*H20</f>
        <v>6158.8</v>
      </c>
      <c r="N20" s="99"/>
      <c r="O20" s="587">
        <f>+I20*H20</f>
        <v>7334418.7999999998</v>
      </c>
      <c r="P20" s="732">
        <f>+E20*$O$46</f>
        <v>1098162.4848800001</v>
      </c>
      <c r="Q20" s="733">
        <f>+O20-P20</f>
        <v>6236256.3151199995</v>
      </c>
      <c r="R20" s="99"/>
      <c r="S20" s="173">
        <v>37.700000000000003</v>
      </c>
      <c r="T20" s="590">
        <f>+I20/S20-1</f>
        <v>9.2960212201591341E-2</v>
      </c>
      <c r="U20" s="82">
        <f>+RANK(T20,$T$4:$T$44)</f>
        <v>13</v>
      </c>
      <c r="V20" s="45" t="s">
        <v>61</v>
      </c>
      <c r="W20" s="99"/>
      <c r="X20" s="173">
        <v>39.4</v>
      </c>
      <c r="Y20" s="590">
        <f>+S20/X20-1</f>
        <v>-4.3147208121827263E-2</v>
      </c>
      <c r="Z20" s="17">
        <f>+RANK(Y20,$Y$4:$Y$44)</f>
        <v>27</v>
      </c>
      <c r="AA20" s="45"/>
      <c r="AB20" s="605"/>
      <c r="AC20" s="549" t="s">
        <v>199</v>
      </c>
      <c r="AD20" s="9">
        <v>56.485749157303367</v>
      </c>
      <c r="AE20" s="550">
        <f>+I20/AD20-1</f>
        <v>-0.27053105226148144</v>
      </c>
      <c r="AF20" s="47"/>
      <c r="AG20" s="604">
        <f>+AD20*H20</f>
        <v>10054463.35</v>
      </c>
      <c r="AH20" s="48"/>
      <c r="AI20" s="105" t="str">
        <f>_xll.BDP(G20&amp;" EQUITY",$AA$1)</f>
        <v>4/4/2024</v>
      </c>
      <c r="AJ20" s="84">
        <f>_xll.BDP(G20&amp;" EQUITY",$AB$1)</f>
        <v>43.42</v>
      </c>
      <c r="AK20" s="591">
        <f>+I20/AJ20-1</f>
        <v>-5.1022570244127152E-2</v>
      </c>
      <c r="AL20" s="119"/>
      <c r="AM20" s="105" t="str">
        <f>_xll.BDP(G20&amp;" EQUITY",$AE$1)</f>
        <v>10/6/2023</v>
      </c>
      <c r="AN20" s="77">
        <f>_xll.BDP(G20&amp;" EQUITY",$AF$1)</f>
        <v>30.135000000000002</v>
      </c>
      <c r="AO20" s="591">
        <f>+I20/AN20-1</f>
        <v>0.36733366517338628</v>
      </c>
      <c r="AP20" s="47"/>
      <c r="AQ20" s="47"/>
      <c r="AR20" s="22"/>
      <c r="AT20" s="96"/>
      <c r="AZ20"/>
      <c r="BB20"/>
    </row>
    <row r="21" spans="1:54" ht="15.75" x14ac:dyDescent="0.25">
      <c r="A21" s="762">
        <f>+B21*F21</f>
        <v>8.3047820895968446E-4</v>
      </c>
      <c r="B21" s="441">
        <f>_xll.BDP(G21&amp;" EQUITY",$B$3)*0.01</f>
        <v>3.3624041690487716E-2</v>
      </c>
      <c r="D21" s="24">
        <f>+F21-E21</f>
        <v>2.019894061529872E-2</v>
      </c>
      <c r="E21" s="85">
        <v>4.4999999999999997E-3</v>
      </c>
      <c r="F21" s="520">
        <f>+O21/$O$46</f>
        <v>2.4698940615298721E-2</v>
      </c>
      <c r="G21" s="582" t="s">
        <v>209</v>
      </c>
      <c r="H21" s="583">
        <v>150000</v>
      </c>
      <c r="I21" s="584">
        <f>_xll.BDP(G21&amp;" EQUITY",$N$1)</f>
        <v>47.585000000000001</v>
      </c>
      <c r="J21" s="112">
        <f>_xll.BDP(G21&amp;" EQUITY",$O$1)</f>
        <v>0.30499999999999999</v>
      </c>
      <c r="K21" s="127">
        <f>_xll.BDP(G21&amp;" EQUITY",$P$1)*0.01</f>
        <v>6.450931E-3</v>
      </c>
      <c r="L21" s="132"/>
      <c r="M21" s="161">
        <f>+J21*H21</f>
        <v>45750</v>
      </c>
      <c r="N21" s="99"/>
      <c r="O21" s="587">
        <f>+I21*H21</f>
        <v>7137750</v>
      </c>
      <c r="P21" s="732">
        <f>+E21*$O$46</f>
        <v>1300455.5741999999</v>
      </c>
      <c r="Q21" s="733">
        <f>+O21-P21</f>
        <v>5837294.4258000003</v>
      </c>
      <c r="R21" s="99"/>
      <c r="S21" s="173">
        <v>50.52</v>
      </c>
      <c r="T21" s="590">
        <f>+I21/S21-1</f>
        <v>-5.8095803642121968E-2</v>
      </c>
      <c r="U21" s="82">
        <f>+RANK(T21,$T$4:$T$44)</f>
        <v>27</v>
      </c>
      <c r="V21" s="45"/>
      <c r="W21" s="99"/>
      <c r="X21" s="173">
        <v>47.64</v>
      </c>
      <c r="Y21" s="590">
        <f>+S21/X21-1</f>
        <v>6.0453400503778454E-2</v>
      </c>
      <c r="Z21" s="82">
        <f>+RANK(Y21,$Y$4:$Y$44)</f>
        <v>17</v>
      </c>
      <c r="AA21" s="45" t="s">
        <v>61</v>
      </c>
      <c r="AB21" s="605"/>
      <c r="AC21" s="549" t="s">
        <v>209</v>
      </c>
      <c r="AD21" s="9">
        <v>54.752598866666666</v>
      </c>
      <c r="AE21" s="550">
        <f>+I21/AD21-1</f>
        <v>-0.13090883382761753</v>
      </c>
      <c r="AF21" s="47"/>
      <c r="AG21" s="604">
        <f>+AD21*H21</f>
        <v>8212889.8300000001</v>
      </c>
      <c r="AH21" s="48"/>
      <c r="AI21" s="105" t="str">
        <f>_xll.BDP(G21&amp;" EQUITY",$AA$1)</f>
        <v>9/1/2023</v>
      </c>
      <c r="AJ21" s="84">
        <f>_xll.BDP(G21&amp;" EQUITY",$AB$1)</f>
        <v>58.185000000000002</v>
      </c>
      <c r="AK21" s="591">
        <f>+I21/AJ21-1</f>
        <v>-0.18217753716593621</v>
      </c>
      <c r="AL21" s="47"/>
      <c r="AM21" s="105" t="str">
        <f>_xll.BDP(G21&amp;" EQUITY",$AE$1)</f>
        <v>6/17/2024</v>
      </c>
      <c r="AN21" s="77">
        <f>_xll.BDP(G21&amp;" EQUITY",$AF$1)</f>
        <v>44.95</v>
      </c>
      <c r="AO21" s="591">
        <f>+I21/AN21-1</f>
        <v>5.862068965517242E-2</v>
      </c>
      <c r="AP21" s="47"/>
      <c r="AQ21" s="47"/>
      <c r="AR21" s="22"/>
      <c r="AT21" s="96"/>
      <c r="AZ21"/>
      <c r="BB21"/>
    </row>
    <row r="22" spans="1:54" ht="15.75" x14ac:dyDescent="0.25">
      <c r="A22" s="762">
        <f>+B22*F22</f>
        <v>7.9379874900715281E-4</v>
      </c>
      <c r="B22" s="441">
        <f>_xll.BDP(G22&amp;" EQUITY",$B$3)*0.01</f>
        <v>3.2516061611032994E-2</v>
      </c>
      <c r="D22" s="24">
        <f>+F22-E22</f>
        <v>2.0912512145622512E-2</v>
      </c>
      <c r="E22" s="85">
        <v>3.5000000000000001E-3</v>
      </c>
      <c r="F22" s="520">
        <f>+O22/$O$46</f>
        <v>2.4412512145622511E-2</v>
      </c>
      <c r="G22" s="582" t="s">
        <v>34</v>
      </c>
      <c r="H22" s="583">
        <v>185000</v>
      </c>
      <c r="I22" s="584">
        <f>_xll.BDP(G22&amp;" EQUITY",$N$1)</f>
        <v>38.134999999999998</v>
      </c>
      <c r="J22" s="112">
        <f>_xll.BDP(G22&amp;" EQUITY",$O$1)</f>
        <v>-0.34499999999999997</v>
      </c>
      <c r="K22" s="127">
        <f>_xll.BDP(G22&amp;" EQUITY",$P$1)*0.01</f>
        <v>-8.9656960000000004E-3</v>
      </c>
      <c r="L22" s="132"/>
      <c r="M22" s="161">
        <f>+J22*H22</f>
        <v>-63824.999999999993</v>
      </c>
      <c r="N22" s="99"/>
      <c r="O22" s="587">
        <f>+I22*H22</f>
        <v>7054975</v>
      </c>
      <c r="P22" s="732">
        <f>+E22*$O$46</f>
        <v>1011465.4466000001</v>
      </c>
      <c r="Q22" s="733">
        <f>+O22-P22</f>
        <v>6043509.5533999996</v>
      </c>
      <c r="R22" s="99"/>
      <c r="S22" s="173">
        <v>43.85</v>
      </c>
      <c r="T22" s="590">
        <f>+I22/S22-1</f>
        <v>-0.13033067274800458</v>
      </c>
      <c r="U22" s="82">
        <f>+RANK(T22,$T$4:$T$44)</f>
        <v>34</v>
      </c>
      <c r="V22" s="45"/>
      <c r="W22" s="99"/>
      <c r="X22" s="173">
        <v>34.97</v>
      </c>
      <c r="Y22" s="590">
        <f>+S22/X22-1</f>
        <v>0.25393194166428379</v>
      </c>
      <c r="Z22" s="82">
        <f>+RANK(Y22,$Y$4:$Y$44)</f>
        <v>7</v>
      </c>
      <c r="AA22" s="45" t="s">
        <v>61</v>
      </c>
      <c r="AB22" s="605"/>
      <c r="AC22" s="549" t="s">
        <v>34</v>
      </c>
      <c r="AD22" s="9">
        <v>28.684999999999999</v>
      </c>
      <c r="AE22" s="550">
        <f>+I22/AD22-1</f>
        <v>0.32944047411539135</v>
      </c>
      <c r="AF22" s="47"/>
      <c r="AG22" s="604">
        <f>+AD22*H22</f>
        <v>5306725</v>
      </c>
      <c r="AH22" s="48"/>
      <c r="AI22" s="105" t="str">
        <f>_xll.BDP(G22&amp;" EQUITY",$AA$1)</f>
        <v>8/16/2023</v>
      </c>
      <c r="AJ22" s="84">
        <f>_xll.BDP(G22&amp;" EQUITY",$AB$1)</f>
        <v>47.454999999999998</v>
      </c>
      <c r="AK22" s="591">
        <f>+I22/AJ22-1</f>
        <v>-0.19639658623959544</v>
      </c>
      <c r="AL22" s="47"/>
      <c r="AM22" s="105" t="str">
        <f>_xll.BDP(G22&amp;" EQUITY",$AE$1)</f>
        <v>4/26/2024</v>
      </c>
      <c r="AN22" s="77">
        <f>_xll.BDP(G22&amp;" EQUITY",$AF$1)</f>
        <v>36.43</v>
      </c>
      <c r="AO22" s="591">
        <f>+I22/AN22-1</f>
        <v>4.6802086192698322E-2</v>
      </c>
      <c r="AP22" s="47"/>
      <c r="AQ22" s="47"/>
      <c r="AR22" s="22"/>
      <c r="AT22" s="96"/>
      <c r="AZ22"/>
      <c r="BB22"/>
    </row>
    <row r="23" spans="1:54" ht="15.75" x14ac:dyDescent="0.25">
      <c r="A23" s="762">
        <f>+B23*F23</f>
        <v>1.821861588307777E-3</v>
      </c>
      <c r="B23" s="441">
        <f>_xll.BDP(G23&amp;" EQUITY",$B$3)*0.01</f>
        <v>7.4870418417497239E-2</v>
      </c>
      <c r="D23" s="24">
        <f>+F23-E23</f>
        <v>2.4333530208801496E-2</v>
      </c>
      <c r="E23" s="780">
        <v>0</v>
      </c>
      <c r="F23" s="520">
        <f>+O23/$O$46</f>
        <v>2.4333530208801496E-2</v>
      </c>
      <c r="G23" s="582" t="s">
        <v>211</v>
      </c>
      <c r="H23" s="585">
        <v>135000</v>
      </c>
      <c r="I23" s="584">
        <f>_xll.BDP(G23&amp;" EQUITY",$N$1)</f>
        <v>52.09</v>
      </c>
      <c r="J23" s="112">
        <f>_xll.BDP(G23&amp;" EQUITY",$O$1)</f>
        <v>-0.32</v>
      </c>
      <c r="K23" s="127">
        <f>_xll.BDP(G23&amp;" EQUITY",$P$1)*0.01</f>
        <v>-6.1057050000000003E-3</v>
      </c>
      <c r="L23" s="132"/>
      <c r="M23" s="161">
        <f>+J23*H23</f>
        <v>-43200</v>
      </c>
      <c r="N23" s="99"/>
      <c r="O23" s="587">
        <f>+I23*H23</f>
        <v>7032150</v>
      </c>
      <c r="P23" s="732">
        <f>+E23*$O$46</f>
        <v>0</v>
      </c>
      <c r="Q23" s="733">
        <f>+O23-P23</f>
        <v>7032150</v>
      </c>
      <c r="R23" s="99"/>
      <c r="S23" s="173">
        <v>76.06</v>
      </c>
      <c r="T23" s="590">
        <f>+I23/S23-1</f>
        <v>-0.31514593741782804</v>
      </c>
      <c r="U23" s="82">
        <f>+RANK(T23,$T$4:$T$44)</f>
        <v>39</v>
      </c>
      <c r="V23" s="45"/>
      <c r="W23" s="99"/>
      <c r="X23" s="173">
        <v>57.08</v>
      </c>
      <c r="Y23" s="590">
        <f>+S23/X23-1</f>
        <v>0.33251576734407862</v>
      </c>
      <c r="Z23" s="82">
        <f>+RANK(Y23,$Y$4:$Y$44)</f>
        <v>4</v>
      </c>
      <c r="AA23" s="45" t="s">
        <v>61</v>
      </c>
      <c r="AB23" s="605"/>
      <c r="AC23" s="549" t="s">
        <v>211</v>
      </c>
      <c r="AD23" s="9">
        <v>65.26787608695652</v>
      </c>
      <c r="AE23" s="550">
        <f>+I23/AD23-1</f>
        <v>-0.20190447241457044</v>
      </c>
      <c r="AF23" s="47"/>
      <c r="AG23" s="604">
        <f>+AD23*H23</f>
        <v>8811163.2717391308</v>
      </c>
      <c r="AH23" s="48"/>
      <c r="AI23" s="105" t="str">
        <f>_xll.BDP(G23&amp;" EQUITY",$AA$1)</f>
        <v>2/29/2024</v>
      </c>
      <c r="AJ23" s="84">
        <f>_xll.BDP(G23&amp;" EQUITY",$AB$1)</f>
        <v>86</v>
      </c>
      <c r="AK23" s="591">
        <f>+I23/AJ23-1</f>
        <v>-0.39430232558139533</v>
      </c>
      <c r="AL23" s="47"/>
      <c r="AM23" s="105" t="str">
        <f>_xll.BDP(G23&amp;" EQUITY",$AE$1)</f>
        <v>6/11/2024</v>
      </c>
      <c r="AN23" s="77">
        <f>_xll.BDP(G23&amp;" EQUITY",$AF$1)</f>
        <v>50.8</v>
      </c>
      <c r="AO23" s="591">
        <f>+I23/AN23-1</f>
        <v>2.5393700787401663E-2</v>
      </c>
      <c r="AP23" s="47"/>
      <c r="AQ23" s="47"/>
      <c r="AR23" s="22"/>
      <c r="AT23" s="96"/>
      <c r="AZ23"/>
      <c r="BB23"/>
    </row>
    <row r="24" spans="1:54" ht="15.75" x14ac:dyDescent="0.25">
      <c r="A24" s="762">
        <f>+B24*F24</f>
        <v>4.8167734015896487E-4</v>
      </c>
      <c r="B24" s="441">
        <f>_xll.BDP(G24&amp;" EQUITY",$B$3)*0.01</f>
        <v>2.0797847899980258E-2</v>
      </c>
      <c r="D24" s="24">
        <f>+F24-E24</f>
        <v>2.2159960707252891E-2</v>
      </c>
      <c r="E24" s="85">
        <v>1E-3</v>
      </c>
      <c r="F24" s="520">
        <f>+O24/$O$46</f>
        <v>2.3159960707252892E-2</v>
      </c>
      <c r="G24" s="582" t="s">
        <v>133</v>
      </c>
      <c r="H24" s="585">
        <v>30000</v>
      </c>
      <c r="I24" s="584">
        <f>_xll.BDP(G24&amp;" EQUITY",$N$1)</f>
        <v>223.1</v>
      </c>
      <c r="J24" s="112">
        <f>_xll.BDP(G24&amp;" EQUITY",$O$1)</f>
        <v>-2.39</v>
      </c>
      <c r="K24" s="127">
        <f>_xll.BDP(G24&amp;" EQUITY",$P$1)*0.01</f>
        <v>-1.059914E-2</v>
      </c>
      <c r="L24" s="132"/>
      <c r="M24" s="161">
        <f>+J24*H24</f>
        <v>-71700</v>
      </c>
      <c r="N24" s="99"/>
      <c r="O24" s="587">
        <f>+I24*H24</f>
        <v>6693000</v>
      </c>
      <c r="P24" s="732">
        <f>+E24*$O$46</f>
        <v>288990.12760000001</v>
      </c>
      <c r="Q24" s="733">
        <f>+O24-P24</f>
        <v>6404009.8723999998</v>
      </c>
      <c r="R24" s="99"/>
      <c r="S24" s="173">
        <v>210.62</v>
      </c>
      <c r="T24" s="590">
        <f>+I24/S24-1</f>
        <v>5.9253632133700496E-2</v>
      </c>
      <c r="U24" s="82">
        <f>+RANK(T24,$T$4:$T$44)</f>
        <v>18</v>
      </c>
      <c r="V24" s="45" t="s">
        <v>61</v>
      </c>
      <c r="W24" s="99"/>
      <c r="X24" s="173">
        <v>208.21</v>
      </c>
      <c r="Y24" s="590">
        <f>+S24/X24-1</f>
        <v>1.157485231256894E-2</v>
      </c>
      <c r="Z24" s="17">
        <f>+RANK(Y24,$Y$4:$Y$44)</f>
        <v>19</v>
      </c>
      <c r="AA24" s="45" t="s">
        <v>61</v>
      </c>
      <c r="AB24" s="605"/>
      <c r="AC24" s="549" t="s">
        <v>133</v>
      </c>
      <c r="AD24" s="9">
        <v>204.90778766666671</v>
      </c>
      <c r="AE24" s="550">
        <f>+I24/AD24-1</f>
        <v>8.8782434969857826E-2</v>
      </c>
      <c r="AF24" s="47"/>
      <c r="AG24" s="604">
        <f>+AD24*H24</f>
        <v>6147233.6300000008</v>
      </c>
      <c r="AH24" s="48"/>
      <c r="AI24" s="105" t="str">
        <f>_xll.BDP(G24&amp;" EQUITY",$AA$1)</f>
        <v>6/24/2024</v>
      </c>
      <c r="AJ24" s="84">
        <f>_xll.BDP(G24&amp;" EQUITY",$AB$1)</f>
        <v>228.13</v>
      </c>
      <c r="AK24" s="591">
        <f>+I24/AJ24-1</f>
        <v>-2.2048831806426139E-2</v>
      </c>
      <c r="AL24" s="47"/>
      <c r="AM24" s="105" t="str">
        <f>_xll.BDP(G24&amp;" EQUITY",$AE$1)</f>
        <v>10/6/2023</v>
      </c>
      <c r="AN24" s="77">
        <f>_xll.BDP(G24&amp;" EQUITY",$AF$1)</f>
        <v>160.25</v>
      </c>
      <c r="AO24" s="591">
        <f>+I24/AN24-1</f>
        <v>0.39219968798751936</v>
      </c>
      <c r="AP24" s="47"/>
      <c r="AQ24" s="47"/>
      <c r="AR24" s="22"/>
      <c r="AT24" s="96"/>
      <c r="AZ24"/>
      <c r="BB24"/>
    </row>
    <row r="25" spans="1:54" ht="15.75" x14ac:dyDescent="0.25">
      <c r="A25" s="762">
        <f>+B25*F25</f>
        <v>6.4362060730309683E-4</v>
      </c>
      <c r="B25" s="441">
        <f>_xll.BDP(G25&amp;" EQUITY",$B$3)*0.01</f>
        <v>2.7825566823324328E-2</v>
      </c>
      <c r="D25" s="24">
        <f>+F25-E25</f>
        <v>2.313054793779052E-2</v>
      </c>
      <c r="E25" s="780">
        <v>0</v>
      </c>
      <c r="F25" s="520">
        <f>+O25/$O$46</f>
        <v>2.313054793779052E-2</v>
      </c>
      <c r="G25" s="582" t="s">
        <v>378</v>
      </c>
      <c r="H25" s="585">
        <v>50000</v>
      </c>
      <c r="I25" s="584">
        <f>_xll.BDP(G25&amp;" EQUITY",$N$1)</f>
        <v>133.69</v>
      </c>
      <c r="J25" s="112">
        <f>_xll.BDP(G25&amp;" EQUITY",$O$1)</f>
        <v>-0.16</v>
      </c>
      <c r="K25" s="127">
        <f>_xll.BDP(G25&amp;" EQUITY",$P$1)*0.01</f>
        <v>-1.195368E-3</v>
      </c>
      <c r="L25" s="132"/>
      <c r="M25" s="161">
        <f>+J25*H25</f>
        <v>-8000</v>
      </c>
      <c r="N25" s="99"/>
      <c r="O25" s="587">
        <f>+I25*H25</f>
        <v>6684500</v>
      </c>
      <c r="P25" s="732">
        <f>+E25*$O$46</f>
        <v>0</v>
      </c>
      <c r="Q25" s="733">
        <f>+O25-P25</f>
        <v>6684500</v>
      </c>
      <c r="R25" s="99"/>
      <c r="S25" s="173">
        <v>118.92</v>
      </c>
      <c r="T25" s="590">
        <f>+I25/S25-1</f>
        <v>0.1242011436259669</v>
      </c>
      <c r="U25" s="82">
        <f>+RANK(T25,$T$4:$T$44)</f>
        <v>10</v>
      </c>
      <c r="V25" s="45" t="s">
        <v>61</v>
      </c>
      <c r="W25" s="99"/>
      <c r="X25" s="173">
        <v>68.44</v>
      </c>
      <c r="Y25" s="590">
        <f>+S25/X25-1</f>
        <v>0.73758036236119229</v>
      </c>
      <c r="Z25" s="82">
        <f>+RANK(Y25,$Y$4:$Y$44)</f>
        <v>2</v>
      </c>
      <c r="AA25" s="45" t="s">
        <v>61</v>
      </c>
      <c r="AB25" s="605"/>
      <c r="AC25" s="549" t="s">
        <v>378</v>
      </c>
      <c r="AD25" s="9">
        <v>81.057199999999995</v>
      </c>
      <c r="AE25" s="550">
        <f>+I25/AD25-1</f>
        <v>0.64932911573555474</v>
      </c>
      <c r="AF25" s="47"/>
      <c r="AG25" s="604">
        <f>+AD25*H25</f>
        <v>4052859.9999999995</v>
      </c>
      <c r="AH25" s="48"/>
      <c r="AI25" s="105" t="str">
        <f>_xll.BDP(G25&amp;" EQUITY",$AA$1)</f>
        <v>5/16/2024</v>
      </c>
      <c r="AJ25" s="84">
        <f>_xll.BDP(G25&amp;" EQUITY",$AB$1)</f>
        <v>150.12</v>
      </c>
      <c r="AK25" s="591">
        <f>+I25/AJ25-1</f>
        <v>-0.10944577671196376</v>
      </c>
      <c r="AL25" s="47"/>
      <c r="AM25" s="105" t="str">
        <f>_xll.BDP(G25&amp;" EQUITY",$AE$1)</f>
        <v>6/26/2023</v>
      </c>
      <c r="AN25" s="77">
        <f>_xll.BDP(G25&amp;" EQUITY",$AF$1)</f>
        <v>90.49</v>
      </c>
      <c r="AO25" s="591">
        <f>+I25/AN25-1</f>
        <v>0.47740081776991938</v>
      </c>
      <c r="AP25" s="47"/>
      <c r="AQ25" s="47"/>
      <c r="AR25" s="22"/>
      <c r="AT25" s="96"/>
      <c r="AZ25"/>
      <c r="BB25"/>
    </row>
    <row r="26" spans="1:54" ht="15.75" x14ac:dyDescent="0.25">
      <c r="A26" s="762">
        <f>+B26*F26</f>
        <v>2.9066737149413888E-4</v>
      </c>
      <c r="B26" s="441">
        <f>_xll.BDP(G26&amp;" EQUITY",$B$3)*0.01</f>
        <v>1.3265029084720549E-2</v>
      </c>
      <c r="D26" s="24">
        <f>+F26-E26</f>
        <v>8.5123056299173019E-3</v>
      </c>
      <c r="E26" s="85">
        <v>1.34E-2</v>
      </c>
      <c r="F26" s="520">
        <f>+O26/$O$46</f>
        <v>2.1912305629917302E-2</v>
      </c>
      <c r="G26" s="582" t="s">
        <v>223</v>
      </c>
      <c r="H26" s="585">
        <v>4000</v>
      </c>
      <c r="I26" s="584">
        <f>_xll.BDP(G26&amp;" EQUITY",$N$1)</f>
        <v>1583.11</v>
      </c>
      <c r="J26" s="112">
        <f>_xll.BDP(G26&amp;" EQUITY",$O$1)</f>
        <v>-9.1</v>
      </c>
      <c r="K26" s="127">
        <f>_xll.BDP(G26&amp;" EQUITY",$P$1)*0.01</f>
        <v>-5.7153259999999997E-3</v>
      </c>
      <c r="L26" s="132"/>
      <c r="M26" s="161">
        <f>+J26*H26</f>
        <v>-36400</v>
      </c>
      <c r="N26" s="99"/>
      <c r="O26" s="587">
        <f>+I26*H26</f>
        <v>6332440</v>
      </c>
      <c r="P26" s="732">
        <f>+E26*$O$46</f>
        <v>3872467.7098400006</v>
      </c>
      <c r="Q26" s="733">
        <f>+O26-P26</f>
        <v>2459972.2901599994</v>
      </c>
      <c r="R26" s="99"/>
      <c r="S26" s="173">
        <v>1116.25</v>
      </c>
      <c r="T26" s="590">
        <f>+I26/S26-1</f>
        <v>0.41823964165733463</v>
      </c>
      <c r="U26" s="82">
        <f>+RANK(T26,$T$4:$T$44)</f>
        <v>1</v>
      </c>
      <c r="V26" s="45" t="s">
        <v>61</v>
      </c>
      <c r="W26" s="99"/>
      <c r="X26" s="173">
        <v>559.13</v>
      </c>
      <c r="Y26" s="590">
        <f>+S26/X26-1</f>
        <v>0.99640512939745673</v>
      </c>
      <c r="Z26" s="82">
        <f>+RANK(Y26,$Y$4:$Y$44)</f>
        <v>1</v>
      </c>
      <c r="AA26" s="45" t="s">
        <v>61</v>
      </c>
      <c r="AB26" s="605"/>
      <c r="AC26" s="549" t="s">
        <v>223</v>
      </c>
      <c r="AD26" s="9">
        <v>502.3795025</v>
      </c>
      <c r="AE26" s="550">
        <f>+I26/AD26-1</f>
        <v>2.1512233124996971</v>
      </c>
      <c r="AF26" s="47"/>
      <c r="AG26" s="604">
        <f>+AD26*H26</f>
        <v>2009518.01</v>
      </c>
      <c r="AH26" s="48"/>
      <c r="AI26" s="105" t="str">
        <f>_xll.BDP(G26&amp;" EQUITY",$AA$1)</f>
        <v>6/18/2024</v>
      </c>
      <c r="AJ26" s="84">
        <f>_xll.BDP(G26&amp;" EQUITY",$AB$1)</f>
        <v>1851.6199951171875</v>
      </c>
      <c r="AK26" s="591">
        <f>+I26/AJ26-1</f>
        <v>-0.14501355344253231</v>
      </c>
      <c r="AL26" s="47"/>
      <c r="AM26" s="105" t="str">
        <f>_xll.BDP(G26&amp;" EQUITY",$AE$1)</f>
        <v>9/21/2023</v>
      </c>
      <c r="AN26" s="77">
        <f>_xll.BDP(G26&amp;" EQUITY",$AF$1)</f>
        <v>795.09002685546875</v>
      </c>
      <c r="AO26" s="591">
        <f>+I26/AN26-1</f>
        <v>0.99110785763607279</v>
      </c>
      <c r="AP26" s="47"/>
      <c r="AQ26" s="47"/>
      <c r="AR26" s="22"/>
      <c r="AT26" s="96"/>
      <c r="AZ26"/>
      <c r="BB26"/>
    </row>
    <row r="27" spans="1:54" ht="15.75" x14ac:dyDescent="0.25">
      <c r="A27" s="762">
        <f>+B27*F27</f>
        <v>4.9450346896525625E-4</v>
      </c>
      <c r="B27" s="441">
        <f>_xll.BDP(G27&amp;" EQUITY",$B$3)*0.01</f>
        <v>2.3171832107328129E-2</v>
      </c>
      <c r="D27" s="24">
        <f>+F27-E27</f>
        <v>1.384071516981468E-2</v>
      </c>
      <c r="E27" s="85">
        <v>7.4999999999999997E-3</v>
      </c>
      <c r="F27" s="520">
        <f>+O27/$O$46</f>
        <v>2.1340715169814679E-2</v>
      </c>
      <c r="G27" s="582" t="s">
        <v>218</v>
      </c>
      <c r="H27" s="585">
        <v>46400</v>
      </c>
      <c r="I27" s="584">
        <f>_xll.BDP(G27&amp;" EQUITY",$N$1)</f>
        <v>132.91499999999999</v>
      </c>
      <c r="J27" s="112">
        <f>_xll.BDP(G27&amp;" EQUITY",$O$1)</f>
        <v>-4.4999999999999998E-2</v>
      </c>
      <c r="K27" s="127">
        <f>_xll.BDP(G27&amp;" EQUITY",$P$1)*0.01</f>
        <v>-3.3844770000000004E-4</v>
      </c>
      <c r="L27" s="132"/>
      <c r="M27" s="161">
        <f>+J27*H27</f>
        <v>-2088</v>
      </c>
      <c r="N27" s="99"/>
      <c r="O27" s="587">
        <f>+I27*H27</f>
        <v>6167256</v>
      </c>
      <c r="P27" s="732">
        <f>+E27*$O$46</f>
        <v>2167425.9569999999</v>
      </c>
      <c r="Q27" s="733">
        <f>+O27-P27</f>
        <v>3999830.0430000001</v>
      </c>
      <c r="R27" s="99"/>
      <c r="S27" s="173">
        <v>109.02</v>
      </c>
      <c r="T27" s="590">
        <f>+I27/S27-1</f>
        <v>0.21917996697853592</v>
      </c>
      <c r="U27" s="82">
        <f>+RANK(T27,$T$4:$T$44)</f>
        <v>3</v>
      </c>
      <c r="V27" s="45" t="s">
        <v>61</v>
      </c>
      <c r="W27" s="99"/>
      <c r="X27" s="173">
        <v>110.95</v>
      </c>
      <c r="Y27" s="590">
        <f>+S27/X27-1</f>
        <v>-1.7395223073456534E-2</v>
      </c>
      <c r="Z27" s="17">
        <f>+RANK(Y27,$Y$4:$Y$44)</f>
        <v>21</v>
      </c>
      <c r="AA27" s="45"/>
      <c r="AB27" s="605"/>
      <c r="AC27" s="549" t="s">
        <v>218</v>
      </c>
      <c r="AD27" s="9">
        <v>72.971026939655175</v>
      </c>
      <c r="AE27" s="550">
        <f>+I27/AD27-1</f>
        <v>0.82147635266140173</v>
      </c>
      <c r="AF27" s="47"/>
      <c r="AG27" s="604">
        <f>+AD27*H27</f>
        <v>3385855.65</v>
      </c>
      <c r="AH27" s="48"/>
      <c r="AI27" s="105" t="str">
        <f>_xll.BDP(G27&amp;" EQUITY",$AA$1)</f>
        <v>6/25/2024</v>
      </c>
      <c r="AJ27" s="84">
        <f>_xll.BDP(G27&amp;" EQUITY",$AB$1)</f>
        <v>134.63</v>
      </c>
      <c r="AK27" s="591">
        <f>+I27/AJ27-1</f>
        <v>-1.2738616950159765E-2</v>
      </c>
      <c r="AL27" s="47"/>
      <c r="AM27" s="105" t="str">
        <f>_xll.BDP(G27&amp;" EQUITY",$AE$1)</f>
        <v>10/19/2023</v>
      </c>
      <c r="AN27" s="77">
        <f>_xll.BDP(G27&amp;" EQUITY",$AF$1)</f>
        <v>99.14</v>
      </c>
      <c r="AO27" s="591">
        <f>+I27/AN27-1</f>
        <v>0.34067984668146045</v>
      </c>
      <c r="AP27" s="47"/>
      <c r="AQ27" s="47"/>
      <c r="AR27" s="22"/>
      <c r="AT27" s="96"/>
      <c r="AZ27"/>
      <c r="BB27"/>
    </row>
    <row r="28" spans="1:54" ht="15.75" x14ac:dyDescent="0.25">
      <c r="A28" s="762">
        <f>+B28*F28</f>
        <v>8.7200214106407522E-4</v>
      </c>
      <c r="B28" s="441">
        <f>_xll.BDP(G28&amp;" EQUITY",$B$3)*0.01</f>
        <v>4.1037334204059812E-2</v>
      </c>
      <c r="D28" s="24">
        <f>+F28-E28</f>
        <v>2.1248995773653551E-2</v>
      </c>
      <c r="E28" s="780">
        <v>0</v>
      </c>
      <c r="F28" s="520">
        <f>+O28/$O$46</f>
        <v>2.1248995773653551E-2</v>
      </c>
      <c r="G28" s="582" t="s">
        <v>379</v>
      </c>
      <c r="H28" s="585">
        <v>350000</v>
      </c>
      <c r="I28" s="584">
        <f>_xll.BDP(G28&amp;" EQUITY",$N$1)</f>
        <v>17.545000000000002</v>
      </c>
      <c r="J28" s="112">
        <f>_xll.BDP(G28&amp;" EQUITY",$O$1)</f>
        <v>-0.115</v>
      </c>
      <c r="K28" s="127">
        <f>_xll.BDP(G28&amp;" EQUITY",$P$1)*0.01</f>
        <v>-6.5118909999999997E-3</v>
      </c>
      <c r="L28" s="132"/>
      <c r="M28" s="161">
        <f>+J28*H28</f>
        <v>-40250</v>
      </c>
      <c r="N28" s="99"/>
      <c r="O28" s="587">
        <f>+I28*H28</f>
        <v>6140750.0000000009</v>
      </c>
      <c r="P28" s="732">
        <f>+E28*$O$46</f>
        <v>0</v>
      </c>
      <c r="Q28" s="733">
        <f>+O28-P28</f>
        <v>6140750.0000000009</v>
      </c>
      <c r="R28" s="99"/>
      <c r="S28" s="173">
        <v>14.9</v>
      </c>
      <c r="T28" s="590">
        <f>+I28/S28-1</f>
        <v>0.17751677852349013</v>
      </c>
      <c r="U28" s="82">
        <f>+RANK(T28,$T$4:$T$44)</f>
        <v>5</v>
      </c>
      <c r="V28" s="45" t="s">
        <v>61</v>
      </c>
      <c r="W28" s="99"/>
      <c r="X28" s="173">
        <v>10.6</v>
      </c>
      <c r="Y28" s="590">
        <f>+S28/X28-1</f>
        <v>0.40566037735849059</v>
      </c>
      <c r="Z28" s="82">
        <f>+RANK(Y28,$Y$4:$Y$44)</f>
        <v>3</v>
      </c>
      <c r="AA28" s="45" t="s">
        <v>61</v>
      </c>
      <c r="AB28" s="605"/>
      <c r="AC28" s="549" t="s">
        <v>377</v>
      </c>
      <c r="AD28" s="9">
        <v>10.855265857142857</v>
      </c>
      <c r="AE28" s="550">
        <f>+I28/AD28-1</f>
        <v>0.61626626476911595</v>
      </c>
      <c r="AF28" s="47"/>
      <c r="AG28" s="604">
        <f>+AD28*H28</f>
        <v>3799343.0500000003</v>
      </c>
      <c r="AH28" s="48"/>
      <c r="AI28" s="105" t="str">
        <f>_xll.BDP(G28&amp;" EQUITY",$AA$1)</f>
        <v>4/3/2024</v>
      </c>
      <c r="AJ28" s="84">
        <f>_xll.BDP(G28&amp;" EQUITY",$AB$1)</f>
        <v>19.87</v>
      </c>
      <c r="AK28" s="591">
        <f>+I28/AJ28-1</f>
        <v>-0.11701056869652737</v>
      </c>
      <c r="AL28" s="47"/>
      <c r="AM28" s="105" t="str">
        <f>_xll.BDP(G28&amp;" EQUITY",$AE$1)</f>
        <v>8/18/2023</v>
      </c>
      <c r="AN28" s="77">
        <f>_xll.BDP(G28&amp;" EQUITY",$AF$1)</f>
        <v>10.64</v>
      </c>
      <c r="AO28" s="591">
        <f>+I28/AN28-1</f>
        <v>0.64896616541353391</v>
      </c>
      <c r="AP28" s="47"/>
      <c r="AQ28" s="47"/>
      <c r="AR28" s="22"/>
      <c r="AT28" s="96"/>
      <c r="AZ28"/>
      <c r="BB28"/>
    </row>
    <row r="29" spans="1:54" ht="15.75" x14ac:dyDescent="0.25">
      <c r="A29" s="762">
        <f>+B29*F29</f>
        <v>7.1158136302795587E-4</v>
      </c>
      <c r="B29" s="441">
        <f>_xll.BDP(G29&amp;" EQUITY",$B$3)*0.01</f>
        <v>3.4446338216899533E-2</v>
      </c>
      <c r="D29" s="24">
        <f>+F29-E29</f>
        <v>1.7957677996056218E-2</v>
      </c>
      <c r="E29" s="85">
        <v>2.7000000000000001E-3</v>
      </c>
      <c r="F29" s="520">
        <f>+O29/$O$46</f>
        <v>2.0657677996056219E-2</v>
      </c>
      <c r="G29" s="582" t="s">
        <v>220</v>
      </c>
      <c r="H29" s="585">
        <v>97000</v>
      </c>
      <c r="I29" s="584">
        <f>_xll.BDP(G29&amp;" EQUITY",$N$1)</f>
        <v>61.545000000000002</v>
      </c>
      <c r="J29" s="112">
        <f>_xll.BDP(G29&amp;" EQUITY",$O$1)</f>
        <v>0.20499999999999999</v>
      </c>
      <c r="K29" s="127">
        <f>_xll.BDP(G29&amp;" EQUITY",$P$1)*0.01</f>
        <v>3.3420280000000004E-3</v>
      </c>
      <c r="L29" s="132"/>
      <c r="M29" s="161">
        <f>+J29*H29</f>
        <v>19885</v>
      </c>
      <c r="N29" s="99"/>
      <c r="O29" s="587">
        <f>+I29*H29</f>
        <v>5969865</v>
      </c>
      <c r="P29" s="732">
        <f>+E29*$O$46</f>
        <v>780273.34452000016</v>
      </c>
      <c r="Q29" s="733">
        <f>+O29-P29</f>
        <v>5189591.6554800002</v>
      </c>
      <c r="R29" s="99"/>
      <c r="S29" s="173">
        <v>51.44</v>
      </c>
      <c r="T29" s="590">
        <f>+I29/S29-1</f>
        <v>0.19644245723172626</v>
      </c>
      <c r="U29" s="82">
        <f>+RANK(T29,$T$4:$T$44)</f>
        <v>4</v>
      </c>
      <c r="V29" s="45" t="s">
        <v>61</v>
      </c>
      <c r="W29" s="99"/>
      <c r="X29" s="173">
        <v>45.23</v>
      </c>
      <c r="Y29" s="590">
        <f>+S29/X29-1</f>
        <v>0.13729825337165602</v>
      </c>
      <c r="Z29" s="102">
        <f>+RANK(Y29,$Y$4:$Y$44)</f>
        <v>13</v>
      </c>
      <c r="AA29" s="45" t="s">
        <v>61</v>
      </c>
      <c r="AB29" s="605"/>
      <c r="AC29" s="549" t="s">
        <v>220</v>
      </c>
      <c r="AD29" s="9">
        <v>61.684423505154641</v>
      </c>
      <c r="AE29" s="550">
        <f>+I29/AD29-1</f>
        <v>-2.2602708630807822E-3</v>
      </c>
      <c r="AF29" s="47"/>
      <c r="AG29" s="604">
        <f>+AD29*H29</f>
        <v>5983389.0800000001</v>
      </c>
      <c r="AH29" s="48"/>
      <c r="AI29" s="105" t="str">
        <f>_xll.BDP(G29&amp;" EQUITY",$AA$1)</f>
        <v>5/22/2024</v>
      </c>
      <c r="AJ29" s="84">
        <f>_xll.BDP(G29&amp;" EQUITY",$AB$1)</f>
        <v>64.98</v>
      </c>
      <c r="AK29" s="591">
        <f>+I29/AJ29-1</f>
        <v>-5.2862419205909505E-2</v>
      </c>
      <c r="AL29" s="47"/>
      <c r="AM29" s="105" t="str">
        <f>_xll.BDP(G29&amp;" EQUITY",$AE$1)</f>
        <v>10/27/2023</v>
      </c>
      <c r="AN29" s="77">
        <f>_xll.BDP(G29&amp;" EQUITY",$AF$1)</f>
        <v>38.17</v>
      </c>
      <c r="AO29" s="591">
        <f>+I29/AN29-1</f>
        <v>0.61239193083573484</v>
      </c>
      <c r="AP29" s="47"/>
      <c r="AQ29" s="47"/>
      <c r="AR29" s="22"/>
      <c r="AT29" s="96"/>
      <c r="AZ29"/>
      <c r="BB29"/>
    </row>
    <row r="30" spans="1:54" ht="15.75" x14ac:dyDescent="0.25">
      <c r="A30" s="762">
        <f>+B30*F30</f>
        <v>1.1709743037146155E-3</v>
      </c>
      <c r="B30" s="441">
        <f>_xll.BDP(G30&amp;" EQUITY",$B$3)*0.01</f>
        <v>5.714857427093737E-2</v>
      </c>
      <c r="D30" s="24">
        <f>+F30-E30</f>
        <v>1.8390000295774811E-2</v>
      </c>
      <c r="E30" s="85">
        <v>2.0999999999999999E-3</v>
      </c>
      <c r="F30" s="520">
        <f>+O30/$O$46</f>
        <v>2.0490000295774812E-2</v>
      </c>
      <c r="G30" s="582" t="s">
        <v>205</v>
      </c>
      <c r="H30" s="585">
        <v>141000</v>
      </c>
      <c r="I30" s="584">
        <f>_xll.BDP(G30&amp;" EQUITY",$N$1)</f>
        <v>41.995800000000003</v>
      </c>
      <c r="J30" s="112">
        <f>_xll.BDP(G30&amp;" EQUITY",$O$1)</f>
        <v>-0.23419999999999999</v>
      </c>
      <c r="K30" s="127">
        <f>_xll.BDP(G30&amp;" EQUITY",$P$1)*0.01</f>
        <v>-5.5458209999999994E-3</v>
      </c>
      <c r="L30" s="132"/>
      <c r="M30" s="161">
        <f>+J30*H30</f>
        <v>-33022.199999999997</v>
      </c>
      <c r="N30" s="99"/>
      <c r="O30" s="587">
        <f>+I30*H30</f>
        <v>5921407.8000000007</v>
      </c>
      <c r="P30" s="732">
        <f>+E30*$O$46</f>
        <v>606879.26795999997</v>
      </c>
      <c r="Q30" s="733">
        <f>+O30-P30</f>
        <v>5314528.5320400009</v>
      </c>
      <c r="R30" s="99"/>
      <c r="S30" s="173">
        <v>51.31</v>
      </c>
      <c r="T30" s="590">
        <f>+I30/S30-1</f>
        <v>-0.18152796725784448</v>
      </c>
      <c r="U30" s="82">
        <f>+RANK(T30,$T$4:$T$44)</f>
        <v>38</v>
      </c>
      <c r="V30" s="45"/>
      <c r="W30" s="99"/>
      <c r="X30" s="173">
        <v>71.95</v>
      </c>
      <c r="Y30" s="590">
        <f>+S30/X30-1</f>
        <v>-0.28686587908269634</v>
      </c>
      <c r="Z30" s="103">
        <f>+RANK(Y30,$Y$4:$Y$44)</f>
        <v>39</v>
      </c>
      <c r="AA30" s="45"/>
      <c r="AB30" s="605"/>
      <c r="AC30" s="549" t="s">
        <v>205</v>
      </c>
      <c r="AD30" s="9">
        <v>59.944469696969698</v>
      </c>
      <c r="AE30" s="550">
        <f>+I30/AD30-1</f>
        <v>-0.29942161116285648</v>
      </c>
      <c r="AF30" s="47"/>
      <c r="AG30" s="604">
        <f>+AD30*H30</f>
        <v>8452170.2272727266</v>
      </c>
      <c r="AH30" s="48"/>
      <c r="AI30" s="105" t="str">
        <f>_xll.BDP(G30&amp;" EQUITY",$AA$1)</f>
        <v>7/24/2023</v>
      </c>
      <c r="AJ30" s="84">
        <f>_xll.BDP(G30&amp;" EQUITY",$AB$1)</f>
        <v>65.375</v>
      </c>
      <c r="AK30" s="591">
        <f>+I30/AJ30-1</f>
        <v>-0.35761682600382405</v>
      </c>
      <c r="AL30" s="47"/>
      <c r="AM30" s="105" t="str">
        <f>_xll.BDP(G30&amp;" EQUITY",$AE$1)</f>
        <v>6/20/2024</v>
      </c>
      <c r="AN30" s="77">
        <f>_xll.BDP(G30&amp;" EQUITY",$AF$1)</f>
        <v>39.630000000000003</v>
      </c>
      <c r="AO30" s="591">
        <f>+I30/AN30-1</f>
        <v>5.9697199091597319E-2</v>
      </c>
      <c r="AP30" s="47"/>
      <c r="AQ30" s="47"/>
      <c r="AR30" s="22"/>
      <c r="AT30" s="96"/>
      <c r="AZ30"/>
      <c r="BB30"/>
    </row>
    <row r="31" spans="1:54" ht="15.75" x14ac:dyDescent="0.25">
      <c r="A31" s="762">
        <f>+B31*F31</f>
        <v>7.5042012825285562E-4</v>
      </c>
      <c r="B31" s="441">
        <f>_xll.BDP(G31&amp;" EQUITY",$B$3)*0.01</f>
        <v>3.6819229282036792E-2</v>
      </c>
      <c r="D31" s="24">
        <f>+F31-E31</f>
        <v>1.8481201423435754E-2</v>
      </c>
      <c r="E31" s="85">
        <v>1.9E-3</v>
      </c>
      <c r="F31" s="520">
        <f>+O31/$O$46</f>
        <v>2.0381201423435753E-2</v>
      </c>
      <c r="G31" s="582" t="s">
        <v>219</v>
      </c>
      <c r="H31" s="585">
        <v>75300</v>
      </c>
      <c r="I31" s="584">
        <f>_xll.BDP(G31&amp;" EQUITY",$N$1)</f>
        <v>78.22</v>
      </c>
      <c r="J31" s="112">
        <f>_xll.BDP(G31&amp;" EQUITY",$O$1)</f>
        <v>-1.1200000000000001</v>
      </c>
      <c r="K31" s="127">
        <f>_xll.BDP(G31&amp;" EQUITY",$P$1)*0.01</f>
        <v>-1.4116459999999999E-2</v>
      </c>
      <c r="L31" s="132"/>
      <c r="M31" s="161">
        <f>+J31*H31</f>
        <v>-84336.000000000015</v>
      </c>
      <c r="N31" s="99"/>
      <c r="O31" s="587">
        <f>+I31*H31</f>
        <v>5889966</v>
      </c>
      <c r="P31" s="732">
        <f>+E31*$O$46</f>
        <v>549081.24244000006</v>
      </c>
      <c r="Q31" s="733">
        <f>+O31-P31</f>
        <v>5340884.7575599998</v>
      </c>
      <c r="R31" s="99"/>
      <c r="S31" s="173">
        <v>70.12</v>
      </c>
      <c r="T31" s="590">
        <f>+I31/S31-1</f>
        <v>0.11551625784369635</v>
      </c>
      <c r="U31" s="82">
        <f>+RANK(T31,$T$4:$T$44)</f>
        <v>11</v>
      </c>
      <c r="V31" s="45" t="s">
        <v>61</v>
      </c>
      <c r="W31" s="99"/>
      <c r="X31" s="173">
        <v>71.41</v>
      </c>
      <c r="Y31" s="590">
        <f>+S31/X31-1</f>
        <v>-1.8064696821173398E-2</v>
      </c>
      <c r="Z31" s="17">
        <f>+RANK(Y31,$Y$4:$Y$44)</f>
        <v>22</v>
      </c>
      <c r="AA31" s="45"/>
      <c r="AB31" s="605"/>
      <c r="AC31" s="549" t="s">
        <v>219</v>
      </c>
      <c r="AD31" s="9">
        <v>63.066106108897742</v>
      </c>
      <c r="AE31" s="550">
        <f>+I31/AD31-1</f>
        <v>0.2402858655160296</v>
      </c>
      <c r="AF31" s="47"/>
      <c r="AG31" s="604">
        <f>+AD31*H31</f>
        <v>4748877.79</v>
      </c>
      <c r="AH31" s="48"/>
      <c r="AI31" s="105" t="str">
        <f>_xll.BDP(G31&amp;" EQUITY",$AA$1)</f>
        <v>6/4/2024</v>
      </c>
      <c r="AJ31" s="84">
        <f>_xll.BDP(G31&amp;" EQUITY",$AB$1)</f>
        <v>80.84</v>
      </c>
      <c r="AK31" s="591">
        <f>+I31/AJ31-1</f>
        <v>-3.2409698169223233E-2</v>
      </c>
      <c r="AL31" s="47"/>
      <c r="AM31" s="105" t="str">
        <f>_xll.BDP(G31&amp;" EQUITY",$AE$1)</f>
        <v>10/3/2023</v>
      </c>
      <c r="AN31" s="77">
        <f>_xll.BDP(G31&amp;" EQUITY",$AF$1)</f>
        <v>61.560099999999998</v>
      </c>
      <c r="AO31" s="591">
        <f>+I31/AN31-1</f>
        <v>0.27062821535377624</v>
      </c>
      <c r="AP31" s="47"/>
      <c r="AQ31" s="47"/>
      <c r="AR31" s="22"/>
      <c r="AT31" s="96"/>
      <c r="AZ31"/>
      <c r="BB31"/>
    </row>
    <row r="32" spans="1:54" ht="15.75" x14ac:dyDescent="0.25">
      <c r="A32" s="762">
        <f>+B32*F32</f>
        <v>5.522679937987055E-4</v>
      </c>
      <c r="B32" s="441">
        <f>_xll.BDP(G32&amp;" EQUITY",$B$3)*0.01</f>
        <v>2.878061059568001E-2</v>
      </c>
      <c r="D32" s="24">
        <f>+F32-E32</f>
        <v>1.7188890797250889E-2</v>
      </c>
      <c r="E32" s="85">
        <v>2E-3</v>
      </c>
      <c r="F32" s="520">
        <f>+O32/$O$46</f>
        <v>1.9188890797250887E-2</v>
      </c>
      <c r="G32" s="582" t="s">
        <v>1012</v>
      </c>
      <c r="H32" s="585">
        <v>70000</v>
      </c>
      <c r="I32" s="584">
        <f>_xll.BDP(G32&amp;" EQUITY",$N$1)</f>
        <v>79.22</v>
      </c>
      <c r="J32" s="112">
        <f>_xll.BDP(G32&amp;" EQUITY",$O$1)</f>
        <v>-0.51</v>
      </c>
      <c r="K32" s="127">
        <f>_xll.BDP(G32&amp;" EQUITY",$P$1)*0.01</f>
        <v>-6.3965879999999999E-3</v>
      </c>
      <c r="L32" s="132"/>
      <c r="M32" s="161">
        <f>+J32*H32</f>
        <v>-35700</v>
      </c>
      <c r="N32" s="99"/>
      <c r="O32" s="587">
        <f>+I32*H32</f>
        <v>5545400</v>
      </c>
      <c r="P32" s="732">
        <f>+E32*$O$46</f>
        <v>577980.25520000001</v>
      </c>
      <c r="Q32" s="733">
        <f>+O32-P32</f>
        <v>4967419.7447999995</v>
      </c>
      <c r="R32" s="99"/>
      <c r="S32" s="173">
        <v>96.01</v>
      </c>
      <c r="T32" s="590">
        <f>+I32/S32-1</f>
        <v>-0.17487761691490478</v>
      </c>
      <c r="U32" s="82">
        <f>+RANK(T32,$T$4:$T$44)</f>
        <v>36</v>
      </c>
      <c r="V32" s="45"/>
      <c r="W32" s="99"/>
      <c r="X32" s="173">
        <v>99.2</v>
      </c>
      <c r="Y32" s="590">
        <f>+S32/X32-1</f>
        <v>-3.2157258064516081E-2</v>
      </c>
      <c r="Z32" s="82">
        <f>+RANK(Y32,$Y$4:$Y$44)</f>
        <v>25</v>
      </c>
      <c r="AA32" s="45"/>
      <c r="AB32" s="605"/>
      <c r="AC32" s="549"/>
      <c r="AD32" s="9"/>
      <c r="AE32" s="550"/>
      <c r="AF32" s="47"/>
      <c r="AG32" s="604"/>
      <c r="AH32" s="48"/>
      <c r="AI32" s="105"/>
      <c r="AJ32" s="84"/>
      <c r="AK32" s="591"/>
      <c r="AL32" s="47"/>
      <c r="AM32" s="105"/>
      <c r="AN32" s="77"/>
      <c r="AO32" s="591"/>
      <c r="AP32" s="47"/>
      <c r="AQ32" s="47"/>
      <c r="AR32" s="22"/>
      <c r="AT32" s="96"/>
      <c r="AZ32"/>
      <c r="BB32"/>
    </row>
    <row r="33" spans="1:54" ht="15.75" x14ac:dyDescent="0.25">
      <c r="A33" s="762">
        <f>+B33*F33</f>
        <v>4.5883919503292671E-4</v>
      </c>
      <c r="B33" s="441">
        <f>_xll.BDP(G33&amp;" EQUITY",$B$3)*0.01</f>
        <v>2.5798455404119246E-2</v>
      </c>
      <c r="D33" s="24">
        <f>+F33-E33</f>
        <v>1.5285529708870234E-2</v>
      </c>
      <c r="E33" s="85">
        <v>2.5000000000000001E-3</v>
      </c>
      <c r="F33" s="520">
        <f>+O33/$O$46</f>
        <v>1.7785529708870235E-2</v>
      </c>
      <c r="G33" s="582" t="s">
        <v>222</v>
      </c>
      <c r="H33" s="585">
        <v>6500</v>
      </c>
      <c r="I33" s="584">
        <f>_xll.BDP(G33&amp;" EQUITY",$N$1)</f>
        <v>790.745</v>
      </c>
      <c r="J33" s="112">
        <f>_xll.BDP(G33&amp;" EQUITY",$O$1)</f>
        <v>-8.2050000000000001</v>
      </c>
      <c r="K33" s="127">
        <f>_xll.BDP(G33&amp;" EQUITY",$P$1)*0.01</f>
        <v>-1.0269729999999999E-2</v>
      </c>
      <c r="L33" s="132"/>
      <c r="M33" s="161">
        <f>+J33*H33</f>
        <v>-53332.5</v>
      </c>
      <c r="N33" s="99"/>
      <c r="O33" s="587">
        <f>+I33*H33</f>
        <v>5139842.5</v>
      </c>
      <c r="P33" s="732">
        <f>+E33*$O$46</f>
        <v>722475.31900000002</v>
      </c>
      <c r="Q33" s="733">
        <f>+O33-P33</f>
        <v>4417367.1809999999</v>
      </c>
      <c r="R33" s="99"/>
      <c r="S33" s="173">
        <v>811.8</v>
      </c>
      <c r="T33" s="590">
        <f>+I33/S33-1</f>
        <v>-2.5936191180093604E-2</v>
      </c>
      <c r="U33" s="82">
        <f>+RANK(T33,$T$4:$T$44)</f>
        <v>23</v>
      </c>
      <c r="V33" s="45"/>
      <c r="W33" s="99"/>
      <c r="X33" s="173">
        <v>708.63</v>
      </c>
      <c r="Y33" s="590">
        <f>+S33/X33-1</f>
        <v>0.14559078785826163</v>
      </c>
      <c r="Z33" s="102">
        <f>+RANK(Y33,$Y$4:$Y$44)</f>
        <v>11</v>
      </c>
      <c r="AA33" s="45" t="s">
        <v>61</v>
      </c>
      <c r="AB33" s="605"/>
      <c r="AC33" s="549" t="s">
        <v>222</v>
      </c>
      <c r="AD33" s="9">
        <v>611.23199999999997</v>
      </c>
      <c r="AE33" s="550">
        <f>+I33/AD33-1</f>
        <v>0.2936904481440763</v>
      </c>
      <c r="AF33" s="47"/>
      <c r="AG33" s="604">
        <f>+AD33*H33</f>
        <v>3973008</v>
      </c>
      <c r="AH33" s="48"/>
      <c r="AI33" s="105" t="str">
        <f>_xll.BDP(G33&amp;" EQUITY",$AA$1)</f>
        <v>3/8/2024</v>
      </c>
      <c r="AJ33" s="84">
        <f>_xll.BDP(G33&amp;" EQUITY",$AB$1)</f>
        <v>845</v>
      </c>
      <c r="AK33" s="591">
        <f>+I33/AJ33-1</f>
        <v>-6.4207100591715971E-2</v>
      </c>
      <c r="AL33" s="47"/>
      <c r="AM33" s="105" t="str">
        <f>_xll.BDP(G33&amp;" EQUITY",$AE$1)</f>
        <v>10/27/2023</v>
      </c>
      <c r="AN33" s="77">
        <f>_xll.BDP(G33&amp;" EQUITY",$AF$1)</f>
        <v>596.17999999999995</v>
      </c>
      <c r="AO33" s="591">
        <f>+I33/AN33-1</f>
        <v>0.32635277936193785</v>
      </c>
      <c r="AP33" s="47"/>
      <c r="AQ33" s="47"/>
      <c r="AR33" s="22"/>
      <c r="AT33" s="96"/>
      <c r="AZ33"/>
      <c r="BB33"/>
    </row>
    <row r="34" spans="1:54" ht="15.75" x14ac:dyDescent="0.25">
      <c r="A34" s="762">
        <f>+B34*F34</f>
        <v>9.8287091417564062E-4</v>
      </c>
      <c r="B34" s="441">
        <f>_xll.BDP(G34&amp;" EQUITY",$B$3)*0.01</f>
        <v>5.9648457737866617E-2</v>
      </c>
      <c r="D34" s="24">
        <f>+F34-E34</f>
        <v>1.5477725517984094E-2</v>
      </c>
      <c r="E34" s="85">
        <v>1E-3</v>
      </c>
      <c r="F34" s="520">
        <f>+O34/$O$46</f>
        <v>1.6477725517984095E-2</v>
      </c>
      <c r="G34" s="582" t="s">
        <v>214</v>
      </c>
      <c r="H34" s="585">
        <v>90000</v>
      </c>
      <c r="I34" s="584">
        <f>_xll.BDP(G34&amp;" EQUITY",$N$1)</f>
        <v>52.91</v>
      </c>
      <c r="J34" s="112">
        <f>_xll.BDP(G34&amp;" EQUITY",$O$1)</f>
        <v>-0.73</v>
      </c>
      <c r="K34" s="127">
        <f>_xll.BDP(G34&amp;" EQUITY",$P$1)*0.01</f>
        <v>-1.360925E-2</v>
      </c>
      <c r="L34" s="132"/>
      <c r="M34" s="161">
        <f>+J34*H34</f>
        <v>-65700</v>
      </c>
      <c r="N34" s="99"/>
      <c r="O34" s="587">
        <f>+I34*H34</f>
        <v>4761900</v>
      </c>
      <c r="P34" s="732">
        <f>+E34*$O$46</f>
        <v>288990.12760000001</v>
      </c>
      <c r="Q34" s="733">
        <f>+O34-P34</f>
        <v>4472909.8723999998</v>
      </c>
      <c r="R34" s="99"/>
      <c r="S34" s="173">
        <v>57.42</v>
      </c>
      <c r="T34" s="590">
        <f>+I34/S34-1</f>
        <v>-7.85440613026821E-2</v>
      </c>
      <c r="U34" s="82">
        <f>+RANK(T34,$T$4:$T$44)</f>
        <v>28</v>
      </c>
      <c r="V34" s="45"/>
      <c r="W34" s="99"/>
      <c r="X34" s="173">
        <v>63.43</v>
      </c>
      <c r="Y34" s="590">
        <f>+S34/X34-1</f>
        <v>-9.4750118240580106E-2</v>
      </c>
      <c r="Z34" s="17">
        <f>+RANK(Y34,$Y$4:$Y$44)</f>
        <v>33</v>
      </c>
      <c r="AA34" s="45"/>
      <c r="AB34" s="605"/>
      <c r="AC34" s="549" t="s">
        <v>214</v>
      </c>
      <c r="AD34" s="9">
        <v>66.064828888888883</v>
      </c>
      <c r="AE34" s="550">
        <f>+I34/AD34-1</f>
        <v>-0.19912000242993644</v>
      </c>
      <c r="AF34" s="47"/>
      <c r="AG34" s="604">
        <f>+AD34*H34</f>
        <v>5945834.5999999996</v>
      </c>
      <c r="AH34" s="48"/>
      <c r="AI34" s="108">
        <v>44559</v>
      </c>
      <c r="AJ34" s="84">
        <f>_xll.BDP(G34&amp;" EQUITY",$AB$1)</f>
        <v>64.180000000000007</v>
      </c>
      <c r="AK34" s="591">
        <f>+I34/AJ34-1</f>
        <v>-0.17559987535057664</v>
      </c>
      <c r="AL34" s="47"/>
      <c r="AM34" s="108">
        <v>44099</v>
      </c>
      <c r="AN34" s="77">
        <f>_xll.BDP(G34&amp;" EQUITY",$AF$1)</f>
        <v>45.034999999999997</v>
      </c>
      <c r="AO34" s="591">
        <f>+I34/AN34-1</f>
        <v>0.17486399467081171</v>
      </c>
      <c r="AP34" s="47"/>
      <c r="AQ34" s="47"/>
      <c r="AR34" s="22"/>
      <c r="AT34" s="96"/>
      <c r="AZ34"/>
      <c r="BB34"/>
    </row>
    <row r="35" spans="1:54" ht="15.75" x14ac:dyDescent="0.25">
      <c r="A35" s="762">
        <f>+B35*F35</f>
        <v>4.9676438924245783E-4</v>
      </c>
      <c r="B35" s="441">
        <f>_xll.BDP(G35&amp;" EQUITY",$B$3)*0.01</f>
        <v>3.0503145553780801E-2</v>
      </c>
      <c r="D35" s="24">
        <f>+F35-E35</f>
        <v>1.0685677435023907E-2</v>
      </c>
      <c r="E35" s="85">
        <v>5.5999999999999999E-3</v>
      </c>
      <c r="F35" s="520">
        <f>+O35/$O$46</f>
        <v>1.6285677435023908E-2</v>
      </c>
      <c r="G35" s="582" t="s">
        <v>225</v>
      </c>
      <c r="H35" s="585">
        <v>74000</v>
      </c>
      <c r="I35" s="584">
        <f>_xll.BDP(G35&amp;" EQUITY",$N$1)</f>
        <v>63.6</v>
      </c>
      <c r="J35" s="112">
        <f>_xll.BDP(G35&amp;" EQUITY",$O$1)</f>
        <v>-0.37</v>
      </c>
      <c r="K35" s="127">
        <f>_xll.BDP(G35&amp;" EQUITY",$P$1)*0.01</f>
        <v>-5.7839609999999998E-3</v>
      </c>
      <c r="L35" s="132"/>
      <c r="M35" s="161">
        <f>+J35*H35</f>
        <v>-27380</v>
      </c>
      <c r="N35" s="99"/>
      <c r="O35" s="587">
        <f>+I35*H35</f>
        <v>4706400</v>
      </c>
      <c r="P35" s="732">
        <f>+E35*$O$46</f>
        <v>1618344.7145600002</v>
      </c>
      <c r="Q35" s="733">
        <f>+O35-P35</f>
        <v>3088055.2854399998</v>
      </c>
      <c r="R35" s="99"/>
      <c r="S35" s="173">
        <v>58.93</v>
      </c>
      <c r="T35" s="590">
        <f>+I35/S35-1</f>
        <v>7.924656371966754E-2</v>
      </c>
      <c r="U35" s="82">
        <f>+RANK(T35,$T$4:$T$44)</f>
        <v>14</v>
      </c>
      <c r="V35" s="45" t="s">
        <v>61</v>
      </c>
      <c r="W35" s="99"/>
      <c r="X35" s="173">
        <v>63.61</v>
      </c>
      <c r="Y35" s="590">
        <f>+S35/X35-1</f>
        <v>-7.357333752554629E-2</v>
      </c>
      <c r="Z35" s="17">
        <f>+RANK(Y35,$Y$4:$Y$44)</f>
        <v>30</v>
      </c>
      <c r="AA35" s="45"/>
      <c r="AB35" s="605"/>
      <c r="AC35" s="549" t="s">
        <v>225</v>
      </c>
      <c r="AD35" s="9">
        <v>54.292099999999998</v>
      </c>
      <c r="AE35" s="550">
        <f>+I35/AD35-1</f>
        <v>0.17144114889643247</v>
      </c>
      <c r="AF35" s="47"/>
      <c r="AG35" s="604">
        <f>+AD35*H35</f>
        <v>4017615.4</v>
      </c>
      <c r="AH35" s="48"/>
      <c r="AI35" s="105" t="str">
        <f>_xll.BDP(G35&amp;" EQUITY",$AA$1)</f>
        <v>6/6/2024</v>
      </c>
      <c r="AJ35" s="84">
        <f>_xll.BDP(G35&amp;" EQUITY",$AB$1)</f>
        <v>64.36</v>
      </c>
      <c r="AK35" s="591">
        <f>+I35/AJ35-1</f>
        <v>-1.1808576755748867E-2</v>
      </c>
      <c r="AL35" s="47"/>
      <c r="AM35" s="105" t="str">
        <f>_xll.BDP(G35&amp;" EQUITY",$AE$1)</f>
        <v>10/6/2023</v>
      </c>
      <c r="AN35" s="77">
        <f>_xll.BDP(G35&amp;" EQUITY",$AF$1)</f>
        <v>51.55</v>
      </c>
      <c r="AO35" s="591">
        <f>+I35/AN35-1</f>
        <v>0.233753637245393</v>
      </c>
      <c r="AP35" s="47"/>
      <c r="AQ35" s="47"/>
      <c r="AR35" s="22"/>
      <c r="AT35" s="96"/>
      <c r="AZ35"/>
      <c r="BB35"/>
    </row>
    <row r="36" spans="1:54" ht="15.75" x14ac:dyDescent="0.25">
      <c r="A36" s="762">
        <f>+B36*F36</f>
        <v>7.1974778109839307E-4</v>
      </c>
      <c r="B36" s="441">
        <f>_xll.BDP(G36&amp;" EQUITY",$B$3)*0.01</f>
        <v>4.8543690043745688E-2</v>
      </c>
      <c r="D36" s="24">
        <f>+F36-E36</f>
        <v>1.4126804069690302E-2</v>
      </c>
      <c r="E36" s="85">
        <v>6.9999999999999999E-4</v>
      </c>
      <c r="F36" s="520">
        <f>+O36/$O$46</f>
        <v>1.4826804069690301E-2</v>
      </c>
      <c r="G36" s="582" t="s">
        <v>217</v>
      </c>
      <c r="H36" s="585">
        <v>130000</v>
      </c>
      <c r="I36" s="584">
        <f>_xll.BDP(G36&amp;" EQUITY",$N$1)</f>
        <v>32.96</v>
      </c>
      <c r="J36" s="112">
        <f>_xll.BDP(G36&amp;" EQUITY",$O$1)</f>
        <v>-0.25</v>
      </c>
      <c r="K36" s="127">
        <f>_xll.BDP(G36&amp;" EQUITY",$P$1)*0.01</f>
        <v>-7.5278530000000001E-3</v>
      </c>
      <c r="L36" s="132"/>
      <c r="M36" s="161">
        <f>+J36*H36</f>
        <v>-32500</v>
      </c>
      <c r="N36" s="99"/>
      <c r="O36" s="587">
        <f>+I36*H36</f>
        <v>4284800</v>
      </c>
      <c r="P36" s="732">
        <f>+E36*$O$46</f>
        <v>202293.08932000003</v>
      </c>
      <c r="Q36" s="733">
        <f>+O36-P36</f>
        <v>4082506.9106799997</v>
      </c>
      <c r="R36" s="99"/>
      <c r="S36" s="173">
        <v>36.979999999999997</v>
      </c>
      <c r="T36" s="590">
        <f>+I36/S36-1</f>
        <v>-0.10870740941049206</v>
      </c>
      <c r="U36" s="82">
        <f>+RANK(T36,$T$4:$T$44)</f>
        <v>33</v>
      </c>
      <c r="V36" s="45"/>
      <c r="W36" s="99"/>
      <c r="X36" s="173">
        <v>40.71</v>
      </c>
      <c r="Y36" s="590">
        <f>+S36/X36-1</f>
        <v>-9.162367968558105E-2</v>
      </c>
      <c r="Z36" s="103">
        <f>+RANK(Y36,$Y$4:$Y$44)</f>
        <v>31</v>
      </c>
      <c r="AA36" s="45"/>
      <c r="AB36" s="605"/>
      <c r="AC36" s="549" t="s">
        <v>217</v>
      </c>
      <c r="AD36" s="9">
        <v>35.593832538461541</v>
      </c>
      <c r="AE36" s="550">
        <f>+I36/AD36-1</f>
        <v>-7.3996879532865822E-2</v>
      </c>
      <c r="AF36" s="47"/>
      <c r="AG36" s="604">
        <f>+AD36*H36</f>
        <v>4627198.2300000004</v>
      </c>
      <c r="AH36" s="48"/>
      <c r="AI36" s="105" t="str">
        <f>_xll.BDP(G36&amp;" EQUITY",$AA$1)</f>
        <v>4/25/2024</v>
      </c>
      <c r="AJ36" s="84">
        <f>_xll.BDP(G36&amp;" EQUITY",$AB$1)</f>
        <v>38.96</v>
      </c>
      <c r="AK36" s="591">
        <f>+I36/AJ36-1</f>
        <v>-0.1540041067761807</v>
      </c>
      <c r="AL36" s="47"/>
      <c r="AM36" s="105" t="str">
        <f>_xll.BDP(G36&amp;" EQUITY",$AE$1)</f>
        <v>10/12/2023</v>
      </c>
      <c r="AN36" s="77">
        <f>_xll.BDP(G36&amp;" EQUITY",$AF$1)</f>
        <v>30.68</v>
      </c>
      <c r="AO36" s="591">
        <f>+I36/AN36-1</f>
        <v>7.4315514993481102E-2</v>
      </c>
      <c r="AP36" s="47"/>
      <c r="AQ36" s="47"/>
      <c r="AR36" s="22"/>
      <c r="AT36" s="96"/>
      <c r="AZ36"/>
      <c r="BB36"/>
    </row>
    <row r="37" spans="1:54" ht="15.75" x14ac:dyDescent="0.25">
      <c r="A37" s="762">
        <f>+B37*F37</f>
        <v>6.3060979496136363E-4</v>
      </c>
      <c r="B37" s="441">
        <f>_xll.BDP(G37&amp;" EQUITY",$B$3)*0.01</f>
        <v>4.4363258029324525E-2</v>
      </c>
      <c r="D37" s="24">
        <f>+F37-E37</f>
        <v>1.3714686273594349E-2</v>
      </c>
      <c r="E37" s="85">
        <v>5.0000000000000001E-4</v>
      </c>
      <c r="F37" s="520">
        <f>+O37/$O$46</f>
        <v>1.4214686273594349E-2</v>
      </c>
      <c r="G37" s="582" t="s">
        <v>226</v>
      </c>
      <c r="H37" s="585">
        <v>107200</v>
      </c>
      <c r="I37" s="584">
        <f>_xll.BDP(G37&amp;" EQUITY",$N$1)</f>
        <v>38.32</v>
      </c>
      <c r="J37" s="112">
        <f>_xll.BDP(G37&amp;" EQUITY",$O$1)</f>
        <v>-0.18</v>
      </c>
      <c r="K37" s="127">
        <f>_xll.BDP(G37&amp;" EQUITY",$P$1)*0.01</f>
        <v>-4.6753250000000001E-3</v>
      </c>
      <c r="L37" s="132"/>
      <c r="M37" s="161">
        <f>+J37*H37</f>
        <v>-19296</v>
      </c>
      <c r="N37" s="99"/>
      <c r="O37" s="587">
        <f>+I37*H37</f>
        <v>4107904</v>
      </c>
      <c r="P37" s="732">
        <f>+E37*$O$46</f>
        <v>144495.0638</v>
      </c>
      <c r="Q37" s="733">
        <f>+O37-P37</f>
        <v>3963408.9361999999</v>
      </c>
      <c r="R37" s="99"/>
      <c r="S37" s="173">
        <v>36.659999999999997</v>
      </c>
      <c r="T37" s="590">
        <f>+I37/S37-1</f>
        <v>4.5280960174577389E-2</v>
      </c>
      <c r="U37" s="82">
        <f>+RANK(T37,$T$4:$T$44)</f>
        <v>20</v>
      </c>
      <c r="V37" s="45" t="s">
        <v>61</v>
      </c>
      <c r="W37" s="99"/>
      <c r="X37" s="173">
        <v>41.94</v>
      </c>
      <c r="Y37" s="590">
        <f>+S37/X37-1</f>
        <v>-0.12589413447782549</v>
      </c>
      <c r="Z37" s="17">
        <f>+RANK(Y37,$Y$4:$Y$44)</f>
        <v>36</v>
      </c>
      <c r="AA37" s="45"/>
      <c r="AB37" s="605"/>
      <c r="AC37" s="549" t="s">
        <v>226</v>
      </c>
      <c r="AD37" s="9">
        <v>38.9741</v>
      </c>
      <c r="AE37" s="550">
        <f>+I37/AD37-1</f>
        <v>-1.6782940465591256E-2</v>
      </c>
      <c r="AF37" s="47"/>
      <c r="AG37" s="604">
        <f>+AD37*H37</f>
        <v>4178023.52</v>
      </c>
      <c r="AH37" s="48"/>
      <c r="AI37" s="105" t="str">
        <f>_xll.BDP(G37&amp;" EQUITY",$AA$1)</f>
        <v>5/15/2024</v>
      </c>
      <c r="AJ37" s="84">
        <f>_xll.BDP(G37&amp;" EQUITY",$AB$1)</f>
        <v>40.65</v>
      </c>
      <c r="AK37" s="591">
        <f>+I37/AJ37-1</f>
        <v>-5.7318573185731858E-2</v>
      </c>
      <c r="AL37" s="47"/>
      <c r="AM37" s="105" t="str">
        <f>_xll.BDP(G37&amp;" EQUITY",$AE$1)</f>
        <v>10/3/2023</v>
      </c>
      <c r="AN37" s="77">
        <f>_xll.BDP(G37&amp;" EQUITY",$AF$1)</f>
        <v>32.18</v>
      </c>
      <c r="AO37" s="591">
        <f>+I37/AN37-1</f>
        <v>0.19080174021131135</v>
      </c>
      <c r="AP37" s="47"/>
      <c r="AQ37" s="47"/>
      <c r="AR37" s="22"/>
      <c r="AT37" s="96"/>
      <c r="AZ37"/>
      <c r="BB37"/>
    </row>
    <row r="38" spans="1:54" ht="15.75" x14ac:dyDescent="0.25">
      <c r="A38" s="762">
        <f>+B38*F38</f>
        <v>5.8825540574754069E-4</v>
      </c>
      <c r="B38" s="441">
        <f>_xll.BDP(G38&amp;" EQUITY",$B$3)*0.01</f>
        <v>4.1784442612356289E-2</v>
      </c>
      <c r="D38" s="24">
        <f>+F38-E38</f>
        <v>1.3778335595018436E-2</v>
      </c>
      <c r="E38" s="85">
        <v>2.9999999999999997E-4</v>
      </c>
      <c r="F38" s="520">
        <f>+O38/$O$46</f>
        <v>1.4078335595018436E-2</v>
      </c>
      <c r="G38" s="582" t="s">
        <v>356</v>
      </c>
      <c r="H38" s="583">
        <v>100000</v>
      </c>
      <c r="I38" s="584">
        <f>_xll.BDP(G38&amp;" EQUITY",$N$1)</f>
        <v>40.685000000000002</v>
      </c>
      <c r="J38" s="112">
        <f>_xll.BDP(G38&amp;" EQUITY",$O$1)</f>
        <v>-0.47499999999999998</v>
      </c>
      <c r="K38" s="127">
        <f>_xll.BDP(G38&amp;" EQUITY",$P$1)*0.01</f>
        <v>-1.1540330000000001E-2</v>
      </c>
      <c r="L38" s="132"/>
      <c r="M38" s="161">
        <f>+J38*H38</f>
        <v>-47500</v>
      </c>
      <c r="N38" s="99"/>
      <c r="O38" s="587">
        <f>+I38*H38</f>
        <v>4068500</v>
      </c>
      <c r="P38" s="732">
        <f>+E38*$O$46</f>
        <v>86697.038279999993</v>
      </c>
      <c r="Q38" s="733">
        <f>+O38-P38</f>
        <v>3981802.96172</v>
      </c>
      <c r="R38" s="99"/>
      <c r="S38" s="173">
        <v>38</v>
      </c>
      <c r="T38" s="590">
        <f>+I38/S38-1</f>
        <v>7.0657894736842142E-2</v>
      </c>
      <c r="U38" s="82">
        <f>+RANK(T38,$T$4:$T$44)</f>
        <v>16</v>
      </c>
      <c r="V38" s="45" t="s">
        <v>61</v>
      </c>
      <c r="W38" s="99"/>
      <c r="X38" s="173">
        <v>38.729999999999997</v>
      </c>
      <c r="Y38" s="590">
        <f>+S38/X38-1</f>
        <v>-1.8848437903433934E-2</v>
      </c>
      <c r="Z38" s="82">
        <f>+RANK(Y38,$Y$4:$Y$44)</f>
        <v>23</v>
      </c>
      <c r="AA38" s="45"/>
      <c r="AB38" s="605"/>
      <c r="AC38" s="549" t="s">
        <v>356</v>
      </c>
      <c r="AD38" s="9">
        <v>41.082000000000001</v>
      </c>
      <c r="AE38" s="550">
        <f>+I38/AD38-1</f>
        <v>-9.6635996300082905E-3</v>
      </c>
      <c r="AF38" s="47"/>
      <c r="AG38" s="604">
        <f>+AD38*H38</f>
        <v>4108200</v>
      </c>
      <c r="AH38" s="48"/>
      <c r="AI38" s="105" t="str">
        <f>_xll.BDP(G38&amp;" EQUITY",$AA$1)</f>
        <v>7/12/2023</v>
      </c>
      <c r="AJ38" s="84">
        <f>_xll.BDP(G38&amp;" EQUITY",$AB$1)</f>
        <v>44.02</v>
      </c>
      <c r="AK38" s="591">
        <f>+I38/AJ38-1</f>
        <v>-7.5761017719218504E-2</v>
      </c>
      <c r="AL38" s="47"/>
      <c r="AM38" s="105" t="str">
        <f>_xll.BDP(G38&amp;" EQUITY",$AE$1)</f>
        <v>11/1/2023</v>
      </c>
      <c r="AN38" s="77">
        <f>_xll.BDP(G38&amp;" EQUITY",$AF$1)</f>
        <v>30.95</v>
      </c>
      <c r="AO38" s="591">
        <f>+I38/AN38-1</f>
        <v>0.31453957996769</v>
      </c>
      <c r="AP38" s="47"/>
      <c r="AQ38" s="47"/>
      <c r="AR38" s="22"/>
      <c r="AT38" s="96"/>
      <c r="AZ38"/>
      <c r="BB38"/>
    </row>
    <row r="39" spans="1:54" ht="15.75" x14ac:dyDescent="0.25">
      <c r="A39" s="762">
        <f>+B39*F39</f>
        <v>3.2388648478790617E-4</v>
      </c>
      <c r="B39" s="441">
        <f>_xll.BDP(G39&amp;" EQUITY",$B$3)*0.01</f>
        <v>2.3504948737807427E-2</v>
      </c>
      <c r="D39" s="24">
        <f>+F39-E39</f>
        <v>1.0379501857280746E-2</v>
      </c>
      <c r="E39" s="85">
        <v>3.3999999999999998E-3</v>
      </c>
      <c r="F39" s="520">
        <f>+O39/$O$46</f>
        <v>1.3779501857280746E-2</v>
      </c>
      <c r="G39" s="582" t="s">
        <v>230</v>
      </c>
      <c r="H39" s="585">
        <v>18000</v>
      </c>
      <c r="I39" s="584">
        <f>_xll.BDP(G39&amp;" EQUITY",$N$1)</f>
        <v>221.23</v>
      </c>
      <c r="J39" s="112">
        <f>_xll.BDP(G39&amp;" EQUITY",$O$1)</f>
        <v>-5.13</v>
      </c>
      <c r="K39" s="127">
        <f>_xll.BDP(G39&amp;" EQUITY",$P$1)*0.01</f>
        <v>-2.2663010000000001E-2</v>
      </c>
      <c r="L39" s="132"/>
      <c r="M39" s="161">
        <f>+J39*H39</f>
        <v>-92340</v>
      </c>
      <c r="N39" s="99"/>
      <c r="O39" s="587">
        <f>+I39*H39</f>
        <v>3982140</v>
      </c>
      <c r="P39" s="732">
        <f>+E39*$O$46</f>
        <v>982566.43384000007</v>
      </c>
      <c r="Q39" s="733">
        <f>+O39-P39</f>
        <v>2999573.5661599999</v>
      </c>
      <c r="R39" s="99"/>
      <c r="S39" s="173">
        <v>245.62</v>
      </c>
      <c r="T39" s="590">
        <f>+I39/S39-1</f>
        <v>-9.9299731292240123E-2</v>
      </c>
      <c r="U39" s="82">
        <f>+RANK(T39,$T$4:$T$44)</f>
        <v>31</v>
      </c>
      <c r="V39" s="45"/>
      <c r="W39" s="99"/>
      <c r="X39" s="173">
        <v>207.07</v>
      </c>
      <c r="Y39" s="590">
        <f>+S39/X39-1</f>
        <v>0.18616892838170673</v>
      </c>
      <c r="Z39" s="102">
        <f>+RANK(Y39,$Y$4:$Y$44)</f>
        <v>9</v>
      </c>
      <c r="AA39" s="45" t="s">
        <v>61</v>
      </c>
      <c r="AB39" s="605"/>
      <c r="AC39" s="549" t="s">
        <v>230</v>
      </c>
      <c r="AD39" s="9">
        <v>215.56399999999999</v>
      </c>
      <c r="AE39" s="550">
        <f>+I39/AD39-1</f>
        <v>2.6284537306785927E-2</v>
      </c>
      <c r="AF39" s="47"/>
      <c r="AG39" s="604">
        <f>+AD39*H39</f>
        <v>3880152</v>
      </c>
      <c r="AH39" s="48"/>
      <c r="AI39" s="105" t="str">
        <f>_xll.BDP(G39&amp;" EQUITY",$AA$1)</f>
        <v>2/26/2024</v>
      </c>
      <c r="AJ39" s="84">
        <f>_xll.BDP(G39&amp;" EQUITY",$AB$1)</f>
        <v>258.66000000000003</v>
      </c>
      <c r="AK39" s="591">
        <f>+I39/AJ39-1</f>
        <v>-0.14470733781798517</v>
      </c>
      <c r="AL39" s="47"/>
      <c r="AM39" s="105" t="str">
        <f>_xll.BDP(G39&amp;" EQUITY",$AE$1)</f>
        <v>10/6/2023</v>
      </c>
      <c r="AN39" s="77">
        <f>_xll.BDP(G39&amp;" EQUITY",$AF$1)</f>
        <v>199.33</v>
      </c>
      <c r="AO39" s="591">
        <f>+I39/AN39-1</f>
        <v>0.10986805799428079</v>
      </c>
      <c r="AP39" s="47"/>
      <c r="AQ39" s="47"/>
      <c r="AR39" s="22"/>
      <c r="AT39" s="96"/>
      <c r="AZ39"/>
      <c r="BB39"/>
    </row>
    <row r="40" spans="1:54" ht="15.75" x14ac:dyDescent="0.25">
      <c r="A40" s="762">
        <f>+B40*F40</f>
        <v>4.6506777969229803E-4</v>
      </c>
      <c r="B40" s="441">
        <f>_xll.BDP(G40&amp;" EQUITY",$B$3)*0.01</f>
        <v>3.4948009503031209E-2</v>
      </c>
      <c r="D40" s="24">
        <f>+F40-E40</f>
        <v>1.1007418256595142E-2</v>
      </c>
      <c r="E40" s="85">
        <v>2.3E-3</v>
      </c>
      <c r="F40" s="520">
        <f>+O40/$O$46</f>
        <v>1.3307418256595142E-2</v>
      </c>
      <c r="G40" s="582" t="s">
        <v>392</v>
      </c>
      <c r="H40" s="585">
        <v>35000</v>
      </c>
      <c r="I40" s="584">
        <f>_xll.BDP(G40&amp;" EQUITY",$N$1)</f>
        <v>109.8775</v>
      </c>
      <c r="J40" s="112">
        <f>_xll.BDP(G40&amp;" EQUITY",$O$1)</f>
        <v>-1.7524999999999999</v>
      </c>
      <c r="K40" s="127">
        <f>_xll.BDP(G40&amp;" EQUITY",$P$1)*0.01</f>
        <v>-1.569918E-2</v>
      </c>
      <c r="L40" s="132"/>
      <c r="M40" s="161">
        <f>+J40*H40</f>
        <v>-61337.5</v>
      </c>
      <c r="N40" s="99"/>
      <c r="O40" s="587">
        <f>+I40*H40</f>
        <v>3845712.5</v>
      </c>
      <c r="P40" s="732">
        <f>+E40*$O$46</f>
        <v>664677.29347999999</v>
      </c>
      <c r="Q40" s="733">
        <f>+O40-P40</f>
        <v>3181035.20652</v>
      </c>
      <c r="R40" s="99"/>
      <c r="S40" s="173">
        <v>133.30000000000001</v>
      </c>
      <c r="T40" s="590">
        <f>+I40/S40-1</f>
        <v>-0.1757126781695425</v>
      </c>
      <c r="U40" s="82">
        <f>+RANK(T40,$T$4:$T$44)</f>
        <v>37</v>
      </c>
      <c r="V40" s="45"/>
      <c r="W40" s="99"/>
      <c r="X40" s="173">
        <v>112.63</v>
      </c>
      <c r="Y40" s="590">
        <f>+S40/X40-1</f>
        <v>0.18352126431678961</v>
      </c>
      <c r="Z40" s="82">
        <f>+RANK(Y40,$Y$4:$Y$44)</f>
        <v>10</v>
      </c>
      <c r="AA40" s="45" t="s">
        <v>61</v>
      </c>
      <c r="AB40" s="605"/>
      <c r="AC40" s="549" t="s">
        <v>392</v>
      </c>
      <c r="AD40" s="9">
        <v>121.6925</v>
      </c>
      <c r="AE40" s="550">
        <f>+I40/AD40-1</f>
        <v>-9.7088974258890182E-2</v>
      </c>
      <c r="AF40" s="47"/>
      <c r="AG40" s="604">
        <f>+AD40*H40</f>
        <v>4259237.5</v>
      </c>
      <c r="AH40" s="48"/>
      <c r="AI40" s="105" t="str">
        <f>_xll.BDP(G40&amp;" EQUITY",$AA$1)</f>
        <v>12/14/2023</v>
      </c>
      <c r="AJ40" s="84">
        <f>_xll.BDP(G40&amp;" EQUITY",$AB$1)</f>
        <v>137.52000000000001</v>
      </c>
      <c r="AK40" s="591">
        <f>+I40/AJ40-1</f>
        <v>-0.20100712623618389</v>
      </c>
      <c r="AL40" s="47"/>
      <c r="AM40" s="105" t="str">
        <f>_xll.BDP(G40&amp;" EQUITY",$AE$1)</f>
        <v>10/27/2023</v>
      </c>
      <c r="AN40" s="77">
        <f>_xll.BDP(G40&amp;" EQUITY",$AF$1)</f>
        <v>96.64</v>
      </c>
      <c r="AO40" s="591">
        <f>+I40/AN40-1</f>
        <v>0.13697744205298013</v>
      </c>
      <c r="AP40" s="47"/>
      <c r="AQ40" s="47"/>
      <c r="AR40" s="22"/>
      <c r="AT40" s="96"/>
      <c r="AZ40"/>
      <c r="BB40"/>
    </row>
    <row r="41" spans="1:54" ht="15.75" x14ac:dyDescent="0.25">
      <c r="A41" s="762">
        <f>+B41*F41</f>
        <v>2.9481977562764575E-4</v>
      </c>
      <c r="B41" s="441">
        <f>_xll.BDP(G41&amp;" EQUITY",$B$3)*0.01</f>
        <v>2.3095378099412242E-2</v>
      </c>
      <c r="D41" s="24">
        <f>+F41-E41</f>
        <v>1.0765314962959998E-2</v>
      </c>
      <c r="E41" s="85">
        <v>2E-3</v>
      </c>
      <c r="F41" s="520">
        <f>+O41/$O$46</f>
        <v>1.2765314962959998E-2</v>
      </c>
      <c r="G41" s="582" t="s">
        <v>545</v>
      </c>
      <c r="H41" s="585">
        <v>5000</v>
      </c>
      <c r="I41" s="584">
        <f>_xll.BDP(G41&amp;" EQUITY",$N$1)</f>
        <v>737.81</v>
      </c>
      <c r="J41" s="112">
        <f>_xll.BDP(G41&amp;" EQUITY",$O$1)</f>
        <v>-14.39</v>
      </c>
      <c r="K41" s="127">
        <f>_xll.BDP(G41&amp;" EQUITY",$P$1)*0.01</f>
        <v>-1.913055E-2</v>
      </c>
      <c r="L41" s="132"/>
      <c r="M41" s="161">
        <f>+J41*H41</f>
        <v>-71950</v>
      </c>
      <c r="N41" s="99"/>
      <c r="O41" s="587">
        <f>+I41*H41</f>
        <v>3689049.9999999995</v>
      </c>
      <c r="P41" s="732">
        <f>+E41*$O$46</f>
        <v>577980.25520000001</v>
      </c>
      <c r="Q41" s="733">
        <f>+O41-P41</f>
        <v>3111069.7447999995</v>
      </c>
      <c r="R41" s="99"/>
      <c r="S41" s="173">
        <v>805.39</v>
      </c>
      <c r="T41" s="590">
        <f>+I41/S41-1</f>
        <v>-8.3909658674679366E-2</v>
      </c>
      <c r="U41" s="82">
        <f>+RANK(T41,$T$4:$T$44)</f>
        <v>30</v>
      </c>
      <c r="V41" s="45"/>
      <c r="W41" s="99"/>
      <c r="X41" s="173">
        <v>655.03</v>
      </c>
      <c r="Y41" s="590">
        <f>+S41/X41-1</f>
        <v>0.22954673831732908</v>
      </c>
      <c r="Z41" s="17">
        <f>+RANK(Y41,$Y$4:$Y$44)</f>
        <v>8</v>
      </c>
      <c r="AA41" s="45" t="s">
        <v>61</v>
      </c>
      <c r="AB41" s="605"/>
      <c r="AC41" s="549"/>
      <c r="AD41" s="9"/>
      <c r="AE41" s="550"/>
      <c r="AF41" s="47"/>
      <c r="AG41" s="604"/>
      <c r="AH41" s="48"/>
      <c r="AI41" s="105"/>
      <c r="AJ41" s="84"/>
      <c r="AK41" s="591"/>
      <c r="AL41" s="47"/>
      <c r="AM41" s="105"/>
      <c r="AN41" s="77"/>
      <c r="AO41" s="591"/>
      <c r="AP41" s="47"/>
      <c r="AQ41" s="47"/>
      <c r="AR41" s="22"/>
      <c r="AT41" s="96"/>
      <c r="AZ41"/>
      <c r="BB41"/>
    </row>
    <row r="42" spans="1:54" ht="15.75" x14ac:dyDescent="0.25">
      <c r="A42" s="762">
        <f>+B42*F42</f>
        <v>5.1891045831459681E-4</v>
      </c>
      <c r="B42" s="441">
        <f>_xll.BDP(G42&amp;" EQUITY",$B$3)*0.01</f>
        <v>4.843982155220293E-2</v>
      </c>
      <c r="D42" s="24">
        <f>+F42-E42</f>
        <v>7.6124766707774544E-3</v>
      </c>
      <c r="E42" s="85">
        <v>3.0999999999999999E-3</v>
      </c>
      <c r="F42" s="521">
        <f>+O42/$O$46</f>
        <v>1.0712476670777455E-2</v>
      </c>
      <c r="G42" s="582" t="s">
        <v>403</v>
      </c>
      <c r="H42" s="585">
        <v>23000</v>
      </c>
      <c r="I42" s="584">
        <f>_xll.BDP(G42&amp;" EQUITY",$N$1)</f>
        <v>134.6</v>
      </c>
      <c r="J42" s="112">
        <f>_xll.BDP(G42&amp;" EQUITY",$O$1)</f>
        <v>-4</v>
      </c>
      <c r="K42" s="127">
        <f>_xll.BDP(G42&amp;" EQUITY",$P$1)*0.01</f>
        <v>-2.8860030000000002E-2</v>
      </c>
      <c r="L42" s="132"/>
      <c r="M42" s="161">
        <f>+J42*H42</f>
        <v>-92000</v>
      </c>
      <c r="N42" s="99"/>
      <c r="O42" s="587">
        <f>+I42*H42</f>
        <v>3095800</v>
      </c>
      <c r="P42" s="732">
        <f>+E42*$O$46</f>
        <v>895869.39556000009</v>
      </c>
      <c r="Q42" s="733">
        <f>+O42-P42</f>
        <v>2199930.6044399999</v>
      </c>
      <c r="R42" s="99"/>
      <c r="S42" s="173">
        <v>157.22999999999999</v>
      </c>
      <c r="T42" s="590">
        <f>+I42/S42-1</f>
        <v>-0.14392927558354007</v>
      </c>
      <c r="U42" s="82">
        <f>+RANK(T42,$T$4:$T$44)</f>
        <v>35</v>
      </c>
      <c r="V42" s="45" t="s">
        <v>61</v>
      </c>
      <c r="W42" s="99"/>
      <c r="X42" s="173">
        <v>173.84</v>
      </c>
      <c r="Y42" s="590">
        <f>+S42/X42-1</f>
        <v>-9.554763000460198E-2</v>
      </c>
      <c r="Z42" s="17">
        <f>+RANK(Y42,$Y$4:$Y$44)</f>
        <v>34</v>
      </c>
      <c r="AA42" s="45"/>
      <c r="AB42" s="605"/>
      <c r="AC42" s="549" t="s">
        <v>403</v>
      </c>
      <c r="AD42" s="9">
        <v>171.24027066666667</v>
      </c>
      <c r="AE42" s="550">
        <f>+I42/AD42-1</f>
        <v>-0.21396994132291458</v>
      </c>
      <c r="AF42" s="47"/>
      <c r="AG42" s="604">
        <f>+AD42*H42</f>
        <v>3938526.2253333335</v>
      </c>
      <c r="AH42" s="48"/>
      <c r="AI42" s="105" t="str">
        <f>_xll.BDP(G42&amp;" EQUITY",$AA$1)</f>
        <v>7/25/2023</v>
      </c>
      <c r="AJ42" s="84">
        <f>_xll.BDP(G42&amp;" EQUITY",$AB$1)</f>
        <v>192.98</v>
      </c>
      <c r="AK42" s="591">
        <f>+I42/AJ42-1</f>
        <v>-0.30251839568867245</v>
      </c>
      <c r="AL42" s="47"/>
      <c r="AM42" s="105" t="str">
        <f>_xll.BDP(G42&amp;" EQUITY",$AE$1)</f>
        <v>6/14/2024</v>
      </c>
      <c r="AN42" s="77">
        <f>_xll.BDP(G42&amp;" EQUITY",$AF$1)</f>
        <v>132.9</v>
      </c>
      <c r="AO42" s="591">
        <f>+I42/AN42-1</f>
        <v>1.2791572610985513E-2</v>
      </c>
      <c r="AP42" s="47"/>
      <c r="AQ42" s="47"/>
      <c r="AR42" s="22"/>
      <c r="AT42" s="96"/>
      <c r="AZ42"/>
      <c r="BB42"/>
    </row>
    <row r="43" spans="1:54" ht="15.75" x14ac:dyDescent="0.25">
      <c r="A43" s="760"/>
      <c r="B43" s="761"/>
      <c r="D43" s="24"/>
      <c r="E43" s="85"/>
      <c r="G43" s="3"/>
      <c r="H43" s="101"/>
      <c r="I43" s="9"/>
      <c r="J43" s="112"/>
      <c r="K43" s="127"/>
      <c r="L43" s="157"/>
      <c r="M43" s="161"/>
      <c r="N43" s="99"/>
      <c r="O43" s="589"/>
      <c r="P43" s="730"/>
      <c r="Q43" s="730"/>
      <c r="R43" s="99"/>
      <c r="S43" s="173"/>
      <c r="T43" s="37"/>
      <c r="U43" s="17"/>
      <c r="V43" s="45"/>
      <c r="W43" s="99"/>
      <c r="X43" s="173"/>
      <c r="Y43" s="37"/>
      <c r="Z43" s="17"/>
      <c r="AA43" s="45"/>
      <c r="AB43" s="605"/>
      <c r="AC43" s="312"/>
      <c r="AD43" s="306"/>
      <c r="AE43" s="45"/>
      <c r="AF43" s="47"/>
      <c r="AG43" s="39"/>
      <c r="AH43" s="48"/>
      <c r="AI43" s="105"/>
      <c r="AJ43" s="84"/>
      <c r="AK43" s="591"/>
      <c r="AL43" s="47"/>
      <c r="AM43" s="105"/>
      <c r="AN43" s="77"/>
      <c r="AO43" s="591"/>
      <c r="AP43" s="47"/>
      <c r="AQ43" s="47"/>
      <c r="AR43" s="22"/>
      <c r="AT43" s="96"/>
      <c r="AZ43"/>
      <c r="BB43"/>
    </row>
    <row r="44" spans="1:54" x14ac:dyDescent="0.25">
      <c r="A44" s="846">
        <f>SUM(A4:A43)</f>
        <v>3.6118597628201181E-2</v>
      </c>
      <c r="B44" s="761"/>
      <c r="F44" s="390">
        <f>SUM(F4:F43)</f>
        <v>1.0000000000000002</v>
      </c>
      <c r="G44" s="3"/>
      <c r="H44" s="101"/>
      <c r="I44" s="9"/>
      <c r="J44" s="112"/>
      <c r="K44" s="127"/>
      <c r="L44" s="126"/>
      <c r="M44" s="161"/>
      <c r="N44" s="99"/>
      <c r="O44" s="62"/>
      <c r="P44" s="77"/>
      <c r="Q44" s="77"/>
      <c r="R44" s="99"/>
      <c r="S44" s="38"/>
      <c r="T44" s="37"/>
      <c r="U44" s="17"/>
      <c r="V44" s="45"/>
      <c r="W44" s="99"/>
      <c r="X44" s="38"/>
      <c r="Y44" s="37"/>
      <c r="Z44" s="17"/>
      <c r="AA44" s="45"/>
      <c r="AB44" s="605"/>
      <c r="AC44" s="312"/>
      <c r="AD44" s="306"/>
      <c r="AE44" s="45"/>
      <c r="AF44" s="121"/>
      <c r="AG44" s="39"/>
      <c r="AH44" s="48"/>
      <c r="AI44" s="105"/>
      <c r="AJ44" s="84"/>
      <c r="AK44" s="591"/>
      <c r="AM44" s="105"/>
      <c r="AN44" s="84"/>
      <c r="AO44" s="591"/>
      <c r="AQ44" s="47"/>
      <c r="AR44" s="22"/>
      <c r="AT44" s="96"/>
      <c r="AZ44"/>
      <c r="BB44"/>
    </row>
    <row r="45" spans="1:54" x14ac:dyDescent="0.25">
      <c r="G45" s="3"/>
      <c r="H45" s="29"/>
      <c r="I45" s="9"/>
      <c r="J45" s="9"/>
      <c r="L45" s="135"/>
      <c r="M45" s="132"/>
      <c r="O45" s="132"/>
      <c r="Q45"/>
      <c r="S45" s="43"/>
      <c r="T45" s="6"/>
      <c r="U45" s="7"/>
      <c r="V45" s="28"/>
      <c r="X45" s="43"/>
      <c r="Y45" s="6"/>
      <c r="Z45" s="7"/>
      <c r="AA45" s="28"/>
      <c r="AB45" s="47"/>
      <c r="AC45" s="312"/>
      <c r="AD45" s="306"/>
      <c r="AE45" s="45"/>
      <c r="AF45" s="605"/>
      <c r="AG45" s="45"/>
      <c r="AH45" s="7"/>
      <c r="AI45" s="2"/>
      <c r="AK45" s="28"/>
      <c r="AM45" s="2"/>
      <c r="AO45" s="28"/>
      <c r="AP45" s="47"/>
      <c r="AQ45" s="47"/>
      <c r="AR45" s="22"/>
      <c r="AT45" s="96"/>
      <c r="AZ45"/>
      <c r="BB45"/>
    </row>
    <row r="46" spans="1:54" x14ac:dyDescent="0.25">
      <c r="G46" s="31"/>
      <c r="H46" s="32"/>
      <c r="I46" s="33"/>
      <c r="J46" s="33"/>
      <c r="K46" s="34"/>
      <c r="L46" s="137"/>
      <c r="M46" s="162">
        <f>SUM(M4:M45)</f>
        <v>-2820205.4000000004</v>
      </c>
      <c r="N46" s="99"/>
      <c r="O46" s="14">
        <f>SUM(O4:O44)</f>
        <v>288990127.60000002</v>
      </c>
      <c r="P46" s="190"/>
      <c r="Q46" s="190"/>
      <c r="R46" s="190"/>
      <c r="S46" s="903" t="s">
        <v>53</v>
      </c>
      <c r="T46" s="904"/>
      <c r="U46" s="905"/>
      <c r="V46" s="44"/>
      <c r="W46" s="750"/>
      <c r="X46" s="903" t="s">
        <v>53</v>
      </c>
      <c r="Y46" s="904"/>
      <c r="Z46" s="905"/>
      <c r="AA46" s="44"/>
      <c r="AB46" s="606"/>
      <c r="AC46" s="97"/>
      <c r="AD46" s="34"/>
      <c r="AE46" s="44"/>
      <c r="AF46" s="606"/>
      <c r="AG46" s="44"/>
      <c r="AH46" s="7"/>
      <c r="AI46" s="97"/>
      <c r="AJ46" s="34"/>
      <c r="AK46" s="44"/>
      <c r="AM46" s="97"/>
      <c r="AN46" s="34"/>
      <c r="AO46" s="44"/>
      <c r="AP46" s="47"/>
      <c r="AQ46" s="47"/>
      <c r="AR46" s="22"/>
      <c r="AT46" s="96"/>
      <c r="AZ46"/>
      <c r="BB46"/>
    </row>
    <row r="47" spans="1:54" x14ac:dyDescent="0.25">
      <c r="H47" s="4"/>
      <c r="I47" s="9"/>
      <c r="J47" s="9"/>
      <c r="L47" s="48"/>
      <c r="Q47"/>
      <c r="S47" s="5"/>
      <c r="T47" s="6"/>
      <c r="U47" s="7"/>
      <c r="AB47" s="7"/>
      <c r="AI47" s="7"/>
      <c r="AJ47" s="7"/>
      <c r="AK47" s="47"/>
      <c r="AL47" s="47"/>
      <c r="AM47" s="22"/>
      <c r="AO47" s="96"/>
      <c r="AZ47"/>
      <c r="BB47"/>
    </row>
    <row r="48" spans="1:54" x14ac:dyDescent="0.25">
      <c r="L48" s="191" t="s">
        <v>796</v>
      </c>
      <c r="M48" s="300">
        <f>+M46/O46</f>
        <v>-9.7588295607922357E-3</v>
      </c>
      <c r="O48" s="310">
        <f>285747103-39196724</f>
        <v>246550379</v>
      </c>
      <c r="P48" s="263" t="s">
        <v>164</v>
      </c>
      <c r="Q48" s="5"/>
      <c r="S48" s="7"/>
      <c r="Z48" s="7"/>
      <c r="AG48" s="7"/>
      <c r="AH48" s="7"/>
      <c r="AI48" s="47"/>
      <c r="AJ48" s="47"/>
      <c r="AK48" s="22"/>
      <c r="AM48" s="96"/>
      <c r="AO48"/>
      <c r="AZ48"/>
      <c r="BB48"/>
    </row>
    <row r="49" spans="1:58" x14ac:dyDescent="0.25">
      <c r="G49" s="278" t="s">
        <v>73</v>
      </c>
      <c r="H49" s="279"/>
      <c r="I49" s="280">
        <f>_xll.BDP(G49&amp;" Index",$N$1)</f>
        <v>5462.64</v>
      </c>
      <c r="J49" s="281">
        <f>_xll.BDP(G49&amp;" Index",$O$1)</f>
        <v>14.77</v>
      </c>
      <c r="K49" s="282">
        <f>_xll.BDP(G49&amp;" Index",$P$1)*0.01</f>
        <v>2.7111510000000002E-3</v>
      </c>
      <c r="L49" s="295" t="s">
        <v>114</v>
      </c>
      <c r="M49" s="301">
        <f>+K49</f>
        <v>2.7111510000000002E-3</v>
      </c>
      <c r="O49" s="261">
        <f>+(O46/O48)-1</f>
        <v>0.17213418520033996</v>
      </c>
      <c r="P49" s="262"/>
      <c r="Q49" s="60"/>
      <c r="S49" s="60"/>
      <c r="T49" s="60"/>
      <c r="U49" s="60"/>
      <c r="Z49" s="60"/>
      <c r="AE49" s="5"/>
      <c r="AF49" s="6"/>
      <c r="AG49" s="7"/>
      <c r="AI49" s="48"/>
      <c r="AJ49" s="47"/>
      <c r="AK49" s="22"/>
      <c r="AM49" s="96"/>
      <c r="AO49"/>
      <c r="AT49" s="22"/>
      <c r="AU49" s="7"/>
      <c r="AV49" s="96"/>
      <c r="AW49" s="48"/>
      <c r="AX49" s="48"/>
      <c r="AY49" s="47"/>
      <c r="AZ49" s="47"/>
      <c r="BB49"/>
    </row>
    <row r="50" spans="1:58" x14ac:dyDescent="0.25">
      <c r="A50" t="s">
        <v>792</v>
      </c>
      <c r="B50" s="9">
        <f>+B51/365</f>
        <v>3.3698630136986303</v>
      </c>
      <c r="H50" s="4"/>
      <c r="L50" s="96" t="s">
        <v>115</v>
      </c>
      <c r="M50" s="302">
        <f>+M48-M49</f>
        <v>-1.2469980560792236E-2</v>
      </c>
      <c r="O50" s="163">
        <f>+S1</f>
        <v>0.14524836314921075</v>
      </c>
      <c r="P50" t="s">
        <v>117</v>
      </c>
      <c r="Q50"/>
      <c r="V50" s="60"/>
      <c r="W50" s="60"/>
      <c r="X50" s="60"/>
      <c r="Y50" s="60"/>
      <c r="AE50" s="5"/>
      <c r="AF50" s="6"/>
      <c r="AG50" s="7"/>
      <c r="AI50" s="48"/>
      <c r="AJ50" s="47"/>
      <c r="AK50" s="22"/>
      <c r="AM50" s="96"/>
      <c r="AO50"/>
      <c r="AT50" s="22"/>
      <c r="AU50" s="7"/>
      <c r="AV50" s="96"/>
      <c r="AW50" s="48"/>
      <c r="AX50" s="48"/>
      <c r="AY50" s="47"/>
      <c r="AZ50" s="47"/>
      <c r="BB50"/>
    </row>
    <row r="51" spans="1:58" x14ac:dyDescent="0.25">
      <c r="A51" t="s">
        <v>791</v>
      </c>
      <c r="B51" s="836">
        <v>1230</v>
      </c>
      <c r="H51" s="4"/>
      <c r="L51" s="96"/>
      <c r="O51" s="273">
        <f>+O49-O50</f>
        <v>2.6885822051129216E-2</v>
      </c>
      <c r="Q51"/>
      <c r="AE51" s="5"/>
      <c r="AF51" s="6"/>
      <c r="AG51" s="7"/>
      <c r="AI51" s="48"/>
      <c r="AJ51" s="47"/>
      <c r="AM51" s="7"/>
      <c r="AO51"/>
      <c r="AT51" s="22"/>
      <c r="AU51" s="7"/>
      <c r="AV51" s="96"/>
      <c r="AW51" s="48"/>
      <c r="AX51" s="48"/>
      <c r="AY51" s="47"/>
      <c r="AZ51" s="47"/>
      <c r="BB51"/>
    </row>
    <row r="52" spans="1:58" x14ac:dyDescent="0.25">
      <c r="H52" s="4"/>
      <c r="L52" s="96" t="s">
        <v>119</v>
      </c>
      <c r="M52" s="302">
        <v>-6.5500000000000003E-3</v>
      </c>
      <c r="Q52" s="553">
        <f>+O46-260463000</f>
        <v>28527127.600000024</v>
      </c>
      <c r="AE52" s="5"/>
      <c r="AF52" s="6"/>
      <c r="AG52" s="7"/>
      <c r="AI52" s="48"/>
      <c r="AJ52" s="47"/>
      <c r="AM52" s="7"/>
      <c r="AO52"/>
      <c r="AT52" s="22"/>
      <c r="AU52" s="7"/>
      <c r="AV52" s="96"/>
      <c r="AW52" s="48"/>
      <c r="AX52" s="48"/>
      <c r="AY52" s="47"/>
      <c r="AZ52" s="47"/>
      <c r="BB52"/>
    </row>
    <row r="53" spans="1:58" x14ac:dyDescent="0.25">
      <c r="A53" s="819" t="s">
        <v>787</v>
      </c>
      <c r="D53" s="820" t="s">
        <v>788</v>
      </c>
      <c r="E53" s="821">
        <v>45448</v>
      </c>
      <c r="J53" s="96"/>
      <c r="K53" s="302"/>
      <c r="Q53" s="99"/>
      <c r="AD53" s="6"/>
      <c r="AE53" s="7"/>
      <c r="AG53" s="48"/>
      <c r="AH53" s="47"/>
      <c r="AK53" s="7"/>
      <c r="AO53"/>
      <c r="AR53" s="22"/>
      <c r="AS53" s="7"/>
      <c r="AT53" s="96"/>
      <c r="AU53" s="48"/>
      <c r="AV53" s="48"/>
      <c r="AW53" s="47"/>
      <c r="AX53" s="47"/>
      <c r="AZ53"/>
      <c r="BB53"/>
    </row>
    <row r="54" spans="1:58" x14ac:dyDescent="0.25">
      <c r="A54" s="149" t="s">
        <v>499</v>
      </c>
      <c r="B54" s="149" t="s">
        <v>506</v>
      </c>
      <c r="C54" s="801" t="s">
        <v>250</v>
      </c>
      <c r="D54" s="807" t="s">
        <v>201</v>
      </c>
      <c r="E54" s="528" t="s">
        <v>114</v>
      </c>
      <c r="F54" s="797" t="s">
        <v>197</v>
      </c>
      <c r="I54" s="64"/>
      <c r="J54" s="90"/>
      <c r="K54" s="267"/>
      <c r="L54" s="66"/>
      <c r="M54" s="268" t="s">
        <v>349</v>
      </c>
      <c r="N54" s="269" t="s">
        <v>771</v>
      </c>
      <c r="Q54"/>
      <c r="R54" s="99">
        <f>+O46-'Dvd Perf ranked 24'!N45</f>
        <v>-101691.89999997616</v>
      </c>
      <c r="S54" s="84"/>
      <c r="AI54" s="5"/>
      <c r="AJ54" s="6"/>
      <c r="AK54" s="7"/>
      <c r="AM54" s="48"/>
      <c r="AN54" s="47"/>
      <c r="AO54"/>
      <c r="AX54" s="22"/>
      <c r="AY54" s="7"/>
      <c r="AZ54" s="96"/>
      <c r="BA54" s="48"/>
      <c r="BB54" s="48"/>
      <c r="BC54" s="47"/>
      <c r="BD54" s="47"/>
    </row>
    <row r="55" spans="1:58" x14ac:dyDescent="0.25">
      <c r="A55" s="822">
        <v>0.31469999999999998</v>
      </c>
      <c r="B55" s="823">
        <v>0.39019999999999999</v>
      </c>
      <c r="C55" s="823">
        <v>0.29759999999999998</v>
      </c>
      <c r="D55" s="822">
        <v>0.33810000000000001</v>
      </c>
      <c r="E55" s="822">
        <v>0.48320000000000002</v>
      </c>
      <c r="F55" s="163"/>
      <c r="H55" t="s">
        <v>168</v>
      </c>
      <c r="I55" s="97"/>
      <c r="J55" s="34"/>
      <c r="K55" s="83"/>
      <c r="L55" s="32"/>
      <c r="M55" s="260" t="s">
        <v>114</v>
      </c>
      <c r="N55" s="272" t="s">
        <v>770</v>
      </c>
      <c r="P55" s="7"/>
      <c r="Q55"/>
      <c r="T55" s="277"/>
      <c r="U55" s="5"/>
      <c r="V55" s="79"/>
      <c r="AA55" s="5"/>
      <c r="AB55" s="5"/>
      <c r="AI55" s="5"/>
      <c r="AJ55" s="6"/>
      <c r="AK55" s="7"/>
      <c r="AM55" s="48"/>
      <c r="AN55" s="47"/>
      <c r="AO55"/>
      <c r="AX55" s="22"/>
      <c r="AY55" s="7"/>
      <c r="AZ55" s="96"/>
      <c r="BA55" s="48"/>
      <c r="BB55" s="48"/>
      <c r="BC55" s="47"/>
      <c r="BD55" s="47"/>
    </row>
    <row r="56" spans="1:58" x14ac:dyDescent="0.25">
      <c r="A56" s="8">
        <f>+A55/$B$50</f>
        <v>9.3386585365853647E-2</v>
      </c>
      <c r="B56" s="8">
        <f t="shared" ref="B56:E56" si="0">+B55/$B$50</f>
        <v>0.1157910569105691</v>
      </c>
      <c r="C56" s="8">
        <f t="shared" si="0"/>
        <v>8.8312195121951209E-2</v>
      </c>
      <c r="D56" s="8">
        <f t="shared" si="0"/>
        <v>0.10033048780487805</v>
      </c>
      <c r="E56" s="8">
        <f t="shared" si="0"/>
        <v>0.14338861788617885</v>
      </c>
      <c r="F56" s="837" t="s">
        <v>800</v>
      </c>
      <c r="I56" s="2"/>
      <c r="K56" s="78"/>
      <c r="L56" s="423"/>
      <c r="M56" s="266"/>
      <c r="N56" s="270"/>
      <c r="P56" s="7"/>
      <c r="Q56"/>
      <c r="T56" s="5"/>
      <c r="U56" s="5"/>
      <c r="V56" s="79"/>
      <c r="W56" s="5"/>
      <c r="X56" s="5"/>
      <c r="Y56" s="5"/>
      <c r="Z56" s="5"/>
      <c r="AA56" s="5"/>
      <c r="AB56" s="5"/>
      <c r="AC56" s="5"/>
      <c r="AJ56" s="5"/>
      <c r="AK56" s="6"/>
      <c r="AL56" s="7"/>
      <c r="AN56" s="48"/>
      <c r="AY56" s="22"/>
      <c r="AZ56" s="7"/>
      <c r="BA56" s="96"/>
      <c r="BB56" s="48"/>
      <c r="BC56" s="48"/>
      <c r="BD56" s="47"/>
      <c r="BE56" s="47"/>
    </row>
    <row r="57" spans="1:58" x14ac:dyDescent="0.25">
      <c r="A57" s="838">
        <f>+A55-C55</f>
        <v>1.7100000000000004E-2</v>
      </c>
      <c r="B57" s="838">
        <f>+B55-C55</f>
        <v>9.2600000000000016E-2</v>
      </c>
      <c r="C57" s="835"/>
      <c r="D57" s="838">
        <f>+D55-C55</f>
        <v>4.0500000000000036E-2</v>
      </c>
      <c r="E57" s="838">
        <f>+E55-C55</f>
        <v>0.18560000000000004</v>
      </c>
      <c r="F57" s="839" t="s">
        <v>799</v>
      </c>
      <c r="H57" s="163">
        <f t="shared" ref="H57" si="1">+I57-M57</f>
        <v>0</v>
      </c>
      <c r="I57" s="271">
        <f t="shared" ref="I57" si="2">+M56+N57</f>
        <v>0</v>
      </c>
      <c r="K57" s="78"/>
      <c r="L57" s="276"/>
      <c r="M57" s="266"/>
      <c r="N57" s="270"/>
      <c r="Q57"/>
      <c r="AK57" s="79"/>
      <c r="AL57" s="6"/>
      <c r="AM57" s="7"/>
      <c r="AO57" s="22"/>
      <c r="AY57" s="47"/>
      <c r="BA57" s="7"/>
      <c r="BC57" s="48"/>
      <c r="BD57" s="48"/>
      <c r="BE57" s="47"/>
      <c r="BF57" s="47"/>
    </row>
    <row r="58" spans="1:58" x14ac:dyDescent="0.25">
      <c r="A58" s="840">
        <f>+A57/B50</f>
        <v>5.0743902439024397E-3</v>
      </c>
      <c r="B58" s="840">
        <f>+B57/B50</f>
        <v>2.747886178861789E-2</v>
      </c>
      <c r="C58" s="840"/>
      <c r="D58" s="840">
        <f>+D57/B50</f>
        <v>1.201829268292684E-2</v>
      </c>
      <c r="E58" s="840">
        <f>+E57/B50</f>
        <v>5.5076422764227653E-2</v>
      </c>
      <c r="F58" s="841" t="s">
        <v>793</v>
      </c>
      <c r="H58" s="163">
        <f t="shared" ref="H58" si="3">+I58-M58</f>
        <v>1.3600000000000001E-2</v>
      </c>
      <c r="I58" s="271">
        <f t="shared" ref="I58" si="4">+M57+N58</f>
        <v>-5.1999999999999998E-3</v>
      </c>
      <c r="K58" s="78"/>
      <c r="L58" s="265">
        <v>45320</v>
      </c>
      <c r="M58" s="266">
        <v>-1.8800000000000001E-2</v>
      </c>
      <c r="N58" s="270">
        <f>+-0.0052</f>
        <v>-5.1999999999999998E-3</v>
      </c>
      <c r="Q58"/>
      <c r="AO58"/>
      <c r="AQ58" s="22"/>
      <c r="AZ58"/>
      <c r="BB58"/>
    </row>
    <row r="59" spans="1:58" x14ac:dyDescent="0.25">
      <c r="H59" s="163">
        <f t="shared" ref="H59" si="5">+I59-M59</f>
        <v>-1.0000000000000113E-4</v>
      </c>
      <c r="I59" s="271">
        <f t="shared" ref="I59" si="6">+M58+N59</f>
        <v>-1.3500000000000002E-2</v>
      </c>
      <c r="K59" s="78"/>
      <c r="L59" s="265">
        <v>45321</v>
      </c>
      <c r="M59" s="266">
        <f>+-0.0134</f>
        <v>-1.34E-2</v>
      </c>
      <c r="N59" s="270">
        <v>5.3E-3</v>
      </c>
      <c r="Q59"/>
      <c r="AO59"/>
      <c r="AQ59" s="22"/>
      <c r="AZ59"/>
      <c r="BB59"/>
    </row>
    <row r="60" spans="1:58" x14ac:dyDescent="0.25">
      <c r="A60" s="149" t="s">
        <v>772</v>
      </c>
      <c r="B60" s="149" t="s">
        <v>767</v>
      </c>
      <c r="C60" s="801" t="s">
        <v>766</v>
      </c>
      <c r="D60" s="807" t="s">
        <v>783</v>
      </c>
      <c r="E60" s="528" t="s">
        <v>765</v>
      </c>
      <c r="F60" s="797" t="s">
        <v>197</v>
      </c>
      <c r="G60" s="797" t="s">
        <v>768</v>
      </c>
      <c r="H60" s="341">
        <f t="shared" ref="H60" si="7">+I60-M60</f>
        <v>-2.9999999999999992E-4</v>
      </c>
      <c r="I60" s="342">
        <f t="shared" ref="I60" si="8">+M59+N60</f>
        <v>-8.2000000000000007E-3</v>
      </c>
      <c r="J60" s="34"/>
      <c r="K60" s="83"/>
      <c r="L60" s="276">
        <v>45322</v>
      </c>
      <c r="M60" s="343">
        <f>+-0.0079</f>
        <v>-7.9000000000000008E-3</v>
      </c>
      <c r="N60" s="344">
        <v>5.1999999999999998E-3</v>
      </c>
      <c r="Q60"/>
      <c r="AO60"/>
      <c r="AQ60" s="22"/>
      <c r="AZ60"/>
      <c r="BB60"/>
    </row>
    <row r="61" spans="1:58" hidden="1" x14ac:dyDescent="0.25">
      <c r="C61" s="798"/>
      <c r="D61" s="266"/>
      <c r="F61" s="2"/>
      <c r="H61" s="163">
        <f t="shared" ref="H61" si="9">+I61-M61</f>
        <v>1.9999999999999879E-4</v>
      </c>
      <c r="I61" s="271">
        <f t="shared" ref="I61" si="10">+M60+N61</f>
        <v>-1.4100000000000001E-2</v>
      </c>
      <c r="K61" s="191" t="s">
        <v>769</v>
      </c>
      <c r="L61" s="265">
        <v>45323</v>
      </c>
      <c r="M61" s="266">
        <v>-1.43E-2</v>
      </c>
      <c r="N61" s="270">
        <f>+-0.0062</f>
        <v>-6.1999999999999998E-3</v>
      </c>
      <c r="Q61"/>
      <c r="AO61"/>
      <c r="AQ61" s="22"/>
      <c r="AZ61"/>
      <c r="BB61"/>
    </row>
    <row r="62" spans="1:58" hidden="1" x14ac:dyDescent="0.25">
      <c r="C62" s="799"/>
      <c r="D62" s="22"/>
      <c r="F62" s="2"/>
      <c r="H62" s="163">
        <f t="shared" ref="H62" si="11">+I62-M62</f>
        <v>3.0000000000000165E-4</v>
      </c>
      <c r="I62" s="271">
        <f t="shared" ref="I62" si="12">+M61+N62</f>
        <v>-2.8199999999999999E-2</v>
      </c>
      <c r="K62" s="78"/>
      <c r="L62" s="276">
        <v>45324</v>
      </c>
      <c r="M62" s="266">
        <f>+-0.0285</f>
        <v>-2.8500000000000001E-2</v>
      </c>
      <c r="N62" s="270">
        <f>+-0.0139</f>
        <v>-1.3899999999999999E-2</v>
      </c>
      <c r="Q62"/>
      <c r="AO62"/>
      <c r="AQ62" s="22"/>
      <c r="AZ62"/>
      <c r="BB62"/>
    </row>
    <row r="63" spans="1:58" hidden="1" x14ac:dyDescent="0.25">
      <c r="C63" s="800"/>
      <c r="D63" s="266"/>
      <c r="F63" s="2"/>
      <c r="H63" s="163">
        <f t="shared" ref="H63" si="13">+I63-M63</f>
        <v>0</v>
      </c>
      <c r="I63" s="271">
        <f t="shared" ref="I63" si="14">+M62+N63</f>
        <v>-3.3800000000000004E-2</v>
      </c>
      <c r="K63" s="78"/>
      <c r="L63" s="265">
        <v>45327</v>
      </c>
      <c r="M63" s="266">
        <f>+-0.0338</f>
        <v>-3.3799999999999997E-2</v>
      </c>
      <c r="N63" s="270">
        <f>+-0.0053</f>
        <v>-5.3E-3</v>
      </c>
      <c r="Q63"/>
      <c r="AO63"/>
      <c r="AQ63" s="22"/>
      <c r="AZ63"/>
      <c r="BB63"/>
    </row>
    <row r="64" spans="1:58" hidden="1" x14ac:dyDescent="0.25">
      <c r="C64" s="800"/>
      <c r="D64" s="266"/>
      <c r="F64" s="2"/>
      <c r="H64" s="163">
        <f t="shared" ref="H64" si="15">+I64-M64</f>
        <v>1.0000000000000286E-4</v>
      </c>
      <c r="I64" s="271">
        <f t="shared" ref="I64" si="16">+M63+N64</f>
        <v>-3.1099999999999996E-2</v>
      </c>
      <c r="L64" s="265">
        <v>45328</v>
      </c>
      <c r="M64" s="266">
        <f>+-0.0312</f>
        <v>-3.1199999999999999E-2</v>
      </c>
      <c r="N64" s="270">
        <v>2.7000000000000001E-3</v>
      </c>
      <c r="Q64"/>
      <c r="AO64"/>
      <c r="AQ64" s="22"/>
      <c r="AZ64"/>
      <c r="BB64"/>
    </row>
    <row r="65" spans="1:54" hidden="1" x14ac:dyDescent="0.25">
      <c r="C65" s="800"/>
      <c r="D65" s="266"/>
      <c r="F65" s="2"/>
      <c r="H65" s="163">
        <f t="shared" ref="H65" si="17">+I65-M65</f>
        <v>4.0000000000000452E-4</v>
      </c>
      <c r="I65" s="271">
        <f t="shared" ref="I65" si="18">+M64+N65</f>
        <v>-3.7399999999999996E-2</v>
      </c>
      <c r="K65" s="78"/>
      <c r="L65" s="265">
        <v>45329</v>
      </c>
      <c r="M65" s="266">
        <f>+-0.0378</f>
        <v>-3.78E-2</v>
      </c>
      <c r="N65" s="270">
        <f>+-0.0062</f>
        <v>-6.1999999999999998E-3</v>
      </c>
      <c r="Q65"/>
      <c r="AO65"/>
      <c r="AQ65" s="22"/>
      <c r="AZ65"/>
      <c r="BB65"/>
    </row>
    <row r="66" spans="1:54" hidden="1" x14ac:dyDescent="0.25">
      <c r="C66" s="800"/>
      <c r="D66" s="266"/>
      <c r="F66" s="2"/>
      <c r="H66" s="163">
        <f t="shared" ref="H66:H67" si="19">+I66-M66</f>
        <v>0</v>
      </c>
      <c r="I66" s="271">
        <f t="shared" ref="I66:I67" si="20">+M65+N66</f>
        <v>-3.8899999999999997E-2</v>
      </c>
      <c r="K66" s="78"/>
      <c r="L66" s="265">
        <v>45330</v>
      </c>
      <c r="M66" s="266">
        <f>+-0.0389</f>
        <v>-3.8899999999999997E-2</v>
      </c>
      <c r="N66" s="270">
        <f>+-0.0011</f>
        <v>-1.1000000000000001E-3</v>
      </c>
      <c r="Q66"/>
      <c r="AO66"/>
      <c r="AQ66" s="22"/>
      <c r="AZ66"/>
      <c r="BB66"/>
    </row>
    <row r="67" spans="1:54" hidden="1" x14ac:dyDescent="0.25">
      <c r="A67" s="20">
        <v>8.6999999999999994E-3</v>
      </c>
      <c r="B67" s="20">
        <v>1.12E-2</v>
      </c>
      <c r="C67" s="800">
        <v>1.1599999999999999E-2</v>
      </c>
      <c r="D67" s="266">
        <v>2.7400000000000001E-2</v>
      </c>
      <c r="E67" s="266">
        <v>5.45E-2</v>
      </c>
      <c r="F67" s="271">
        <f t="shared" ref="F67:F72" si="21">+C67-E67</f>
        <v>-4.2900000000000001E-2</v>
      </c>
      <c r="G67" s="5">
        <f>+F67-M67</f>
        <v>0</v>
      </c>
      <c r="H67" s="163">
        <f t="shared" si="19"/>
        <v>3.0000000000000165E-4</v>
      </c>
      <c r="I67" s="271">
        <f t="shared" si="20"/>
        <v>-4.2599999999999999E-2</v>
      </c>
      <c r="K67" s="78"/>
      <c r="L67" s="276">
        <v>45331</v>
      </c>
      <c r="M67" s="266">
        <v>-4.2900000000000001E-2</v>
      </c>
      <c r="N67" s="270">
        <f>+-0.0037</f>
        <v>-3.7000000000000002E-3</v>
      </c>
      <c r="Q67"/>
      <c r="AO67"/>
      <c r="AQ67" s="22"/>
      <c r="AZ67"/>
      <c r="BB67"/>
    </row>
    <row r="68" spans="1:54" hidden="1" x14ac:dyDescent="0.25">
      <c r="A68" s="20">
        <v>1.4800000000000001E-2</v>
      </c>
      <c r="B68" s="20">
        <v>1.8200000000000001E-2</v>
      </c>
      <c r="C68" s="800">
        <v>1.6799999999999999E-2</v>
      </c>
      <c r="D68" s="266">
        <v>3.0700000000000002E-2</v>
      </c>
      <c r="E68" s="266">
        <v>5.3999999999999999E-2</v>
      </c>
      <c r="F68" s="271">
        <f t="shared" si="21"/>
        <v>-3.7199999999999997E-2</v>
      </c>
      <c r="G68" s="5">
        <f t="shared" ref="G68:G76" si="22">+F68-M68</f>
        <v>0</v>
      </c>
      <c r="H68" s="163">
        <f t="shared" ref="H68" si="23">+I68-M68</f>
        <v>-1.0000000000000286E-4</v>
      </c>
      <c r="I68" s="271">
        <f t="shared" ref="I68" si="24">+M67+N68</f>
        <v>-3.73E-2</v>
      </c>
      <c r="L68" s="265">
        <v>45334</v>
      </c>
      <c r="M68" s="266">
        <f>+-0.0372</f>
        <v>-3.7199999999999997E-2</v>
      </c>
      <c r="N68" s="270">
        <v>5.5999999999999999E-3</v>
      </c>
      <c r="O68" s="20"/>
      <c r="Q68"/>
      <c r="AO68"/>
      <c r="AQ68" s="22"/>
      <c r="AZ68"/>
      <c r="BB68"/>
    </row>
    <row r="69" spans="1:54" hidden="1" x14ac:dyDescent="0.25">
      <c r="A69" s="20">
        <f>+-0.0007</f>
        <v>-6.9999999999999999E-4</v>
      </c>
      <c r="B69" s="20">
        <v>4.3E-3</v>
      </c>
      <c r="C69" s="800">
        <v>1.8E-3</v>
      </c>
      <c r="D69" s="266">
        <v>1.6799999999999999E-2</v>
      </c>
      <c r="E69" s="266">
        <v>3.95E-2</v>
      </c>
      <c r="F69" s="271">
        <f t="shared" si="21"/>
        <v>-3.7699999999999997E-2</v>
      </c>
      <c r="G69" s="5">
        <f t="shared" si="22"/>
        <v>0</v>
      </c>
      <c r="H69" s="163">
        <f t="shared" ref="H69" si="25">+I69-M69</f>
        <v>-5.0000000000000044E-4</v>
      </c>
      <c r="I69" s="271">
        <f t="shared" ref="I69" si="26">+M68+N69</f>
        <v>-3.8199999999999998E-2</v>
      </c>
      <c r="L69" s="265">
        <v>45335</v>
      </c>
      <c r="M69" s="266">
        <f>+-0.0377</f>
        <v>-3.7699999999999997E-2</v>
      </c>
      <c r="N69" s="270">
        <f>+-0.001</f>
        <v>-1E-3</v>
      </c>
      <c r="O69" s="20"/>
      <c r="Q69"/>
      <c r="AO69"/>
      <c r="AQ69" s="22"/>
      <c r="AZ69"/>
      <c r="BB69"/>
    </row>
    <row r="70" spans="1:54" hidden="1" x14ac:dyDescent="0.25">
      <c r="A70" s="20">
        <v>3.3E-3</v>
      </c>
      <c r="B70" s="20">
        <v>9.1999999999999998E-3</v>
      </c>
      <c r="C70" s="800">
        <v>5.5999999999999999E-3</v>
      </c>
      <c r="D70" s="266">
        <v>2.1000000000000001E-2</v>
      </c>
      <c r="E70" s="266">
        <v>4.8899999999999999E-2</v>
      </c>
      <c r="F70" s="271">
        <f t="shared" si="21"/>
        <v>-4.3299999999999998E-2</v>
      </c>
      <c r="G70" s="809">
        <f t="shared" si="22"/>
        <v>1.0000000000000286E-4</v>
      </c>
      <c r="H70" s="163">
        <f t="shared" ref="H70:H71" si="27">+I70-M70</f>
        <v>4.0000000000000452E-4</v>
      </c>
      <c r="I70" s="271">
        <f t="shared" ref="I70:I71" si="28">+M69+N70</f>
        <v>-4.2999999999999997E-2</v>
      </c>
      <c r="L70" s="265">
        <v>45336</v>
      </c>
      <c r="M70" s="266">
        <v>-4.3400000000000001E-2</v>
      </c>
      <c r="N70" s="270">
        <f>+-0.0053</f>
        <v>-5.3E-3</v>
      </c>
      <c r="Q70"/>
      <c r="AO70"/>
      <c r="AQ70" s="22"/>
      <c r="AZ70"/>
      <c r="BB70"/>
    </row>
    <row r="71" spans="1:54" hidden="1" x14ac:dyDescent="0.25">
      <c r="A71" s="20">
        <v>1.46E-2</v>
      </c>
      <c r="B71" s="20">
        <v>2.3300000000000001E-2</v>
      </c>
      <c r="C71" s="800">
        <v>1.9900000000000001E-2</v>
      </c>
      <c r="D71" s="266">
        <v>3.1199999999999999E-2</v>
      </c>
      <c r="E71" s="266">
        <v>5.62E-2</v>
      </c>
      <c r="F71" s="271">
        <f t="shared" si="21"/>
        <v>-3.6299999999999999E-2</v>
      </c>
      <c r="G71" s="809">
        <f t="shared" si="22"/>
        <v>0</v>
      </c>
      <c r="H71" s="163">
        <f t="shared" si="27"/>
        <v>1.9999999999999879E-4</v>
      </c>
      <c r="I71" s="271">
        <f t="shared" si="28"/>
        <v>-3.61E-2</v>
      </c>
      <c r="L71" s="265">
        <v>45337</v>
      </c>
      <c r="M71" s="266">
        <v>-3.6299999999999999E-2</v>
      </c>
      <c r="N71" s="270">
        <v>7.3000000000000001E-3</v>
      </c>
      <c r="Q71"/>
      <c r="AO71"/>
      <c r="AQ71" s="22"/>
      <c r="AZ71"/>
      <c r="BB71"/>
    </row>
    <row r="72" spans="1:54" hidden="1" x14ac:dyDescent="0.25">
      <c r="A72" s="20">
        <v>1.12E-2</v>
      </c>
      <c r="B72" s="20">
        <v>2.06E-2</v>
      </c>
      <c r="C72" s="800">
        <v>1.84E-2</v>
      </c>
      <c r="D72" s="266">
        <v>2.76E-2</v>
      </c>
      <c r="E72" s="266">
        <v>5.0900000000000001E-2</v>
      </c>
      <c r="F72" s="271">
        <f t="shared" si="21"/>
        <v>-3.2500000000000001E-2</v>
      </c>
      <c r="G72" s="809">
        <f t="shared" si="22"/>
        <v>0</v>
      </c>
      <c r="H72" s="163">
        <f t="shared" ref="H72" si="29">+I72-M72</f>
        <v>-2.9999999999999472E-4</v>
      </c>
      <c r="I72" s="271">
        <f t="shared" ref="I72" si="30">+M71+N72</f>
        <v>-3.2799999999999996E-2</v>
      </c>
      <c r="L72" s="276">
        <v>45338</v>
      </c>
      <c r="M72" s="266">
        <f>+-0.0325</f>
        <v>-3.2500000000000001E-2</v>
      </c>
      <c r="N72" s="270">
        <v>3.5000000000000001E-3</v>
      </c>
      <c r="Q72"/>
      <c r="AO72"/>
      <c r="AQ72" s="22"/>
      <c r="AZ72"/>
      <c r="BB72"/>
    </row>
    <row r="73" spans="1:54" hidden="1" x14ac:dyDescent="0.25">
      <c r="A73" s="20"/>
      <c r="B73" s="20"/>
      <c r="C73" s="800"/>
      <c r="D73" s="266"/>
      <c r="E73" s="266"/>
      <c r="F73" s="271"/>
      <c r="G73" s="809"/>
      <c r="H73" s="163"/>
      <c r="I73" s="271"/>
      <c r="L73" s="265">
        <v>45341</v>
      </c>
      <c r="M73" s="266"/>
      <c r="N73" s="808" t="s">
        <v>171</v>
      </c>
      <c r="Q73"/>
      <c r="AO73"/>
      <c r="AQ73" s="22"/>
      <c r="AZ73"/>
      <c r="BB73"/>
    </row>
    <row r="74" spans="1:54" hidden="1" x14ac:dyDescent="0.25">
      <c r="A74" s="20">
        <v>1.0999999999999999E-2</v>
      </c>
      <c r="B74" s="20">
        <v>2.07E-2</v>
      </c>
      <c r="C74" s="800">
        <v>1.7000000000000001E-2</v>
      </c>
      <c r="D74" s="266">
        <v>2.5899999999999999E-2</v>
      </c>
      <c r="E74" s="800">
        <v>4.5100000000000001E-2</v>
      </c>
      <c r="F74" s="271">
        <f t="shared" ref="F74:F80" si="31">+C74-E74</f>
        <v>-2.81E-2</v>
      </c>
      <c r="G74" s="809">
        <f t="shared" si="22"/>
        <v>0</v>
      </c>
      <c r="H74" s="163">
        <f t="shared" ref="H74" si="32">+I74-M74</f>
        <v>-3.0000000000000165E-4</v>
      </c>
      <c r="I74" s="271">
        <f>+M72+N74</f>
        <v>-2.8400000000000002E-2</v>
      </c>
      <c r="L74" s="265">
        <v>45342</v>
      </c>
      <c r="M74" s="266">
        <f>+-0.0281</f>
        <v>-2.81E-2</v>
      </c>
      <c r="N74" s="270">
        <v>4.1000000000000003E-3</v>
      </c>
      <c r="Q74"/>
      <c r="AO74" s="22"/>
      <c r="AZ74"/>
      <c r="BB74"/>
    </row>
    <row r="75" spans="1:54" hidden="1" x14ac:dyDescent="0.25">
      <c r="A75" s="20">
        <v>1.5100000000000001E-2</v>
      </c>
      <c r="B75" s="20">
        <v>2.5899999999999999E-2</v>
      </c>
      <c r="C75" s="800">
        <v>2.3699999999999999E-2</v>
      </c>
      <c r="D75" s="266">
        <v>2.7099999999999999E-2</v>
      </c>
      <c r="E75" s="800">
        <v>4.6100000000000002E-2</v>
      </c>
      <c r="F75" s="271">
        <f t="shared" si="31"/>
        <v>-2.2400000000000003E-2</v>
      </c>
      <c r="G75" s="810"/>
      <c r="H75" s="163">
        <f t="shared" ref="H75:H76" si="33">+I75-M75</f>
        <v>0</v>
      </c>
      <c r="I75" s="271">
        <f t="shared" ref="I75:I76" si="34">+M74+N75</f>
        <v>-2.24E-2</v>
      </c>
      <c r="L75" s="265">
        <v>45343</v>
      </c>
      <c r="M75" s="266">
        <f>+-0.0224</f>
        <v>-2.24E-2</v>
      </c>
      <c r="N75" s="270">
        <v>5.7000000000000002E-3</v>
      </c>
      <c r="Q75"/>
      <c r="AO75" s="22"/>
      <c r="AZ75"/>
      <c r="BB75"/>
    </row>
    <row r="76" spans="1:54" ht="15.75" hidden="1" customHeight="1" x14ac:dyDescent="0.25">
      <c r="A76" s="20">
        <v>2.1899999999999999E-2</v>
      </c>
      <c r="B76" s="20">
        <v>3.2899999999999999E-2</v>
      </c>
      <c r="C76" s="800">
        <v>2.9600000000000001E-2</v>
      </c>
      <c r="D76" s="266">
        <v>3.9300000000000002E-2</v>
      </c>
      <c r="E76" s="800">
        <v>6.7699999999999996E-2</v>
      </c>
      <c r="F76" s="271">
        <f t="shared" si="31"/>
        <v>-3.8099999999999995E-2</v>
      </c>
      <c r="G76" s="809">
        <f t="shared" si="22"/>
        <v>0</v>
      </c>
      <c r="H76" s="163">
        <f t="shared" si="33"/>
        <v>6.9999999999999923E-4</v>
      </c>
      <c r="I76" s="271">
        <f t="shared" si="34"/>
        <v>-3.7400000000000003E-2</v>
      </c>
      <c r="L76" s="265">
        <v>45344</v>
      </c>
      <c r="M76" s="266">
        <f>+-0.0381</f>
        <v>-3.8100000000000002E-2</v>
      </c>
      <c r="N76" s="270">
        <f>+-0.015</f>
        <v>-1.4999999999999999E-2</v>
      </c>
      <c r="Q76"/>
      <c r="AO76"/>
      <c r="AZ76"/>
      <c r="BB76"/>
    </row>
    <row r="77" spans="1:54" ht="15.75" hidden="1" customHeight="1" x14ac:dyDescent="0.25">
      <c r="A77" s="20">
        <v>2.3099999999999999E-2</v>
      </c>
      <c r="B77" s="20">
        <v>3.5200000000000002E-2</v>
      </c>
      <c r="C77" s="800">
        <v>3.27E-2</v>
      </c>
      <c r="D77" s="266">
        <v>4.1000000000000002E-2</v>
      </c>
      <c r="E77" s="800">
        <v>6.8500000000000005E-2</v>
      </c>
      <c r="F77" s="271">
        <f t="shared" si="31"/>
        <v>-3.5800000000000005E-2</v>
      </c>
      <c r="G77" s="809">
        <f t="shared" ref="G77" si="35">+F77-M77</f>
        <v>0</v>
      </c>
      <c r="H77" s="163">
        <f t="shared" ref="H77" si="36">+I77-M77</f>
        <v>0</v>
      </c>
      <c r="I77" s="271">
        <f t="shared" ref="I77" si="37">+M76+N77</f>
        <v>-3.5799999999999998E-2</v>
      </c>
      <c r="L77" s="276">
        <v>45345</v>
      </c>
      <c r="M77" s="266">
        <f>+-0.0358</f>
        <v>-3.5799999999999998E-2</v>
      </c>
      <c r="N77" s="270">
        <v>2.3E-3</v>
      </c>
      <c r="Q77"/>
      <c r="AO77"/>
      <c r="AZ77"/>
      <c r="BB77"/>
    </row>
    <row r="78" spans="1:54" ht="15.75" hidden="1" customHeight="1" x14ac:dyDescent="0.25">
      <c r="A78" s="20">
        <v>1.7600000000000001E-2</v>
      </c>
      <c r="B78" s="20">
        <v>3.1200000000000002E-2</v>
      </c>
      <c r="C78" s="800">
        <v>2.5399999999999999E-2</v>
      </c>
      <c r="D78" s="266">
        <v>3.9300000000000002E-2</v>
      </c>
      <c r="E78" s="800">
        <v>6.4500000000000002E-2</v>
      </c>
      <c r="F78" s="271">
        <f t="shared" si="31"/>
        <v>-3.9100000000000003E-2</v>
      </c>
      <c r="G78" s="809">
        <f t="shared" ref="G78" si="38">+F78-M78</f>
        <v>9.9999999999995925E-5</v>
      </c>
      <c r="H78" s="163">
        <f t="shared" ref="H78:H79" si="39">+I78-M78</f>
        <v>0</v>
      </c>
      <c r="I78" s="271">
        <f t="shared" ref="I78:I79" si="40">+M77+N78</f>
        <v>-3.9199999999999999E-2</v>
      </c>
      <c r="L78" s="265">
        <v>45348</v>
      </c>
      <c r="M78" s="266">
        <f>+-0.0392</f>
        <v>-3.9199999999999999E-2</v>
      </c>
      <c r="N78" s="270">
        <f>+-0.0034</f>
        <v>-3.3999999999999998E-3</v>
      </c>
      <c r="Q78"/>
      <c r="AO78"/>
      <c r="AZ78"/>
      <c r="BB78"/>
    </row>
    <row r="79" spans="1:54" ht="15.75" hidden="1" customHeight="1" x14ac:dyDescent="0.25">
      <c r="A79" s="20">
        <v>1.8500000000000003E-2</v>
      </c>
      <c r="B79" s="20">
        <v>3.27E-2</v>
      </c>
      <c r="C79" s="800">
        <v>2.8000000000000001E-2</v>
      </c>
      <c r="D79" s="266">
        <v>3.6699999999999997E-2</v>
      </c>
      <c r="E79" s="800">
        <v>6.6500000000000004E-2</v>
      </c>
      <c r="F79" s="271">
        <f t="shared" si="31"/>
        <v>-3.8500000000000006E-2</v>
      </c>
      <c r="G79" s="809">
        <f t="shared" ref="G79:G80" si="41">+F79-M79</f>
        <v>9.9999999999995925E-5</v>
      </c>
      <c r="H79" s="163">
        <f t="shared" si="39"/>
        <v>1.0000000000000286E-4</v>
      </c>
      <c r="I79" s="271">
        <f t="shared" si="40"/>
        <v>-3.85E-2</v>
      </c>
      <c r="L79" s="265">
        <v>45349</v>
      </c>
      <c r="M79" s="266">
        <f>+-0.0386</f>
        <v>-3.8600000000000002E-2</v>
      </c>
      <c r="N79" s="270">
        <v>6.9999999999999999E-4</v>
      </c>
      <c r="Q79"/>
      <c r="AO79"/>
      <c r="AZ79"/>
      <c r="BB79"/>
    </row>
    <row r="80" spans="1:54" ht="15.75" hidden="1" customHeight="1" x14ac:dyDescent="0.25">
      <c r="A80" s="20">
        <v>1.7100000000000001E-2</v>
      </c>
      <c r="B80" s="20">
        <v>3.2099999999999997E-2</v>
      </c>
      <c r="C80" s="800">
        <v>3.0599999999999999E-2</v>
      </c>
      <c r="D80" s="266">
        <v>3.6699999999999997E-2</v>
      </c>
      <c r="E80" s="800">
        <v>6.5099999999999991E-2</v>
      </c>
      <c r="F80" s="271">
        <f t="shared" si="31"/>
        <v>-3.4499999999999989E-2</v>
      </c>
      <c r="G80" s="809">
        <f t="shared" si="41"/>
        <v>0</v>
      </c>
      <c r="H80" s="163">
        <f t="shared" ref="H80" si="42">+I80-M80</f>
        <v>-3.0000000000000165E-4</v>
      </c>
      <c r="I80" s="271">
        <f t="shared" ref="I80" si="43">+M79+N80</f>
        <v>-3.4800000000000005E-2</v>
      </c>
      <c r="L80" s="265">
        <v>45350</v>
      </c>
      <c r="M80" s="266">
        <f>+-0.0345</f>
        <v>-3.4500000000000003E-2</v>
      </c>
      <c r="N80" s="270">
        <v>3.8E-3</v>
      </c>
      <c r="Q80"/>
      <c r="AO80"/>
      <c r="AZ80"/>
      <c r="BB80"/>
    </row>
    <row r="81" spans="1:54" ht="15.75" hidden="1" customHeight="1" x14ac:dyDescent="0.25">
      <c r="A81" s="20">
        <v>1.9799999999999998E-2</v>
      </c>
      <c r="B81" s="20">
        <v>3.4000000000000002E-2</v>
      </c>
      <c r="C81" s="800">
        <v>3.5999999999999997E-2</v>
      </c>
      <c r="D81" s="266">
        <v>3.8399999999999997E-2</v>
      </c>
      <c r="E81" s="800">
        <v>6.8900000000000003E-2</v>
      </c>
      <c r="F81" s="271">
        <f t="shared" ref="F81:F88" si="44">+C81-E81</f>
        <v>-3.2900000000000006E-2</v>
      </c>
      <c r="G81" s="809">
        <f t="shared" ref="G81:G88" si="45">+F81-M81</f>
        <v>9.9999999999995925E-5</v>
      </c>
      <c r="H81" s="341">
        <f t="shared" ref="H81" si="46">+I81-M81</f>
        <v>1.9999999999999879E-4</v>
      </c>
      <c r="I81" s="342">
        <f t="shared" ref="I81" si="47">+M80+N81</f>
        <v>-3.2800000000000003E-2</v>
      </c>
      <c r="J81" s="34"/>
      <c r="K81" s="34"/>
      <c r="L81" s="276">
        <v>45351</v>
      </c>
      <c r="M81" s="343">
        <f>+-0.033</f>
        <v>-3.3000000000000002E-2</v>
      </c>
      <c r="N81" s="344">
        <f>0.0017</f>
        <v>1.6999999999999999E-3</v>
      </c>
      <c r="Q81"/>
      <c r="AO81"/>
      <c r="AZ81"/>
      <c r="BB81"/>
    </row>
    <row r="82" spans="1:54" ht="15.75" hidden="1" customHeight="1" x14ac:dyDescent="0.25">
      <c r="A82" s="20">
        <v>2.6499999999999999E-2</v>
      </c>
      <c r="B82" s="20">
        <v>4.0599999999999997E-2</v>
      </c>
      <c r="C82" s="800">
        <v>3.85E-2</v>
      </c>
      <c r="D82" s="266">
        <v>4.0899999999999999E-2</v>
      </c>
      <c r="E82" s="800">
        <v>7.9000000000000001E-2</v>
      </c>
      <c r="F82" s="271">
        <f t="shared" si="44"/>
        <v>-4.0500000000000001E-2</v>
      </c>
      <c r="G82" s="809">
        <f t="shared" si="45"/>
        <v>0</v>
      </c>
      <c r="H82" s="163">
        <f t="shared" ref="H82" si="48">+I82-M82</f>
        <v>5.0000000000000044E-4</v>
      </c>
      <c r="I82" s="271">
        <f t="shared" ref="I82" si="49">+M81+N82</f>
        <v>-0.04</v>
      </c>
      <c r="K82" s="731" t="s">
        <v>790</v>
      </c>
      <c r="L82" s="276">
        <v>45352</v>
      </c>
      <c r="M82" s="266">
        <f>+-0.0405</f>
        <v>-4.0500000000000001E-2</v>
      </c>
      <c r="N82" s="270">
        <f>+-0.007</f>
        <v>-7.0000000000000001E-3</v>
      </c>
      <c r="Q82"/>
      <c r="AO82"/>
      <c r="AZ82"/>
      <c r="BB82"/>
    </row>
    <row r="83" spans="1:54" ht="15.75" hidden="1" customHeight="1" x14ac:dyDescent="0.25">
      <c r="A83" s="20">
        <v>2.9700000000000001E-2</v>
      </c>
      <c r="B83" s="20">
        <v>4.3400000000000001E-2</v>
      </c>
      <c r="C83" s="800">
        <v>4.2099999999999999E-2</v>
      </c>
      <c r="D83" s="266">
        <v>3.8300000000000001E-2</v>
      </c>
      <c r="E83" s="800">
        <v>7.7800000000000008E-2</v>
      </c>
      <c r="F83" s="271">
        <f t="shared" si="44"/>
        <v>-3.570000000000001E-2</v>
      </c>
      <c r="G83" s="809">
        <f t="shared" si="45"/>
        <v>0</v>
      </c>
      <c r="H83" s="163">
        <f t="shared" ref="H83:H85" si="50">+I83-M83</f>
        <v>-3.0000000000000165E-4</v>
      </c>
      <c r="I83" s="271">
        <f t="shared" ref="I83:I85" si="51">+M82+N83</f>
        <v>-3.6000000000000004E-2</v>
      </c>
      <c r="L83" s="265">
        <v>45355</v>
      </c>
      <c r="M83" s="266">
        <f>+-0.0357</f>
        <v>-3.5700000000000003E-2</v>
      </c>
      <c r="N83" s="270">
        <v>4.4999999999999997E-3</v>
      </c>
      <c r="Q83"/>
      <c r="AO83"/>
      <c r="AZ83"/>
      <c r="BB83"/>
    </row>
    <row r="84" spans="1:54" ht="15" hidden="1" customHeight="1" x14ac:dyDescent="0.25">
      <c r="A84" s="20">
        <v>2.6099999999999998E-2</v>
      </c>
      <c r="B84" s="20">
        <v>4.2500000000000003E-2</v>
      </c>
      <c r="C84" s="800">
        <v>4.2099999999999999E-2</v>
      </c>
      <c r="D84" s="266">
        <v>2.76E-2</v>
      </c>
      <c r="E84" s="800">
        <v>6.7099999999999993E-2</v>
      </c>
      <c r="F84" s="271">
        <f t="shared" si="44"/>
        <v>-2.4999999999999994E-2</v>
      </c>
      <c r="G84" s="809">
        <f t="shared" si="45"/>
        <v>0</v>
      </c>
      <c r="H84" s="163">
        <f t="shared" si="50"/>
        <v>-6.9999999999999923E-4</v>
      </c>
      <c r="I84" s="271">
        <f t="shared" si="51"/>
        <v>-2.5700000000000001E-2</v>
      </c>
      <c r="L84" s="265">
        <v>45356</v>
      </c>
      <c r="M84" s="266">
        <f>+-0.025</f>
        <v>-2.5000000000000001E-2</v>
      </c>
      <c r="N84" s="270">
        <v>0.01</v>
      </c>
      <c r="Q84"/>
      <c r="AO84"/>
      <c r="AZ84"/>
      <c r="BB84"/>
    </row>
    <row r="85" spans="1:54" hidden="1" x14ac:dyDescent="0.25">
      <c r="A85" s="20">
        <v>2.9600000000000001E-2</v>
      </c>
      <c r="B85" s="20">
        <v>4.8899999999999999E-2</v>
      </c>
      <c r="C85" s="800">
        <v>4.4600000000000001E-2</v>
      </c>
      <c r="D85" s="266">
        <v>0.03</v>
      </c>
      <c r="E85" s="800">
        <v>7.2499999999999995E-2</v>
      </c>
      <c r="F85" s="271">
        <f t="shared" si="44"/>
        <v>-2.7899999999999994E-2</v>
      </c>
      <c r="G85" s="809">
        <f t="shared" si="45"/>
        <v>0</v>
      </c>
      <c r="H85" s="163">
        <f t="shared" si="50"/>
        <v>3.0000000000000165E-4</v>
      </c>
      <c r="I85" s="271">
        <f t="shared" si="51"/>
        <v>-2.76E-2</v>
      </c>
      <c r="L85" s="265">
        <v>45357</v>
      </c>
      <c r="M85" s="266">
        <f>+-0.0279</f>
        <v>-2.7900000000000001E-2</v>
      </c>
      <c r="N85" s="270">
        <f>+-0.0026</f>
        <v>-2.5999999999999999E-3</v>
      </c>
      <c r="Q85"/>
      <c r="AO85"/>
      <c r="AZ85"/>
      <c r="BB85"/>
    </row>
    <row r="86" spans="1:54" hidden="1" x14ac:dyDescent="0.25">
      <c r="A86" s="20">
        <v>3.4500000000000003E-2</v>
      </c>
      <c r="B86" s="20">
        <v>5.3699999999999998E-2</v>
      </c>
      <c r="C86" s="800">
        <v>4.36E-2</v>
      </c>
      <c r="D86" s="266">
        <v>3.3599999999999998E-2</v>
      </c>
      <c r="E86" s="800">
        <v>8.3100000000000007E-2</v>
      </c>
      <c r="F86" s="271">
        <f t="shared" si="44"/>
        <v>-3.9500000000000007E-2</v>
      </c>
      <c r="G86" s="809">
        <f t="shared" si="45"/>
        <v>0</v>
      </c>
      <c r="H86" s="163">
        <f t="shared" ref="H86" si="52">+I86-M86</f>
        <v>6.9999999999999923E-4</v>
      </c>
      <c r="I86" s="271">
        <f t="shared" ref="I86" si="53">+M85+N86</f>
        <v>-3.8800000000000001E-2</v>
      </c>
      <c r="L86" s="265">
        <v>45358</v>
      </c>
      <c r="M86" s="266">
        <f>+-0.0395</f>
        <v>-3.95E-2</v>
      </c>
      <c r="N86" s="270">
        <f>+-0.0109</f>
        <v>-1.09E-2</v>
      </c>
      <c r="Q86"/>
      <c r="AO86"/>
      <c r="AZ86"/>
      <c r="BB86"/>
    </row>
    <row r="87" spans="1:54" hidden="1" x14ac:dyDescent="0.25">
      <c r="A87" s="20">
        <v>3.0200000000000001E-2</v>
      </c>
      <c r="B87" s="20">
        <v>5.1100000000000007E-2</v>
      </c>
      <c r="C87" s="800">
        <v>4.4299999999999999E-2</v>
      </c>
      <c r="D87" s="266">
        <v>3.2099999999999997E-2</v>
      </c>
      <c r="E87" s="800">
        <v>7.6600000000000001E-2</v>
      </c>
      <c r="F87" s="271">
        <f t="shared" si="44"/>
        <v>-3.2300000000000002E-2</v>
      </c>
      <c r="G87" s="809">
        <f t="shared" si="45"/>
        <v>0</v>
      </c>
      <c r="H87" s="163">
        <f t="shared" ref="H87" si="54">+I87-M87</f>
        <v>-5.0000000000000044E-4</v>
      </c>
      <c r="I87" s="271">
        <f t="shared" ref="I87" si="55">+M86+N87</f>
        <v>-3.2800000000000003E-2</v>
      </c>
      <c r="L87" s="276">
        <v>45359</v>
      </c>
      <c r="M87" s="266">
        <f>+-0.0323</f>
        <v>-3.2300000000000002E-2</v>
      </c>
      <c r="N87" s="344">
        <v>6.7000000000000002E-3</v>
      </c>
      <c r="Q87"/>
      <c r="AO87"/>
      <c r="AZ87"/>
      <c r="BB87"/>
    </row>
    <row r="88" spans="1:54" hidden="1" x14ac:dyDescent="0.25">
      <c r="A88" s="20">
        <v>3.61E-2</v>
      </c>
      <c r="B88" s="20">
        <v>5.6100000000000004E-2</v>
      </c>
      <c r="C88" s="800">
        <v>4.8300000000000003E-2</v>
      </c>
      <c r="D88" s="266">
        <v>3.3399999999999999E-2</v>
      </c>
      <c r="E88" s="800">
        <v>7.5700000000000003E-2</v>
      </c>
      <c r="F88" s="271">
        <f t="shared" si="44"/>
        <v>-2.7400000000000001E-2</v>
      </c>
      <c r="G88" s="809">
        <f t="shared" si="45"/>
        <v>0</v>
      </c>
      <c r="H88" s="163">
        <f t="shared" ref="H88" si="56">+I88-M88</f>
        <v>-2.0000000000000226E-4</v>
      </c>
      <c r="I88" s="271">
        <f t="shared" ref="I88" si="57">+M87+N88</f>
        <v>-2.7600000000000003E-2</v>
      </c>
      <c r="L88" s="265">
        <v>45362</v>
      </c>
      <c r="M88" s="266">
        <f>+-0.0274</f>
        <v>-2.7400000000000001E-2</v>
      </c>
      <c r="N88" s="270">
        <v>4.7000000000000002E-3</v>
      </c>
      <c r="O88" s="131"/>
      <c r="Q88"/>
      <c r="AO88"/>
      <c r="AZ88"/>
      <c r="BB88"/>
    </row>
    <row r="89" spans="1:54" hidden="1" x14ac:dyDescent="0.25">
      <c r="A89" s="20">
        <v>3.7999999999999999E-2</v>
      </c>
      <c r="B89" s="20">
        <v>5.8099999999999999E-2</v>
      </c>
      <c r="C89" s="800">
        <v>5.0900000000000001E-2</v>
      </c>
      <c r="D89" s="266">
        <v>3.9599999999999996E-2</v>
      </c>
      <c r="E89" s="800">
        <v>8.72E-2</v>
      </c>
      <c r="F89" s="271">
        <f t="shared" ref="F89:F98" si="58">+C89-E89</f>
        <v>-3.6299999999999999E-2</v>
      </c>
      <c r="G89" s="809">
        <f t="shared" ref="G89:G97" si="59">+F89-M89</f>
        <v>0</v>
      </c>
      <c r="H89" s="163">
        <f t="shared" ref="H89" si="60">+I89-M89</f>
        <v>5.9999999999999637E-4</v>
      </c>
      <c r="I89" s="271">
        <f t="shared" ref="I89" si="61">+M88+N89</f>
        <v>-3.5700000000000003E-2</v>
      </c>
      <c r="L89" s="265">
        <v>45363</v>
      </c>
      <c r="M89" s="266">
        <f>+-0.0363</f>
        <v>-3.6299999999999999E-2</v>
      </c>
      <c r="N89" s="270">
        <f>+-0.0083</f>
        <v>-8.3000000000000001E-3</v>
      </c>
      <c r="O89" s="842" t="s">
        <v>797</v>
      </c>
      <c r="Q89"/>
      <c r="AO89"/>
      <c r="AZ89"/>
      <c r="BB89"/>
    </row>
    <row r="90" spans="1:54" hidden="1" x14ac:dyDescent="0.25">
      <c r="A90" s="20">
        <v>4.1099999999999998E-2</v>
      </c>
      <c r="B90" s="20">
        <v>0.06</v>
      </c>
      <c r="C90" s="800">
        <v>5.0999999999999997E-2</v>
      </c>
      <c r="D90" s="266">
        <v>4.07E-2</v>
      </c>
      <c r="E90" s="800">
        <v>8.5500000000000007E-2</v>
      </c>
      <c r="F90" s="271">
        <f t="shared" si="58"/>
        <v>-3.450000000000001E-2</v>
      </c>
      <c r="G90" s="809">
        <f t="shared" si="59"/>
        <v>9.9999999999988987E-5</v>
      </c>
      <c r="H90" s="163">
        <f t="shared" ref="H90" si="62">+I90-M90</f>
        <v>-1.0000000000000286E-4</v>
      </c>
      <c r="I90" s="271">
        <f t="shared" ref="I90" si="63">+M89+N90</f>
        <v>-3.4700000000000002E-2</v>
      </c>
      <c r="L90" s="265">
        <v>45364</v>
      </c>
      <c r="M90" s="266">
        <f>+-0.0346</f>
        <v>-3.4599999999999999E-2</v>
      </c>
      <c r="N90" s="270">
        <v>1.6000000000000001E-3</v>
      </c>
      <c r="O90" s="843">
        <f>SUM(N88:N92)</f>
        <v>-4.5999999999999999E-3</v>
      </c>
      <c r="Q90"/>
      <c r="AO90"/>
      <c r="AZ90"/>
      <c r="BB90"/>
    </row>
    <row r="91" spans="1:54" hidden="1" x14ac:dyDescent="0.25">
      <c r="A91" s="20">
        <v>3.5499999999999997E-2</v>
      </c>
      <c r="B91" s="20">
        <v>5.4100000000000002E-2</v>
      </c>
      <c r="C91" s="800">
        <v>4.2000000000000003E-2</v>
      </c>
      <c r="D91" s="266">
        <v>3.73E-2</v>
      </c>
      <c r="E91" s="800">
        <v>8.3400000000000002E-2</v>
      </c>
      <c r="F91" s="271">
        <f t="shared" si="58"/>
        <v>-4.1399999999999999E-2</v>
      </c>
      <c r="G91" s="809">
        <f t="shared" si="59"/>
        <v>0</v>
      </c>
      <c r="H91" s="163">
        <f t="shared" ref="H91:H92" si="64">+I91-M91</f>
        <v>1.9999999999999879E-4</v>
      </c>
      <c r="I91" s="271">
        <f t="shared" ref="I91:I92" si="65">+M90+N91</f>
        <v>-4.1200000000000001E-2</v>
      </c>
      <c r="L91" s="265">
        <v>45365</v>
      </c>
      <c r="M91" s="266">
        <f>+-0.0414</f>
        <v>-4.1399999999999999E-2</v>
      </c>
      <c r="N91" s="270">
        <f>+-0.0066</f>
        <v>-6.6E-3</v>
      </c>
      <c r="O91" s="844"/>
      <c r="Q91"/>
      <c r="AO91"/>
      <c r="AZ91"/>
      <c r="BB91"/>
    </row>
    <row r="92" spans="1:54" hidden="1" x14ac:dyDescent="0.25">
      <c r="A92" s="20">
        <v>3.1899999999999998E-2</v>
      </c>
      <c r="B92" s="20">
        <v>5.33E-2</v>
      </c>
      <c r="C92" s="800">
        <v>3.9E-2</v>
      </c>
      <c r="D92" s="266">
        <v>3.2199999999999999E-2</v>
      </c>
      <c r="E92" s="800">
        <v>7.5999999999999998E-2</v>
      </c>
      <c r="F92" s="271">
        <f t="shared" si="58"/>
        <v>-3.6999999999999998E-2</v>
      </c>
      <c r="G92" s="809">
        <f t="shared" si="59"/>
        <v>0</v>
      </c>
      <c r="H92" s="163">
        <f t="shared" si="64"/>
        <v>-4.0000000000000452E-4</v>
      </c>
      <c r="I92" s="271">
        <f t="shared" si="65"/>
        <v>-3.7400000000000003E-2</v>
      </c>
      <c r="L92" s="276">
        <v>45366</v>
      </c>
      <c r="M92" s="266">
        <f>+-0.037</f>
        <v>-3.6999999999999998E-2</v>
      </c>
      <c r="N92" s="344">
        <v>4.0000000000000001E-3</v>
      </c>
      <c r="O92" s="845"/>
      <c r="Q92"/>
      <c r="AO92"/>
      <c r="AZ92"/>
      <c r="BB92"/>
    </row>
    <row r="93" spans="1:54" hidden="1" x14ac:dyDescent="0.25">
      <c r="A93" s="20">
        <v>3.4000000000000002E-2</v>
      </c>
      <c r="B93" s="20">
        <v>5.4800000000000001E-2</v>
      </c>
      <c r="C93" s="800">
        <v>4.0999999999999995E-2</v>
      </c>
      <c r="D93" s="266">
        <v>3.4200000000000001E-2</v>
      </c>
      <c r="E93" s="800">
        <v>8.2400000000000001E-2</v>
      </c>
      <c r="F93" s="271">
        <f t="shared" si="58"/>
        <v>-4.1400000000000006E-2</v>
      </c>
      <c r="G93" s="809">
        <f t="shared" si="59"/>
        <v>0</v>
      </c>
      <c r="H93" s="163">
        <f t="shared" ref="H93" si="66">+I93-M93</f>
        <v>4.0000000000000452E-4</v>
      </c>
      <c r="I93" s="271">
        <f t="shared" ref="I93" si="67">+M92+N93</f>
        <v>-4.0999999999999995E-2</v>
      </c>
      <c r="L93" s="265">
        <v>45369</v>
      </c>
      <c r="M93" s="266">
        <f>+-0.0414</f>
        <v>-4.1399999999999999E-2</v>
      </c>
      <c r="N93" s="270">
        <f>+-0.004</f>
        <v>-4.0000000000000001E-3</v>
      </c>
      <c r="O93" s="131"/>
      <c r="Q93"/>
      <c r="AO93"/>
      <c r="AZ93"/>
      <c r="BB93"/>
    </row>
    <row r="94" spans="1:54" hidden="1" x14ac:dyDescent="0.25">
      <c r="A94" s="20">
        <v>3.8599999999999995E-2</v>
      </c>
      <c r="B94" s="20">
        <v>6.0199999999999997E-2</v>
      </c>
      <c r="C94" s="800">
        <v>4.5600000000000002E-2</v>
      </c>
      <c r="D94" s="266">
        <v>4.2799999999999998E-2</v>
      </c>
      <c r="E94" s="800">
        <v>8.8400000000000006E-2</v>
      </c>
      <c r="F94" s="271">
        <f t="shared" si="58"/>
        <v>-4.2800000000000005E-2</v>
      </c>
      <c r="G94" s="809">
        <f t="shared" si="59"/>
        <v>0</v>
      </c>
      <c r="H94" s="163">
        <f t="shared" ref="H94:H97" si="68">+I94-M94</f>
        <v>3.0000000000000165E-4</v>
      </c>
      <c r="I94" s="271">
        <f t="shared" ref="I94:I97" si="69">+M93+N94</f>
        <v>-4.2499999999999996E-2</v>
      </c>
      <c r="L94" s="265">
        <v>45370</v>
      </c>
      <c r="M94" s="266">
        <f>+-0.0428</f>
        <v>-4.2799999999999998E-2</v>
      </c>
      <c r="N94" s="270">
        <f>+-0.0011</f>
        <v>-1.1000000000000001E-3</v>
      </c>
      <c r="O94" s="842" t="s">
        <v>797</v>
      </c>
      <c r="Q94"/>
      <c r="AO94"/>
      <c r="AZ94"/>
      <c r="BB94"/>
    </row>
    <row r="95" spans="1:54" hidden="1" x14ac:dyDescent="0.25">
      <c r="A95" s="20">
        <v>4.8899999999999999E-2</v>
      </c>
      <c r="B95" s="20">
        <v>6.9400000000000003E-2</v>
      </c>
      <c r="C95" s="800">
        <v>5.33E-2</v>
      </c>
      <c r="D95" s="266">
        <v>5.3499999999999999E-2</v>
      </c>
      <c r="E95" s="800">
        <v>9.8500000000000004E-2</v>
      </c>
      <c r="F95" s="271">
        <f t="shared" si="58"/>
        <v>-4.5200000000000004E-2</v>
      </c>
      <c r="G95" s="809">
        <f t="shared" si="59"/>
        <v>0</v>
      </c>
      <c r="H95" s="163">
        <f t="shared" si="68"/>
        <v>5.0000000000000044E-4</v>
      </c>
      <c r="I95" s="271">
        <f t="shared" si="69"/>
        <v>-4.4699999999999997E-2</v>
      </c>
      <c r="L95" s="265">
        <v>45371</v>
      </c>
      <c r="M95" s="266">
        <f>+-0.0452</f>
        <v>-4.5199999999999997E-2</v>
      </c>
      <c r="N95" s="270">
        <f>+-0.0019</f>
        <v>-1.9E-3</v>
      </c>
      <c r="O95" s="843">
        <f>SUM(N93:N97)</f>
        <v>-5.2000000000000006E-3</v>
      </c>
      <c r="Q95"/>
      <c r="AO95"/>
      <c r="AZ95"/>
      <c r="BB95"/>
    </row>
    <row r="96" spans="1:54" hidden="1" x14ac:dyDescent="0.25">
      <c r="A96" s="20">
        <v>5.7200000000000001E-2</v>
      </c>
      <c r="B96" s="20">
        <v>7.8200000000000006E-2</v>
      </c>
      <c r="C96" s="800">
        <v>6.2899999999999998E-2</v>
      </c>
      <c r="D96" s="266">
        <v>6.0699999999999997E-2</v>
      </c>
      <c r="E96" s="800">
        <v>0.10210000000000001</v>
      </c>
      <c r="F96" s="271">
        <f t="shared" si="58"/>
        <v>-3.9200000000000013E-2</v>
      </c>
      <c r="G96" s="809">
        <f t="shared" si="59"/>
        <v>0</v>
      </c>
      <c r="H96" s="163">
        <f t="shared" si="68"/>
        <v>-9.9999999999995925E-5</v>
      </c>
      <c r="I96" s="271">
        <f t="shared" si="69"/>
        <v>-3.9299999999999995E-2</v>
      </c>
      <c r="L96" s="265">
        <v>45372</v>
      </c>
      <c r="M96" s="266">
        <f>+-0.0392</f>
        <v>-3.9199999999999999E-2</v>
      </c>
      <c r="N96" s="270">
        <v>5.8999999999999999E-3</v>
      </c>
      <c r="O96" s="844"/>
      <c r="Q96"/>
      <c r="AO96"/>
      <c r="AZ96"/>
      <c r="BB96"/>
    </row>
    <row r="97" spans="1:54" hidden="1" x14ac:dyDescent="0.25">
      <c r="A97" s="20">
        <v>5.0700000000000002E-2</v>
      </c>
      <c r="B97" s="20">
        <v>7.2700000000000001E-2</v>
      </c>
      <c r="C97" s="800">
        <v>5.6500000000000002E-2</v>
      </c>
      <c r="D97" s="266">
        <v>5.2499999999999998E-2</v>
      </c>
      <c r="E97" s="800">
        <v>0.1</v>
      </c>
      <c r="F97" s="271">
        <f t="shared" si="58"/>
        <v>-4.3500000000000004E-2</v>
      </c>
      <c r="G97" s="809">
        <f t="shared" si="59"/>
        <v>0</v>
      </c>
      <c r="H97" s="163">
        <f t="shared" si="68"/>
        <v>1.9999999999999879E-4</v>
      </c>
      <c r="I97" s="271">
        <f t="shared" si="69"/>
        <v>-4.3299999999999998E-2</v>
      </c>
      <c r="L97" s="276">
        <v>45373</v>
      </c>
      <c r="M97" s="266">
        <f>+-0.0435</f>
        <v>-4.3499999999999997E-2</v>
      </c>
      <c r="N97" s="344">
        <f>+-0.0041</f>
        <v>-4.1000000000000003E-3</v>
      </c>
      <c r="O97" s="845"/>
      <c r="Q97"/>
      <c r="AO97"/>
      <c r="AZ97"/>
      <c r="BB97"/>
    </row>
    <row r="98" spans="1:54" hidden="1" x14ac:dyDescent="0.25">
      <c r="A98" s="20">
        <v>5.0999999999999997E-2</v>
      </c>
      <c r="B98" s="20">
        <v>7.1500000000000008E-2</v>
      </c>
      <c r="C98" s="800">
        <v>5.57E-2</v>
      </c>
      <c r="D98" s="266">
        <v>4.82E-2</v>
      </c>
      <c r="E98" s="800">
        <v>9.6999999999999989E-2</v>
      </c>
      <c r="F98" s="271">
        <f t="shared" si="58"/>
        <v>-4.1299999999999989E-2</v>
      </c>
      <c r="G98" s="809">
        <f t="shared" ref="G98" si="70">+F98-M98</f>
        <v>-9.9999999999988987E-5</v>
      </c>
      <c r="H98" s="163">
        <f t="shared" ref="H98" si="71">+I98-M98</f>
        <v>-2.9999999999999472E-4</v>
      </c>
      <c r="I98" s="271">
        <f t="shared" ref="I98" si="72">+M97+N98</f>
        <v>-4.1499999999999995E-2</v>
      </c>
      <c r="L98" s="265">
        <v>45376</v>
      </c>
      <c r="M98" s="266">
        <f>+-0.0412</f>
        <v>-4.1200000000000001E-2</v>
      </c>
      <c r="N98" s="270">
        <v>2E-3</v>
      </c>
      <c r="O98" s="131"/>
      <c r="Q98"/>
      <c r="AO98"/>
      <c r="AZ98"/>
      <c r="BB98"/>
    </row>
    <row r="99" spans="1:54" hidden="1" x14ac:dyDescent="0.25">
      <c r="A99" s="20">
        <v>4.4000000000000004E-2</v>
      </c>
      <c r="B99" s="20">
        <v>6.9000000000000006E-2</v>
      </c>
      <c r="C99" s="800">
        <v>5.3100000000000001E-2</v>
      </c>
      <c r="D99" s="266">
        <v>4.7400000000000005E-2</v>
      </c>
      <c r="E99" s="800">
        <v>9.4899999999999998E-2</v>
      </c>
      <c r="F99" s="271">
        <f t="shared" ref="F99:F100" si="73">+C99-E99</f>
        <v>-4.1799999999999997E-2</v>
      </c>
      <c r="G99" s="809">
        <f t="shared" ref="G99:G100" si="74">+F99-M99</f>
        <v>0</v>
      </c>
      <c r="H99" s="163">
        <f t="shared" ref="H99" si="75">+I99-M99</f>
        <v>0</v>
      </c>
      <c r="I99" s="271">
        <f t="shared" ref="I99" si="76">+M98+N99</f>
        <v>-4.1800000000000004E-2</v>
      </c>
      <c r="L99" s="265">
        <v>45377</v>
      </c>
      <c r="M99" s="266">
        <f>+-0.0418</f>
        <v>-4.1799999999999997E-2</v>
      </c>
      <c r="N99" s="270">
        <f>+-0.0006</f>
        <v>-5.9999999999999995E-4</v>
      </c>
      <c r="O99" s="842" t="s">
        <v>797</v>
      </c>
      <c r="Q99"/>
      <c r="AO99"/>
      <c r="AZ99"/>
      <c r="BB99"/>
    </row>
    <row r="100" spans="1:54" hidden="1" x14ac:dyDescent="0.25">
      <c r="A100" s="20">
        <v>6.2E-2</v>
      </c>
      <c r="B100" s="20">
        <v>8.6099999999999996E-2</v>
      </c>
      <c r="C100" s="800">
        <v>6.9400000000000003E-2</v>
      </c>
      <c r="D100" s="266">
        <v>6.0100000000000001E-2</v>
      </c>
      <c r="E100" s="800">
        <v>0.1041</v>
      </c>
      <c r="F100" s="271">
        <f t="shared" si="73"/>
        <v>-3.4699999999999995E-2</v>
      </c>
      <c r="G100" s="809">
        <f t="shared" si="74"/>
        <v>0</v>
      </c>
      <c r="H100" s="163">
        <f t="shared" ref="H100" si="77">+I100-M100</f>
        <v>0</v>
      </c>
      <c r="I100" s="271">
        <f t="shared" ref="I100" si="78">+M99+N100</f>
        <v>-3.4699999999999995E-2</v>
      </c>
      <c r="L100" s="265">
        <v>45378</v>
      </c>
      <c r="M100" s="266">
        <f>+-0.0347</f>
        <v>-3.4700000000000002E-2</v>
      </c>
      <c r="N100" s="270">
        <v>7.1000000000000004E-3</v>
      </c>
      <c r="O100" s="843">
        <f>SUM(N98:N102)</f>
        <v>1.43E-2</v>
      </c>
      <c r="Q100"/>
      <c r="AO100"/>
      <c r="AZ100"/>
      <c r="BB100"/>
    </row>
    <row r="101" spans="1:54" hidden="1" x14ac:dyDescent="0.25">
      <c r="A101" s="20">
        <v>6.7299999999999999E-2</v>
      </c>
      <c r="B101" s="20">
        <v>8.9900000000000008E-2</v>
      </c>
      <c r="C101" s="800">
        <v>7.5300000000000006E-2</v>
      </c>
      <c r="D101" s="266">
        <v>6.1400000000000003E-2</v>
      </c>
      <c r="E101" s="800">
        <v>0.10390000000000001</v>
      </c>
      <c r="F101" s="271">
        <f t="shared" ref="F101:F108" si="79">+C101-E101</f>
        <v>-2.86E-2</v>
      </c>
      <c r="G101" s="809">
        <f t="shared" ref="G101" si="80">+F101-M101</f>
        <v>0</v>
      </c>
      <c r="H101" s="163">
        <f>+I101-M101</f>
        <v>-3.0000000000000165E-4</v>
      </c>
      <c r="I101" s="271">
        <f t="shared" ref="I101" si="81">+M100+N101</f>
        <v>-2.8900000000000002E-2</v>
      </c>
      <c r="L101" s="265">
        <v>45379</v>
      </c>
      <c r="M101" s="266">
        <f>+-0.0286</f>
        <v>-2.86E-2</v>
      </c>
      <c r="N101" s="270">
        <v>5.7999999999999996E-3</v>
      </c>
      <c r="O101" s="844"/>
      <c r="Q101"/>
      <c r="AO101"/>
      <c r="AZ101"/>
      <c r="BB101"/>
    </row>
    <row r="102" spans="1:54" hidden="1" x14ac:dyDescent="0.25">
      <c r="C102" s="132"/>
      <c r="E102" s="132"/>
      <c r="F102" s="271"/>
      <c r="G102" s="809"/>
      <c r="H102" s="341"/>
      <c r="I102" s="342"/>
      <c r="J102" s="34"/>
      <c r="K102" s="34"/>
      <c r="L102" s="276">
        <v>45380</v>
      </c>
      <c r="M102" s="343"/>
      <c r="N102" s="344"/>
      <c r="O102" s="845"/>
      <c r="Q102"/>
      <c r="AO102"/>
      <c r="AZ102"/>
      <c r="BB102"/>
    </row>
    <row r="103" spans="1:54" hidden="1" x14ac:dyDescent="0.25">
      <c r="A103" s="20">
        <v>6.08E-2</v>
      </c>
      <c r="B103" s="20">
        <v>8.5800000000000001E-2</v>
      </c>
      <c r="C103" s="800">
        <v>6.5799999999999997E-2</v>
      </c>
      <c r="D103" s="266">
        <v>5.4900000000000004E-2</v>
      </c>
      <c r="E103" s="800">
        <v>0.10199999999999999</v>
      </c>
      <c r="F103" s="271">
        <f t="shared" si="79"/>
        <v>-3.6199999999999996E-2</v>
      </c>
      <c r="G103" s="809">
        <f t="shared" ref="G103:G104" si="82">+F103-M103</f>
        <v>0</v>
      </c>
      <c r="H103" s="163">
        <f>+I103-M103</f>
        <v>5.0000000000000044E-4</v>
      </c>
      <c r="I103" s="271">
        <f>+M101+N103</f>
        <v>-3.5700000000000003E-2</v>
      </c>
      <c r="K103" s="731" t="s">
        <v>794</v>
      </c>
      <c r="L103" s="265">
        <v>45383</v>
      </c>
      <c r="M103" s="266">
        <f>+-0.0362</f>
        <v>-3.6200000000000003E-2</v>
      </c>
      <c r="N103" s="270">
        <f>+-0.0071</f>
        <v>-7.1000000000000004E-3</v>
      </c>
      <c r="O103" s="131"/>
      <c r="Q103"/>
      <c r="AO103"/>
      <c r="AZ103"/>
      <c r="BB103"/>
    </row>
    <row r="104" spans="1:54" hidden="1" x14ac:dyDescent="0.25">
      <c r="A104" s="20">
        <v>5.5399999999999998E-2</v>
      </c>
      <c r="B104" s="20">
        <v>8.1500000000000003E-2</v>
      </c>
      <c r="C104" s="800">
        <v>6.2800000000000009E-2</v>
      </c>
      <c r="D104" s="266">
        <v>4.4400000000000002E-2</v>
      </c>
      <c r="E104" s="800">
        <v>9.5000000000000001E-2</v>
      </c>
      <c r="F104" s="271">
        <f t="shared" si="79"/>
        <v>-3.2199999999999993E-2</v>
      </c>
      <c r="G104" s="809">
        <f t="shared" si="82"/>
        <v>0</v>
      </c>
      <c r="H104" s="163">
        <f t="shared" ref="H104" si="83">+I104-M104</f>
        <v>-5.0000000000000044E-4</v>
      </c>
      <c r="I104" s="271">
        <f t="shared" ref="I104" si="84">+M103+N104</f>
        <v>-3.27E-2</v>
      </c>
      <c r="L104" s="265">
        <v>45384</v>
      </c>
      <c r="M104" s="266">
        <f>+-0.0322</f>
        <v>-3.2199999999999999E-2</v>
      </c>
      <c r="N104" s="270">
        <v>3.5000000000000001E-3</v>
      </c>
      <c r="O104" s="842" t="s">
        <v>797</v>
      </c>
      <c r="Q104"/>
      <c r="AO104"/>
      <c r="AZ104"/>
      <c r="BB104"/>
    </row>
    <row r="105" spans="1:54" hidden="1" x14ac:dyDescent="0.25">
      <c r="A105" s="20">
        <v>5.2699999999999997E-2</v>
      </c>
      <c r="B105" s="20">
        <v>7.9699999999999993E-2</v>
      </c>
      <c r="C105" s="800">
        <v>6.2300000000000001E-2</v>
      </c>
      <c r="D105" s="266">
        <v>4.3299999999999998E-2</v>
      </c>
      <c r="E105" s="800">
        <v>9.6199999999999994E-2</v>
      </c>
      <c r="F105" s="271">
        <f t="shared" si="79"/>
        <v>-3.3899999999999993E-2</v>
      </c>
      <c r="G105" s="809">
        <f t="shared" ref="G105:G108" si="85">+F105-M105</f>
        <v>0</v>
      </c>
      <c r="H105" s="163">
        <f t="shared" ref="H105:H107" si="86">+I105-M105</f>
        <v>1.0000000000000286E-4</v>
      </c>
      <c r="I105" s="271">
        <f t="shared" ref="I105:I107" si="87">+M104+N105</f>
        <v>-3.3799999999999997E-2</v>
      </c>
      <c r="L105" s="265">
        <v>45385</v>
      </c>
      <c r="M105" s="266">
        <f>+-0.0339</f>
        <v>-3.39E-2</v>
      </c>
      <c r="N105" s="270">
        <f>+-0.0016</f>
        <v>-1.6000000000000001E-3</v>
      </c>
      <c r="O105" s="843">
        <f>SUM(N103:N107)</f>
        <v>-8.6E-3</v>
      </c>
      <c r="Q105"/>
      <c r="AO105"/>
      <c r="AZ105"/>
      <c r="BB105"/>
    </row>
    <row r="106" spans="1:54" hidden="1" x14ac:dyDescent="0.25">
      <c r="A106" s="20">
        <v>4.2099999999999999E-2</v>
      </c>
      <c r="B106" s="20">
        <v>6.9000000000000006E-2</v>
      </c>
      <c r="C106" s="800">
        <v>5.3099999999999994E-2</v>
      </c>
      <c r="D106" s="266">
        <v>2.9499999999999998E-2</v>
      </c>
      <c r="E106" s="800">
        <v>8.2799999999999999E-2</v>
      </c>
      <c r="F106" s="271">
        <f t="shared" si="79"/>
        <v>-2.9700000000000004E-2</v>
      </c>
      <c r="G106" s="809">
        <f t="shared" si="85"/>
        <v>0</v>
      </c>
      <c r="H106" s="163">
        <f t="shared" si="86"/>
        <v>-5.9999999999999984E-4</v>
      </c>
      <c r="I106" s="271">
        <f t="shared" si="87"/>
        <v>-3.0300000000000001E-2</v>
      </c>
      <c r="L106" s="265">
        <v>45386</v>
      </c>
      <c r="M106" s="266">
        <f>+-0.0297</f>
        <v>-2.9700000000000001E-2</v>
      </c>
      <c r="N106" s="270">
        <v>3.5999999999999999E-3</v>
      </c>
      <c r="O106" s="844"/>
      <c r="Q106"/>
      <c r="AO106"/>
      <c r="AZ106"/>
      <c r="BB106"/>
    </row>
    <row r="107" spans="1:54" hidden="1" x14ac:dyDescent="0.25">
      <c r="A107" s="20">
        <v>4.58E-2</v>
      </c>
      <c r="B107" s="20">
        <v>7.4300000000000005E-2</v>
      </c>
      <c r="C107" s="800">
        <v>5.67E-2</v>
      </c>
      <c r="D107" s="266">
        <v>3.7699999999999997E-2</v>
      </c>
      <c r="E107" s="800">
        <v>9.4100000000000003E-2</v>
      </c>
      <c r="F107" s="271">
        <f t="shared" si="79"/>
        <v>-3.7400000000000003E-2</v>
      </c>
      <c r="G107" s="809">
        <f t="shared" si="85"/>
        <v>0</v>
      </c>
      <c r="H107" s="163">
        <f t="shared" si="86"/>
        <v>6.9999999999999923E-4</v>
      </c>
      <c r="I107" s="271">
        <f t="shared" si="87"/>
        <v>-3.6700000000000003E-2</v>
      </c>
      <c r="L107" s="276">
        <v>45387</v>
      </c>
      <c r="M107" s="266">
        <f>+-0.0374</f>
        <v>-3.7400000000000003E-2</v>
      </c>
      <c r="N107" s="344">
        <f>+-0.007</f>
        <v>-7.0000000000000001E-3</v>
      </c>
      <c r="O107" s="845"/>
      <c r="Q107"/>
      <c r="AO107"/>
      <c r="AZ107"/>
      <c r="BB107"/>
    </row>
    <row r="108" spans="1:54" hidden="1" x14ac:dyDescent="0.25">
      <c r="A108" s="20">
        <v>4.7E-2</v>
      </c>
      <c r="B108" s="20">
        <v>7.4999999999999997E-2</v>
      </c>
      <c r="C108" s="800">
        <v>5.8400000000000001E-2</v>
      </c>
      <c r="D108" s="266">
        <v>3.7400000000000003E-2</v>
      </c>
      <c r="E108" s="800">
        <v>9.4700000000000006E-2</v>
      </c>
      <c r="F108" s="271">
        <f t="shared" si="79"/>
        <v>-3.6300000000000006E-2</v>
      </c>
      <c r="G108" s="809">
        <f t="shared" si="85"/>
        <v>0</v>
      </c>
      <c r="H108" s="163">
        <f t="shared" ref="H108:H109" si="88">+I108-M108</f>
        <v>0</v>
      </c>
      <c r="I108" s="271">
        <f t="shared" ref="I108:I109" si="89">+M107+N108</f>
        <v>-3.6300000000000006E-2</v>
      </c>
      <c r="L108" s="265">
        <v>45390</v>
      </c>
      <c r="M108" s="266">
        <f>+-0.0363</f>
        <v>-3.6299999999999999E-2</v>
      </c>
      <c r="N108" s="270">
        <v>1.1000000000000001E-3</v>
      </c>
      <c r="O108" s="131"/>
      <c r="Q108"/>
      <c r="AO108"/>
      <c r="AZ108"/>
      <c r="BB108"/>
    </row>
    <row r="109" spans="1:54" hidden="1" x14ac:dyDescent="0.25">
      <c r="A109" s="20">
        <v>5.2999999999999999E-2</v>
      </c>
      <c r="B109" s="20">
        <v>7.6999999999999999E-2</v>
      </c>
      <c r="C109" s="800">
        <v>6.1799999999999994E-2</v>
      </c>
      <c r="D109" s="266">
        <v>3.7199999999999997E-2</v>
      </c>
      <c r="E109" s="800">
        <v>9.6000000000000002E-2</v>
      </c>
      <c r="F109" s="271">
        <f t="shared" ref="F109:F112" si="90">+C109-E109</f>
        <v>-3.4200000000000008E-2</v>
      </c>
      <c r="G109" s="809">
        <f t="shared" ref="G109:G110" si="91">+F109-M109</f>
        <v>0</v>
      </c>
      <c r="H109" s="163">
        <f t="shared" si="88"/>
        <v>-9.9999999999995925E-5</v>
      </c>
      <c r="I109" s="271">
        <f t="shared" si="89"/>
        <v>-3.4299999999999997E-2</v>
      </c>
      <c r="L109" s="265">
        <v>45391</v>
      </c>
      <c r="M109" s="266">
        <f>+-0.0342</f>
        <v>-3.4200000000000001E-2</v>
      </c>
      <c r="N109" s="270">
        <v>2E-3</v>
      </c>
      <c r="O109" s="842" t="s">
        <v>797</v>
      </c>
      <c r="Q109"/>
      <c r="AO109"/>
      <c r="AZ109"/>
      <c r="BB109"/>
    </row>
    <row r="110" spans="1:54" hidden="1" x14ac:dyDescent="0.25">
      <c r="A110" s="20">
        <v>3.4200000000000001E-2</v>
      </c>
      <c r="B110" s="20">
        <v>6.3399999999999998E-2</v>
      </c>
      <c r="C110" s="800">
        <v>4.41E-2</v>
      </c>
      <c r="D110" s="266">
        <v>2.6000000000000002E-2</v>
      </c>
      <c r="E110" s="800">
        <v>8.5000000000000006E-2</v>
      </c>
      <c r="F110" s="271">
        <f t="shared" si="90"/>
        <v>-4.0900000000000006E-2</v>
      </c>
      <c r="G110" s="809">
        <f t="shared" si="91"/>
        <v>0</v>
      </c>
      <c r="H110" s="163">
        <f t="shared" ref="H110" si="92">+I110-M110</f>
        <v>0</v>
      </c>
      <c r="I110" s="271">
        <f t="shared" ref="I110" si="93">+M109+N110</f>
        <v>-4.0899999999999999E-2</v>
      </c>
      <c r="L110" s="265">
        <v>45392</v>
      </c>
      <c r="M110" s="266">
        <f>+-0.0409</f>
        <v>-4.0899999999999999E-2</v>
      </c>
      <c r="N110" s="270">
        <f>+-0.0067</f>
        <v>-6.7000000000000002E-3</v>
      </c>
      <c r="O110" s="843">
        <f>SUM(N108:N112)</f>
        <v>-1.7599999999999998E-2</v>
      </c>
      <c r="Q110"/>
      <c r="AO110"/>
      <c r="AZ110"/>
      <c r="BB110"/>
    </row>
    <row r="111" spans="1:54" hidden="1" x14ac:dyDescent="0.25">
      <c r="A111" s="20">
        <v>3.15E-2</v>
      </c>
      <c r="B111" s="20">
        <v>6.2100000000000002E-2</v>
      </c>
      <c r="C111" s="800">
        <v>4.0599999999999997E-2</v>
      </c>
      <c r="D111" s="266">
        <v>2.5899999999999999E-2</v>
      </c>
      <c r="E111" s="800">
        <v>9.3200000000000005E-2</v>
      </c>
      <c r="F111" s="271">
        <f t="shared" si="90"/>
        <v>-5.2600000000000008E-2</v>
      </c>
      <c r="G111" s="809">
        <f t="shared" ref="G111:G112" si="94">+F111-M111</f>
        <v>0</v>
      </c>
      <c r="H111" s="163">
        <f t="shared" ref="H111" si="95">+I111-M111</f>
        <v>8.000000000000021E-4</v>
      </c>
      <c r="I111" s="271">
        <f t="shared" ref="I111" si="96">+M110+N111</f>
        <v>-5.1799999999999999E-2</v>
      </c>
      <c r="L111" s="265">
        <v>45393</v>
      </c>
      <c r="M111" s="266">
        <f>+-0.0526</f>
        <v>-5.2600000000000001E-2</v>
      </c>
      <c r="N111" s="270">
        <f>+-0.0109</f>
        <v>-1.09E-2</v>
      </c>
      <c r="O111" s="844"/>
      <c r="Q111"/>
      <c r="AO111"/>
      <c r="AZ111"/>
      <c r="BB111"/>
    </row>
    <row r="112" spans="1:54" hidden="1" x14ac:dyDescent="0.25">
      <c r="A112" s="20">
        <v>1.67E-2</v>
      </c>
      <c r="B112" s="20">
        <v>4.5900000000000003E-2</v>
      </c>
      <c r="C112" s="800">
        <v>2.3E-2</v>
      </c>
      <c r="D112" s="266">
        <v>1.32E-2</v>
      </c>
      <c r="E112" s="800">
        <v>7.8100000000000003E-2</v>
      </c>
      <c r="F112" s="271">
        <f t="shared" si="90"/>
        <v>-5.5100000000000003E-2</v>
      </c>
      <c r="G112" s="809">
        <f t="shared" si="94"/>
        <v>0</v>
      </c>
      <c r="H112" s="163">
        <f t="shared" ref="H112" si="97">+I112-M112</f>
        <v>-5.9999999999999637E-4</v>
      </c>
      <c r="I112" s="271">
        <f t="shared" ref="I112" si="98">+M111+N112</f>
        <v>-5.57E-2</v>
      </c>
      <c r="L112" s="276">
        <v>45394</v>
      </c>
      <c r="M112" s="266">
        <f>+-0.0551</f>
        <v>-5.5100000000000003E-2</v>
      </c>
      <c r="N112" s="344">
        <f>+-0.0031</f>
        <v>-3.0999999999999999E-3</v>
      </c>
      <c r="O112" s="845"/>
      <c r="Q112"/>
      <c r="AO112"/>
      <c r="AZ112"/>
      <c r="BB112"/>
    </row>
    <row r="113" spans="1:58" hidden="1" x14ac:dyDescent="0.25">
      <c r="A113" s="20">
        <v>1.15E-2</v>
      </c>
      <c r="B113" s="20">
        <v>4.07E-2</v>
      </c>
      <c r="C113" s="800">
        <v>1.83E-2</v>
      </c>
      <c r="D113" s="266">
        <v>6.6E-3</v>
      </c>
      <c r="E113" s="800">
        <v>6.4600000000000005E-2</v>
      </c>
      <c r="F113" s="271">
        <f t="shared" ref="F113:F123" si="99">+C113-E113</f>
        <v>-4.6300000000000008E-2</v>
      </c>
      <c r="G113" s="809">
        <f t="shared" ref="G113:G115" si="100">+F113-M113</f>
        <v>9.9999999999988987E-5</v>
      </c>
      <c r="H113" s="163">
        <f t="shared" ref="H113:H114" si="101">+I113-M113</f>
        <v>-8.0000000000000904E-4</v>
      </c>
      <c r="I113" s="271">
        <f t="shared" ref="I113:I114" si="102">+M112+N113</f>
        <v>-4.7200000000000006E-2</v>
      </c>
      <c r="L113" s="265">
        <v>45397</v>
      </c>
      <c r="M113" s="266">
        <f>+-0.0464</f>
        <v>-4.6399999999999997E-2</v>
      </c>
      <c r="N113" s="270">
        <v>7.9000000000000008E-3</v>
      </c>
      <c r="O113" s="131"/>
      <c r="Q113"/>
      <c r="AM113" s="7"/>
      <c r="AO113" s="48"/>
      <c r="AP113" s="47"/>
      <c r="BA113" s="7"/>
      <c r="BE113" s="7"/>
      <c r="BF113" s="7"/>
    </row>
    <row r="114" spans="1:58" hidden="1" x14ac:dyDescent="0.25">
      <c r="A114" s="20">
        <v>5.1000000000000004E-3</v>
      </c>
      <c r="B114" s="20">
        <v>3.5200000000000002E-2</v>
      </c>
      <c r="C114" s="800">
        <v>8.9999999999999993E-3</v>
      </c>
      <c r="D114" s="266">
        <v>8.3000000000000001E-3</v>
      </c>
      <c r="E114" s="800">
        <v>6.2699999999999992E-2</v>
      </c>
      <c r="F114" s="271">
        <f t="shared" si="99"/>
        <v>-5.3699999999999991E-2</v>
      </c>
      <c r="G114" s="809">
        <f t="shared" si="100"/>
        <v>0</v>
      </c>
      <c r="H114" s="163">
        <f t="shared" si="101"/>
        <v>1.0000000000000286E-4</v>
      </c>
      <c r="I114" s="271">
        <f t="shared" si="102"/>
        <v>-5.3599999999999995E-2</v>
      </c>
      <c r="L114" s="265">
        <v>45398</v>
      </c>
      <c r="M114" s="266">
        <f>+-0.0537</f>
        <v>-5.3699999999999998E-2</v>
      </c>
      <c r="N114" s="270">
        <f>+-0.0072</f>
        <v>-7.1999999999999998E-3</v>
      </c>
      <c r="O114" s="842" t="s">
        <v>797</v>
      </c>
      <c r="Q114"/>
      <c r="AM114" s="7"/>
      <c r="AO114" s="48"/>
      <c r="AP114" s="47"/>
      <c r="BA114" s="7"/>
      <c r="BE114" s="7"/>
      <c r="BF114" s="7"/>
    </row>
    <row r="115" spans="1:58" hidden="1" x14ac:dyDescent="0.25">
      <c r="A115" s="20">
        <v>3.5000000000000001E-3</v>
      </c>
      <c r="B115" s="20">
        <v>3.3399999999999999E-2</v>
      </c>
      <c r="C115" s="800">
        <v>9.1000000000000004E-3</v>
      </c>
      <c r="D115" s="266">
        <v>7.1000000000000004E-3</v>
      </c>
      <c r="E115" s="800">
        <v>5.6399999999999999E-2</v>
      </c>
      <c r="F115" s="271">
        <f t="shared" si="99"/>
        <v>-4.7299999999999995E-2</v>
      </c>
      <c r="G115" s="809">
        <f t="shared" si="100"/>
        <v>0</v>
      </c>
      <c r="H115" s="163">
        <f t="shared" ref="H115" si="103">+I115-M115</f>
        <v>-3.9999999999999758E-4</v>
      </c>
      <c r="I115" s="271">
        <f t="shared" ref="I115" si="104">+M114+N115</f>
        <v>-4.7699999999999999E-2</v>
      </c>
      <c r="L115" s="265">
        <v>45399</v>
      </c>
      <c r="M115" s="266">
        <f>+-0.0473</f>
        <v>-4.7300000000000002E-2</v>
      </c>
      <c r="N115" s="270">
        <v>6.0000000000000001E-3</v>
      </c>
      <c r="O115" s="843">
        <f>SUM(N113:N117)</f>
        <v>3.4300000000000004E-2</v>
      </c>
      <c r="Q115"/>
      <c r="AM115" s="7"/>
      <c r="AO115" s="48"/>
      <c r="AP115" s="47"/>
      <c r="BE115" s="7"/>
      <c r="BF115" s="7"/>
    </row>
    <row r="116" spans="1:58" hidden="1" x14ac:dyDescent="0.25">
      <c r="A116" s="20">
        <v>3.5000000000000001E-3</v>
      </c>
      <c r="B116" s="20">
        <v>3.5700000000000003E-2</v>
      </c>
      <c r="C116" s="800">
        <v>1.37E-2</v>
      </c>
      <c r="D116" s="266">
        <v>7.9000000000000008E-3</v>
      </c>
      <c r="E116" s="800">
        <v>5.4199999999999998E-2</v>
      </c>
      <c r="F116" s="271">
        <f t="shared" si="99"/>
        <v>-4.0499999999999994E-2</v>
      </c>
      <c r="G116" s="809">
        <f t="shared" ref="G116:G119" si="105">+F116-M116</f>
        <v>0</v>
      </c>
      <c r="H116" s="163">
        <f t="shared" ref="H116:H117" si="106">+I116-M116</f>
        <v>-1.9999999999999879E-4</v>
      </c>
      <c r="I116" s="271">
        <f t="shared" ref="I116:I117" si="107">+M115+N116</f>
        <v>-4.07E-2</v>
      </c>
      <c r="L116" s="265">
        <v>45400</v>
      </c>
      <c r="M116" s="266">
        <f>+-0.0405</f>
        <v>-4.0500000000000001E-2</v>
      </c>
      <c r="N116" s="270">
        <v>6.6E-3</v>
      </c>
      <c r="O116" s="844"/>
      <c r="Q116"/>
      <c r="AP116" s="47"/>
    </row>
    <row r="117" spans="1:58" hidden="1" x14ac:dyDescent="0.25">
      <c r="A117" s="20">
        <v>1.46E-2</v>
      </c>
      <c r="B117" s="20">
        <v>4.4400000000000002E-2</v>
      </c>
      <c r="C117" s="800">
        <v>2.6099999999999998E-2</v>
      </c>
      <c r="D117" s="266">
        <v>1.37E-2</v>
      </c>
      <c r="E117" s="800">
        <v>4.4999999999999998E-2</v>
      </c>
      <c r="F117" s="271">
        <f t="shared" si="99"/>
        <v>-1.89E-2</v>
      </c>
      <c r="G117" s="809">
        <f t="shared" si="105"/>
        <v>0</v>
      </c>
      <c r="H117" s="163">
        <f t="shared" si="106"/>
        <v>-5.9999999999999984E-4</v>
      </c>
      <c r="I117" s="271">
        <f t="shared" si="107"/>
        <v>-1.95E-2</v>
      </c>
      <c r="L117" s="276">
        <v>45401</v>
      </c>
      <c r="M117" s="343">
        <f>+-0.0189</f>
        <v>-1.89E-2</v>
      </c>
      <c r="N117" s="344">
        <v>2.1000000000000001E-2</v>
      </c>
      <c r="O117" s="845"/>
      <c r="Q117"/>
      <c r="AP117" s="47"/>
    </row>
    <row r="118" spans="1:58" hidden="1" x14ac:dyDescent="0.25">
      <c r="A118" s="20">
        <v>2.24E-2</v>
      </c>
      <c r="B118" s="20">
        <v>5.3499999999999999E-2</v>
      </c>
      <c r="C118" s="800">
        <v>3.4500000000000003E-2</v>
      </c>
      <c r="D118" s="266">
        <v>2.0500000000000001E-2</v>
      </c>
      <c r="E118" s="800">
        <v>5.4600000000000003E-2</v>
      </c>
      <c r="F118" s="271">
        <f t="shared" si="99"/>
        <v>-2.01E-2</v>
      </c>
      <c r="G118" s="809">
        <f t="shared" si="105"/>
        <v>9.9999999999999395E-5</v>
      </c>
      <c r="H118" s="163">
        <f t="shared" ref="H118" si="108">+I118-M118</f>
        <v>2.9999999999999818E-4</v>
      </c>
      <c r="I118" s="271">
        <f t="shared" ref="I118" si="109">+M117+N118</f>
        <v>-1.9900000000000001E-2</v>
      </c>
      <c r="L118" s="265">
        <v>45404</v>
      </c>
      <c r="M118" s="266">
        <f>+-0.0202</f>
        <v>-2.0199999999999999E-2</v>
      </c>
      <c r="N118" s="266">
        <f>+-0.001</f>
        <v>-1E-3</v>
      </c>
      <c r="O118" s="131"/>
      <c r="Q118"/>
      <c r="AP118" s="47"/>
    </row>
    <row r="119" spans="1:58" hidden="1" x14ac:dyDescent="0.25">
      <c r="A119" s="20">
        <v>2.9399999999999999E-2</v>
      </c>
      <c r="B119" s="20">
        <v>5.9900000000000002E-2</v>
      </c>
      <c r="C119" s="800">
        <v>4.1799999999999997E-2</v>
      </c>
      <c r="D119" s="266">
        <v>2.75E-2</v>
      </c>
      <c r="E119" s="800">
        <v>6.7199999999999996E-2</v>
      </c>
      <c r="F119" s="271">
        <f t="shared" si="99"/>
        <v>-2.5399999999999999E-2</v>
      </c>
      <c r="G119" s="809">
        <f t="shared" si="105"/>
        <v>-9.9999999999999395E-5</v>
      </c>
      <c r="H119" s="163">
        <f t="shared" ref="H119" si="110">+I119-M119</f>
        <v>4.0000000000000105E-4</v>
      </c>
      <c r="I119" s="271">
        <f t="shared" ref="I119" si="111">+M118+N119</f>
        <v>-2.4899999999999999E-2</v>
      </c>
      <c r="L119" s="265">
        <v>45405</v>
      </c>
      <c r="M119" s="266">
        <f>+-0.0253</f>
        <v>-2.53E-2</v>
      </c>
      <c r="N119" s="266">
        <f>+-0.0047</f>
        <v>-4.7000000000000002E-3</v>
      </c>
      <c r="O119" s="842" t="s">
        <v>797</v>
      </c>
      <c r="Q119"/>
      <c r="AP119" s="47"/>
    </row>
    <row r="120" spans="1:58" hidden="1" x14ac:dyDescent="0.25">
      <c r="A120" s="20">
        <v>3.4200000000000001E-2</v>
      </c>
      <c r="B120" s="20">
        <v>6.2400000000000004E-2</v>
      </c>
      <c r="C120" s="800">
        <v>4.2299999999999997E-2</v>
      </c>
      <c r="D120" s="266">
        <v>2.64E-2</v>
      </c>
      <c r="E120" s="800">
        <v>6.6699999999999995E-2</v>
      </c>
      <c r="F120" s="271">
        <f t="shared" si="99"/>
        <v>-2.4399999999999998E-2</v>
      </c>
      <c r="G120" s="809">
        <f t="shared" ref="G120:G121" si="112">+F120-M120</f>
        <v>0</v>
      </c>
      <c r="H120" s="163">
        <f t="shared" ref="H120" si="113">+I120-M120</f>
        <v>0</v>
      </c>
      <c r="I120" s="271">
        <f t="shared" ref="I120" si="114">+M119+N120</f>
        <v>-2.4399999999999998E-2</v>
      </c>
      <c r="L120" s="265">
        <v>45406</v>
      </c>
      <c r="M120" s="266">
        <f>+-0.0244</f>
        <v>-2.4400000000000002E-2</v>
      </c>
      <c r="N120" s="266">
        <v>8.9999999999999998E-4</v>
      </c>
      <c r="O120" s="843">
        <f>SUM(N118:N122)</f>
        <v>-1.5000000000000001E-2</v>
      </c>
      <c r="Q120"/>
      <c r="AP120" s="47"/>
    </row>
    <row r="121" spans="1:58" hidden="1" x14ac:dyDescent="0.25">
      <c r="A121" s="20">
        <v>2.6600000000000002E-2</v>
      </c>
      <c r="B121" s="20">
        <v>5.9400000000000001E-2</v>
      </c>
      <c r="C121" s="800">
        <v>3.78E-2</v>
      </c>
      <c r="D121" s="266">
        <v>1.6399999999999998E-2</v>
      </c>
      <c r="E121" s="800">
        <v>6.2600000000000003E-2</v>
      </c>
      <c r="F121" s="271">
        <f t="shared" si="99"/>
        <v>-2.4800000000000003E-2</v>
      </c>
      <c r="G121" s="809">
        <f t="shared" si="112"/>
        <v>0</v>
      </c>
      <c r="H121" s="163">
        <f t="shared" ref="H121" si="115">+I121-M121</f>
        <v>-1.0000000000000286E-4</v>
      </c>
      <c r="I121" s="271">
        <f t="shared" ref="I121" si="116">+M120+N121</f>
        <v>-2.4900000000000002E-2</v>
      </c>
      <c r="L121" s="265">
        <v>45407</v>
      </c>
      <c r="M121" s="266">
        <f>+-0.0248</f>
        <v>-2.4799999999999999E-2</v>
      </c>
      <c r="N121" s="266">
        <v>-5.0000000000000001E-4</v>
      </c>
      <c r="O121" s="844"/>
      <c r="Q121"/>
      <c r="AP121" s="47"/>
    </row>
    <row r="122" spans="1:58" hidden="1" x14ac:dyDescent="0.25">
      <c r="A122" s="20">
        <v>2.5600000000000001E-2</v>
      </c>
      <c r="B122" s="20">
        <v>5.7299999999999997E-2</v>
      </c>
      <c r="C122" s="800">
        <v>3.7599999999999995E-2</v>
      </c>
      <c r="D122" s="266">
        <v>2.0500000000000001E-2</v>
      </c>
      <c r="E122" s="800">
        <v>7.2700000000000001E-2</v>
      </c>
      <c r="F122" s="271">
        <f t="shared" si="99"/>
        <v>-3.5100000000000006E-2</v>
      </c>
      <c r="G122" s="809">
        <f t="shared" ref="G122:G123" si="117">+F122-M122</f>
        <v>0</v>
      </c>
      <c r="H122" s="163">
        <f t="shared" ref="H122" si="118">+I122-M122</f>
        <v>5.9999999999999637E-4</v>
      </c>
      <c r="I122" s="271">
        <f t="shared" ref="I122" si="119">+M121+N122</f>
        <v>-3.4500000000000003E-2</v>
      </c>
      <c r="L122" s="276">
        <v>45408</v>
      </c>
      <c r="M122" s="343">
        <f>+-0.0351</f>
        <v>-3.5099999999999999E-2</v>
      </c>
      <c r="N122" s="343">
        <f>+-0.0097</f>
        <v>-9.7000000000000003E-3</v>
      </c>
      <c r="O122" s="845"/>
      <c r="Q122"/>
    </row>
    <row r="123" spans="1:58" x14ac:dyDescent="0.25">
      <c r="A123" s="20">
        <v>3.1399999999999997E-2</v>
      </c>
      <c r="B123" s="20">
        <v>6.2899999999999998E-2</v>
      </c>
      <c r="C123" s="800">
        <v>4.3099999999999999E-2</v>
      </c>
      <c r="D123" s="266">
        <v>2.4400000000000002E-2</v>
      </c>
      <c r="E123" s="800">
        <v>7.6499999999999999E-2</v>
      </c>
      <c r="F123" s="271">
        <f t="shared" si="99"/>
        <v>-3.3399999999999999E-2</v>
      </c>
      <c r="G123" s="809">
        <f t="shared" si="117"/>
        <v>0</v>
      </c>
      <c r="H123" s="163">
        <f t="shared" ref="H123" si="120">+I123-M123</f>
        <v>1.0000000000000286E-4</v>
      </c>
      <c r="I123" s="271">
        <f t="shared" ref="I123" si="121">+M122+N123</f>
        <v>-3.3299999999999996E-2</v>
      </c>
      <c r="L123" s="265">
        <v>45411</v>
      </c>
      <c r="M123" s="266">
        <f>+-0.0334</f>
        <v>-3.3399999999999999E-2</v>
      </c>
      <c r="N123" s="266">
        <v>1.8E-3</v>
      </c>
      <c r="O123" s="131"/>
      <c r="Q123" s="885" t="s">
        <v>521</v>
      </c>
      <c r="R123" s="886"/>
      <c r="S123" s="886"/>
      <c r="T123" s="886"/>
      <c r="U123" s="886"/>
      <c r="V123" s="886"/>
      <c r="W123" s="886"/>
      <c r="X123" s="887"/>
    </row>
    <row r="124" spans="1:58" x14ac:dyDescent="0.25">
      <c r="A124" s="20">
        <v>1.9099999999999999E-2</v>
      </c>
      <c r="B124" s="20">
        <v>4.9200000000000001E-2</v>
      </c>
      <c r="C124" s="800">
        <v>2.9399999999999999E-2</v>
      </c>
      <c r="D124" s="266">
        <v>9.1999999999999998E-3</v>
      </c>
      <c r="E124" s="800">
        <v>5.9400000000000001E-2</v>
      </c>
      <c r="F124" s="271">
        <f t="shared" ref="F124:F135" si="122">+C124-E124</f>
        <v>-3.0000000000000002E-2</v>
      </c>
      <c r="G124" s="809">
        <f t="shared" ref="G124" si="123">+F124-M124</f>
        <v>0</v>
      </c>
      <c r="H124" s="341">
        <f t="shared" ref="H124" si="124">+I124-M124</f>
        <v>-6.9999999999999923E-4</v>
      </c>
      <c r="I124" s="342">
        <f t="shared" ref="I124" si="125">+M123+N124</f>
        <v>-3.0699999999999998E-2</v>
      </c>
      <c r="J124" s="34"/>
      <c r="K124" s="34"/>
      <c r="L124" s="276">
        <v>45412</v>
      </c>
      <c r="M124" s="343">
        <f>+-0.03</f>
        <v>-0.03</v>
      </c>
      <c r="N124" s="344">
        <v>2.7000000000000001E-3</v>
      </c>
      <c r="O124" s="842" t="s">
        <v>797</v>
      </c>
      <c r="Q124" s="888" t="s">
        <v>491</v>
      </c>
      <c r="R124" s="889"/>
      <c r="S124" s="889"/>
      <c r="T124" s="889"/>
      <c r="U124" s="889"/>
      <c r="V124" s="889"/>
      <c r="W124" s="889"/>
      <c r="X124" s="890"/>
    </row>
    <row r="125" spans="1:58" x14ac:dyDescent="0.25">
      <c r="A125" s="20">
        <v>1.78E-2</v>
      </c>
      <c r="B125" s="20">
        <v>4.4900000000000002E-2</v>
      </c>
      <c r="C125" s="800">
        <v>2.92E-2</v>
      </c>
      <c r="D125" s="266">
        <v>1.15E-2</v>
      </c>
      <c r="E125" s="800">
        <v>5.6000000000000001E-2</v>
      </c>
      <c r="F125" s="271">
        <f t="shared" si="122"/>
        <v>-2.6800000000000001E-2</v>
      </c>
      <c r="G125" s="809">
        <f t="shared" ref="G125:G129" si="126">+F125-M125</f>
        <v>0</v>
      </c>
      <c r="H125" s="163">
        <f t="shared" ref="H125:H127" si="127">+I125-M125</f>
        <v>-1.9999999999999879E-4</v>
      </c>
      <c r="I125" s="271">
        <f t="shared" ref="I125:I127" si="128">+M124+N125</f>
        <v>-2.7E-2</v>
      </c>
      <c r="K125" s="731" t="s">
        <v>431</v>
      </c>
      <c r="L125" s="265">
        <v>45413</v>
      </c>
      <c r="M125" s="266">
        <f>+-0.0268</f>
        <v>-2.6800000000000001E-2</v>
      </c>
      <c r="N125" s="266">
        <v>3.0000000000000001E-3</v>
      </c>
      <c r="O125" s="843">
        <f>SUM(N123:N127)</f>
        <v>-7.6999999999999994E-3</v>
      </c>
      <c r="Q125" s="891"/>
      <c r="R125" s="892"/>
      <c r="S125" s="892"/>
      <c r="T125" s="892"/>
      <c r="U125" s="892"/>
      <c r="V125" s="892"/>
      <c r="W125" s="892"/>
      <c r="X125" s="893"/>
    </row>
    <row r="126" spans="1:58" ht="18.75" x14ac:dyDescent="0.25">
      <c r="A126" s="20">
        <v>2.2800000000000001E-2</v>
      </c>
      <c r="B126" s="20">
        <v>4.9200000000000001E-2</v>
      </c>
      <c r="C126" s="800">
        <v>3.1099999999999999E-2</v>
      </c>
      <c r="D126" s="266">
        <v>2.01E-2</v>
      </c>
      <c r="E126" s="800">
        <v>6.59E-2</v>
      </c>
      <c r="F126" s="271">
        <f t="shared" si="122"/>
        <v>-3.4799999999999998E-2</v>
      </c>
      <c r="G126" s="809">
        <f t="shared" si="126"/>
        <v>-9.9999999999995925E-5</v>
      </c>
      <c r="H126" s="163">
        <f t="shared" si="127"/>
        <v>4.0000000000000452E-4</v>
      </c>
      <c r="I126" s="271">
        <f t="shared" si="128"/>
        <v>-3.4299999999999997E-2</v>
      </c>
      <c r="L126" s="265">
        <v>45414</v>
      </c>
      <c r="M126" s="266">
        <f>+-0.0347</f>
        <v>-3.4700000000000002E-2</v>
      </c>
      <c r="N126" s="266">
        <f>+-0.0075</f>
        <v>-7.4999999999999997E-3</v>
      </c>
      <c r="O126" s="844"/>
      <c r="Q126" s="891"/>
      <c r="R126" s="892"/>
      <c r="S126" s="892"/>
      <c r="T126" s="892"/>
      <c r="U126" s="892"/>
      <c r="V126" s="892"/>
      <c r="W126" s="892"/>
      <c r="X126" s="893"/>
      <c r="Y126" s="17" t="s">
        <v>543</v>
      </c>
      <c r="Z126" s="1">
        <v>45291</v>
      </c>
      <c r="AA126" s="49" t="s">
        <v>1</v>
      </c>
      <c r="AB126" s="1">
        <v>44926</v>
      </c>
      <c r="AC126" s="49" t="s">
        <v>784</v>
      </c>
    </row>
    <row r="127" spans="1:58" ht="15.75" x14ac:dyDescent="0.25">
      <c r="A127" s="20">
        <v>3.2099999999999997E-2</v>
      </c>
      <c r="B127" s="20">
        <v>5.5199999999999999E-2</v>
      </c>
      <c r="C127" s="800">
        <v>3.5900000000000001E-2</v>
      </c>
      <c r="D127" s="266">
        <v>3.2099999999999997E-2</v>
      </c>
      <c r="E127" s="800">
        <v>7.9100000000000004E-2</v>
      </c>
      <c r="F127" s="271">
        <f t="shared" si="122"/>
        <v>-4.3200000000000002E-2</v>
      </c>
      <c r="G127" s="809">
        <f t="shared" si="126"/>
        <v>-1.0000000000000286E-4</v>
      </c>
      <c r="H127" s="163">
        <f t="shared" si="127"/>
        <v>6.9999999999999923E-4</v>
      </c>
      <c r="I127" s="271">
        <f t="shared" si="128"/>
        <v>-4.24E-2</v>
      </c>
      <c r="L127" s="276">
        <v>45415</v>
      </c>
      <c r="M127" s="343">
        <f>+-0.0431</f>
        <v>-4.3099999999999999E-2</v>
      </c>
      <c r="N127" s="343">
        <f>+-0.0077</f>
        <v>-7.7000000000000002E-3</v>
      </c>
      <c r="O127" s="845"/>
      <c r="Q127" s="296">
        <v>1</v>
      </c>
      <c r="R127" s="90" t="s">
        <v>516</v>
      </c>
      <c r="S127" s="90"/>
      <c r="T127" s="90"/>
      <c r="U127" s="90"/>
      <c r="V127" s="267"/>
      <c r="W127" s="737" t="s">
        <v>496</v>
      </c>
      <c r="X127" s="738">
        <f>_xll.BDP(W127&amp;" EQUITY",$N$1)</f>
        <v>46.969900000000003</v>
      </c>
      <c r="Y127" s="811">
        <f>_xll.BDP(W127&amp;" EQUITY",$B$3)*0.01</f>
        <v>2.7166334671527587E-2</v>
      </c>
      <c r="Z127" s="2">
        <v>42.28</v>
      </c>
      <c r="AA127" s="735">
        <f t="shared" ref="AA127:AA145" si="129">+X127/Z127-1</f>
        <v>0.11092478713339649</v>
      </c>
      <c r="AB127" s="2">
        <v>37.299999999999997</v>
      </c>
      <c r="AC127" s="735">
        <f t="shared" ref="AC127:AC145" si="130">+X127/AB127-1</f>
        <v>0.25924664879356585</v>
      </c>
    </row>
    <row r="128" spans="1:58" ht="15.75" x14ac:dyDescent="0.25">
      <c r="A128" s="20">
        <v>3.4200000000000001E-2</v>
      </c>
      <c r="B128" s="20">
        <v>6.1500000000000006E-2</v>
      </c>
      <c r="C128" s="800">
        <v>4.0999999999999995E-2</v>
      </c>
      <c r="D128" s="266">
        <v>3.6799999999999999E-2</v>
      </c>
      <c r="E128" s="800">
        <v>9.0200000000000002E-2</v>
      </c>
      <c r="F128" s="271">
        <f t="shared" si="122"/>
        <v>-4.9200000000000008E-2</v>
      </c>
      <c r="G128" s="809">
        <f t="shared" si="126"/>
        <v>0</v>
      </c>
      <c r="H128" s="163">
        <f t="shared" ref="H128" si="131">+I128-M128</f>
        <v>6.9999999999999923E-4</v>
      </c>
      <c r="I128" s="271">
        <f t="shared" ref="I128" si="132">+M127+N128</f>
        <v>-4.8500000000000001E-2</v>
      </c>
      <c r="L128" s="265">
        <v>45418</v>
      </c>
      <c r="M128" s="266">
        <f>+-0.0492</f>
        <v>-4.9200000000000001E-2</v>
      </c>
      <c r="N128" s="266">
        <f>+-0.0054</f>
        <v>-5.4000000000000003E-3</v>
      </c>
      <c r="O128" s="131"/>
      <c r="Q128" s="851">
        <v>2</v>
      </c>
      <c r="R128" t="s">
        <v>513</v>
      </c>
      <c r="V128" s="78"/>
      <c r="W128" s="142" t="s">
        <v>493</v>
      </c>
      <c r="X128" s="584">
        <f>_xll.BDP(W128&amp;" EQUITY",$N$1)</f>
        <v>33.239699999999999</v>
      </c>
      <c r="Y128" s="812">
        <f>_xll.BDP(W128&amp;" EQUITY",$B$3)*0.01</f>
        <v>1.1969181538171865E-2</v>
      </c>
      <c r="Z128" s="173">
        <v>29.84</v>
      </c>
      <c r="AA128" s="735">
        <f t="shared" si="129"/>
        <v>0.11393096514745316</v>
      </c>
      <c r="AB128" s="173">
        <v>23.59</v>
      </c>
      <c r="AC128" s="735">
        <f t="shared" si="130"/>
        <v>0.4090589232725732</v>
      </c>
      <c r="AK128" s="7"/>
      <c r="AL128" s="7"/>
    </row>
    <row r="129" spans="1:38" ht="15.75" x14ac:dyDescent="0.25">
      <c r="A129" s="20">
        <v>3.5799999999999998E-2</v>
      </c>
      <c r="B129" s="20">
        <v>6.4899999999999999E-2</v>
      </c>
      <c r="C129" s="800">
        <v>4.4999999999999998E-2</v>
      </c>
      <c r="D129" s="266">
        <v>3.7699999999999997E-2</v>
      </c>
      <c r="E129" s="800">
        <v>9.1400000000000009E-2</v>
      </c>
      <c r="F129" s="271">
        <f t="shared" si="122"/>
        <v>-4.6400000000000011E-2</v>
      </c>
      <c r="G129" s="809">
        <f t="shared" si="126"/>
        <v>0</v>
      </c>
      <c r="H129" s="163">
        <f t="shared" ref="H129" si="133">+I129-M129</f>
        <v>0</v>
      </c>
      <c r="I129" s="271">
        <f t="shared" ref="I129" si="134">+M128+N129</f>
        <v>-4.6400000000000004E-2</v>
      </c>
      <c r="L129" s="265">
        <v>45419</v>
      </c>
      <c r="M129" s="266">
        <f>+-0.0464</f>
        <v>-4.6399999999999997E-2</v>
      </c>
      <c r="N129" s="266">
        <v>2.8E-3</v>
      </c>
      <c r="O129" s="842" t="s">
        <v>797</v>
      </c>
      <c r="Q129" s="851">
        <v>3</v>
      </c>
      <c r="R129" t="s">
        <v>524</v>
      </c>
      <c r="W129" s="142" t="s">
        <v>501</v>
      </c>
      <c r="X129" s="584">
        <f>_xll.BDP(W129&amp;" EQUITY",$N$1)</f>
        <v>78.260000000000005</v>
      </c>
      <c r="Y129" s="812">
        <f>_xll.BDP(W129&amp;" EQUITY",$B$3)*0.01</f>
        <v>9.1949913345149726E-3</v>
      </c>
      <c r="Z129" s="2">
        <v>70.81</v>
      </c>
      <c r="AA129" s="735">
        <f t="shared" si="129"/>
        <v>0.10521112837169899</v>
      </c>
      <c r="AB129" s="2">
        <v>64.099999999999994</v>
      </c>
      <c r="AC129" s="735">
        <f t="shared" si="130"/>
        <v>0.22090483619344803</v>
      </c>
      <c r="AK129" s="7"/>
      <c r="AL129" s="7"/>
    </row>
    <row r="130" spans="1:38" ht="15.75" x14ac:dyDescent="0.25">
      <c r="A130" s="20">
        <v>3.9199999999999999E-2</v>
      </c>
      <c r="B130" s="20">
        <v>6.83E-2</v>
      </c>
      <c r="C130" s="800">
        <v>4.7500000000000001E-2</v>
      </c>
      <c r="D130" s="266">
        <v>4.2300000000000004E-2</v>
      </c>
      <c r="E130" s="800">
        <v>9.1499999999999998E-2</v>
      </c>
      <c r="F130" s="271">
        <f t="shared" si="122"/>
        <v>-4.3999999999999997E-2</v>
      </c>
      <c r="G130" s="809">
        <f t="shared" ref="G130:G131" si="135">+F130-M130</f>
        <v>0</v>
      </c>
      <c r="H130" s="163">
        <f t="shared" ref="H130:H131" si="136">+I130-M130</f>
        <v>-1.0000000000000286E-4</v>
      </c>
      <c r="I130" s="271">
        <f t="shared" ref="I130:I131" si="137">+M129+N130</f>
        <v>-4.41E-2</v>
      </c>
      <c r="L130" s="265">
        <v>45420</v>
      </c>
      <c r="M130" s="266">
        <f>+-0.044</f>
        <v>-4.3999999999999997E-2</v>
      </c>
      <c r="N130" s="266">
        <v>2.3E-3</v>
      </c>
      <c r="O130" s="843">
        <f>SUM(N128:N132)</f>
        <v>5.3E-3</v>
      </c>
      <c r="Q130" s="851">
        <v>4</v>
      </c>
      <c r="R130" t="s">
        <v>522</v>
      </c>
      <c r="W130" s="142" t="s">
        <v>502</v>
      </c>
      <c r="X130" s="584">
        <f>_xll.BDP(W130&amp;" EQUITY",$N$1)</f>
        <v>38.741199999999999</v>
      </c>
      <c r="Y130" s="812">
        <f>_xll.BDP(W130&amp;" EQUITY",$B$3)*0.01</f>
        <v>1.1501966975831262E-2</v>
      </c>
      <c r="Z130" s="2">
        <v>35.270000000000003</v>
      </c>
      <c r="AA130" s="735">
        <f t="shared" si="129"/>
        <v>9.8417918911255953E-2</v>
      </c>
      <c r="AB130" s="2">
        <v>31.39</v>
      </c>
      <c r="AC130" s="735">
        <f t="shared" si="130"/>
        <v>0.23418923223956667</v>
      </c>
      <c r="AK130" s="7"/>
      <c r="AL130" s="7"/>
    </row>
    <row r="131" spans="1:38" ht="15.75" x14ac:dyDescent="0.25">
      <c r="A131" s="20">
        <v>4.7800000000000002E-2</v>
      </c>
      <c r="B131" s="20">
        <v>7.6300000000000007E-2</v>
      </c>
      <c r="C131" s="800">
        <v>5.8700000000000002E-2</v>
      </c>
      <c r="D131" s="266">
        <v>5.1499999999999997E-2</v>
      </c>
      <c r="E131" s="800">
        <v>9.7799999999999998E-2</v>
      </c>
      <c r="F131" s="271">
        <f t="shared" si="122"/>
        <v>-3.9099999999999996E-2</v>
      </c>
      <c r="G131" s="809">
        <f t="shared" si="135"/>
        <v>0</v>
      </c>
      <c r="H131" s="163">
        <f t="shared" si="136"/>
        <v>0</v>
      </c>
      <c r="I131" s="271">
        <f t="shared" si="137"/>
        <v>-3.9099999999999996E-2</v>
      </c>
      <c r="L131" s="265">
        <v>45421</v>
      </c>
      <c r="M131" s="266">
        <f>+-0.0391</f>
        <v>-3.9100000000000003E-2</v>
      </c>
      <c r="N131" s="266">
        <v>4.8999999999999998E-3</v>
      </c>
      <c r="O131" s="844"/>
      <c r="Q131" s="851">
        <v>5</v>
      </c>
      <c r="R131" t="s">
        <v>529</v>
      </c>
      <c r="W131" s="142" t="s">
        <v>508</v>
      </c>
      <c r="X131" s="584">
        <f>_xll.BDP(W131&amp;" EQUITY",$N$1)</f>
        <v>72.824299999999994</v>
      </c>
      <c r="Y131" s="812">
        <f>_xll.BDP(W131&amp;" EQUITY",$B$3)*0.01</f>
        <v>2.6364825437177643E-2</v>
      </c>
      <c r="Z131" s="2">
        <v>66.38</v>
      </c>
      <c r="AA131" s="735">
        <f t="shared" si="129"/>
        <v>9.7081952395299709E-2</v>
      </c>
      <c r="AB131" s="2">
        <v>61.95</v>
      </c>
      <c r="AC131" s="735">
        <f t="shared" si="130"/>
        <v>0.17553349475383362</v>
      </c>
    </row>
    <row r="132" spans="1:38" ht="15.75" x14ac:dyDescent="0.25">
      <c r="A132" s="20">
        <v>4.9699999999999994E-2</v>
      </c>
      <c r="B132" s="20">
        <v>7.980000000000001E-2</v>
      </c>
      <c r="C132" s="800">
        <v>6.08E-2</v>
      </c>
      <c r="D132" s="266">
        <v>5.4800000000000001E-2</v>
      </c>
      <c r="E132" s="800">
        <v>9.9199999999999997E-2</v>
      </c>
      <c r="F132" s="271">
        <f t="shared" si="122"/>
        <v>-3.8399999999999997E-2</v>
      </c>
      <c r="G132" s="809">
        <f t="shared" ref="G132" si="138">+F132-M132</f>
        <v>0</v>
      </c>
      <c r="H132" s="163">
        <f t="shared" ref="H132" si="139">+I132-M132</f>
        <v>0</v>
      </c>
      <c r="I132" s="271">
        <f t="shared" ref="I132" si="140">+M131+N132</f>
        <v>-3.8400000000000004E-2</v>
      </c>
      <c r="L132" s="276">
        <v>45422</v>
      </c>
      <c r="M132" s="343">
        <f>+-0.0384</f>
        <v>-3.8399999999999997E-2</v>
      </c>
      <c r="N132" s="343">
        <v>6.9999999999999999E-4</v>
      </c>
      <c r="O132" s="845"/>
      <c r="Q132" s="851">
        <v>6</v>
      </c>
      <c r="R132" t="s">
        <v>527</v>
      </c>
      <c r="W132" s="818" t="s">
        <v>506</v>
      </c>
      <c r="X132" s="584">
        <f>_xll.BDP(W132&amp;" EQUITY",$N$1)</f>
        <v>118.8</v>
      </c>
      <c r="Y132" s="812">
        <f>_xll.BDP(W132&amp;" EQUITY",$B$3)*0.01</f>
        <v>3.4468013429481172E-2</v>
      </c>
      <c r="Z132" s="2">
        <v>111.63</v>
      </c>
      <c r="AA132" s="735">
        <f t="shared" si="129"/>
        <v>6.4230045686643367E-2</v>
      </c>
      <c r="AB132" s="2">
        <v>108.21</v>
      </c>
      <c r="AC132" s="735">
        <f t="shared" si="130"/>
        <v>9.7865261990573993E-2</v>
      </c>
    </row>
    <row r="133" spans="1:38" ht="15.75" x14ac:dyDescent="0.25">
      <c r="A133" s="20">
        <v>5.3100000000000001E-2</v>
      </c>
      <c r="B133" s="20">
        <v>7.9699999999999993E-2</v>
      </c>
      <c r="C133" s="800">
        <v>6.0400000000000002E-2</v>
      </c>
      <c r="D133" s="266">
        <v>5.2699999999999997E-2</v>
      </c>
      <c r="E133" s="800">
        <v>9.9400000000000002E-2</v>
      </c>
      <c r="F133" s="271">
        <f t="shared" si="122"/>
        <v>-3.9E-2</v>
      </c>
      <c r="G133" s="809">
        <f t="shared" ref="G133:G135" si="141">+F133-M133</f>
        <v>0</v>
      </c>
      <c r="H133" s="163">
        <f t="shared" ref="H133:H134" si="142">+I133-M133</f>
        <v>0</v>
      </c>
      <c r="I133" s="271">
        <f t="shared" ref="I133:I134" si="143">+M132+N133</f>
        <v>-3.9E-2</v>
      </c>
      <c r="L133" s="265">
        <v>45425</v>
      </c>
      <c r="M133" s="266">
        <f>+-0.039</f>
        <v>-3.9E-2</v>
      </c>
      <c r="N133" s="266">
        <f>+-0.0006</f>
        <v>-5.9999999999999995E-4</v>
      </c>
      <c r="O133" s="131"/>
      <c r="Q133" s="851">
        <v>7</v>
      </c>
      <c r="R133" t="s">
        <v>512</v>
      </c>
      <c r="W133" s="142" t="s">
        <v>492</v>
      </c>
      <c r="X133" s="584">
        <f>_xll.BDP(W133&amp;" EQUITY",$N$1)</f>
        <v>20.6</v>
      </c>
      <c r="Y133" s="812">
        <f>_xll.BDP(W133&amp;" EQUITY",$B$3)*0.01</f>
        <v>1.9422718911495024E-2</v>
      </c>
      <c r="Z133" s="173">
        <v>19.18</v>
      </c>
      <c r="AA133" s="735">
        <f t="shared" si="129"/>
        <v>7.4035453597497414E-2</v>
      </c>
      <c r="AB133" s="173">
        <v>18.28</v>
      </c>
      <c r="AC133" s="735">
        <f t="shared" si="130"/>
        <v>0.12691466083150993</v>
      </c>
    </row>
    <row r="134" spans="1:38" ht="15.75" x14ac:dyDescent="0.25">
      <c r="A134" s="20">
        <v>5.4800000000000001E-2</v>
      </c>
      <c r="B134" s="20">
        <v>8.3699999999999997E-2</v>
      </c>
      <c r="C134" s="800">
        <v>6.5299999999999997E-2</v>
      </c>
      <c r="D134" s="266">
        <v>5.6000000000000001E-2</v>
      </c>
      <c r="E134" s="800">
        <v>0.10439999999999999</v>
      </c>
      <c r="F134" s="271">
        <f t="shared" si="122"/>
        <v>-3.9099999999999996E-2</v>
      </c>
      <c r="G134" s="809">
        <f t="shared" si="141"/>
        <v>0</v>
      </c>
      <c r="H134" s="163">
        <f t="shared" si="142"/>
        <v>2.0000000000000573E-4</v>
      </c>
      <c r="I134" s="271">
        <f t="shared" si="143"/>
        <v>-3.8899999999999997E-2</v>
      </c>
      <c r="L134" s="265">
        <v>45426</v>
      </c>
      <c r="M134" s="266">
        <f>+-0.0391</f>
        <v>-3.9100000000000003E-2</v>
      </c>
      <c r="N134" s="266">
        <v>1E-4</v>
      </c>
      <c r="O134" s="842" t="s">
        <v>797</v>
      </c>
      <c r="Q134" s="851">
        <v>8</v>
      </c>
      <c r="R134" t="s">
        <v>528</v>
      </c>
      <c r="W134" s="142" t="s">
        <v>507</v>
      </c>
      <c r="X134" s="584">
        <f>_xll.BDP(W134&amp;" EQUITY",$N$1)</f>
        <v>36.1</v>
      </c>
      <c r="Y134" s="812">
        <f>_xll.BDP(W134&amp;" EQUITY",$B$3)*0.01</f>
        <v>3.3994460700291343E-2</v>
      </c>
      <c r="Z134" s="2">
        <v>33.65</v>
      </c>
      <c r="AA134" s="735">
        <f t="shared" si="129"/>
        <v>7.280832095096601E-2</v>
      </c>
      <c r="AB134" s="2">
        <v>32.630000000000003</v>
      </c>
      <c r="AC134" s="735">
        <f t="shared" si="130"/>
        <v>0.1063438553478393</v>
      </c>
    </row>
    <row r="135" spans="1:38" ht="15.75" x14ac:dyDescent="0.25">
      <c r="A135" s="20">
        <v>6.0900000000000003E-2</v>
      </c>
      <c r="B135" s="20">
        <v>9.2399999999999996E-2</v>
      </c>
      <c r="C135" s="800">
        <v>7.46E-2</v>
      </c>
      <c r="D135" s="266">
        <v>6.5500000000000003E-2</v>
      </c>
      <c r="E135" s="800">
        <v>0.11810000000000001</v>
      </c>
      <c r="F135" s="271">
        <f t="shared" si="122"/>
        <v>-4.3500000000000011E-2</v>
      </c>
      <c r="G135" s="809">
        <f t="shared" si="141"/>
        <v>0</v>
      </c>
      <c r="H135" s="163">
        <f t="shared" ref="H135" si="144">+I135-M135</f>
        <v>6.999999999999923E-4</v>
      </c>
      <c r="I135" s="271">
        <f t="shared" ref="I135" si="145">+M134+N135</f>
        <v>-4.2800000000000005E-2</v>
      </c>
      <c r="L135" s="265">
        <v>45427</v>
      </c>
      <c r="M135" s="266">
        <f>+-0.0435</f>
        <v>-4.3499999999999997E-2</v>
      </c>
      <c r="N135" s="266">
        <f>+-0.0037</f>
        <v>-3.7000000000000002E-3</v>
      </c>
      <c r="O135" s="843">
        <f>SUM(N133:N137)</f>
        <v>-1.7999999999999995E-3</v>
      </c>
      <c r="Q135" s="851">
        <v>9</v>
      </c>
      <c r="R135" t="s">
        <v>515</v>
      </c>
      <c r="W135" s="142" t="s">
        <v>495</v>
      </c>
      <c r="X135" s="584">
        <f>_xll.BDP(W135&amp;" EQUITY",$N$1)</f>
        <v>32.78</v>
      </c>
      <c r="Y135" s="812">
        <f>_xll.BDP(W135&amp;" EQUITY",$B$3)*0.01</f>
        <v>1.3383770221759081E-2</v>
      </c>
      <c r="Z135" s="2">
        <v>30.41</v>
      </c>
      <c r="AA135" s="735">
        <f t="shared" si="129"/>
        <v>7.7934889838868759E-2</v>
      </c>
      <c r="AB135" s="2">
        <v>28.94</v>
      </c>
      <c r="AC135" s="735">
        <f t="shared" si="130"/>
        <v>0.13268832066344149</v>
      </c>
      <c r="AE135" s="77"/>
    </row>
    <row r="136" spans="1:38" ht="15.75" x14ac:dyDescent="0.25">
      <c r="A136" s="20">
        <v>5.8900000000000001E-2</v>
      </c>
      <c r="B136" s="20">
        <v>9.1800000000000007E-2</v>
      </c>
      <c r="C136" s="800">
        <v>7.1900000000000006E-2</v>
      </c>
      <c r="D136" s="266">
        <v>6.5500000000000003E-2</v>
      </c>
      <c r="E136" s="800">
        <v>0.1158</v>
      </c>
      <c r="F136" s="271">
        <f t="shared" ref="F136:F137" si="146">+C136-E136</f>
        <v>-4.3899999999999995E-2</v>
      </c>
      <c r="G136" s="809">
        <f t="shared" ref="G136:G137" si="147">+F136-M136</f>
        <v>0</v>
      </c>
      <c r="H136" s="163">
        <f t="shared" ref="H136:H137" si="148">+I136-M136</f>
        <v>1.0000000000000286E-4</v>
      </c>
      <c r="I136" s="271">
        <f t="shared" ref="I136:I137" si="149">+M135+N136</f>
        <v>-4.3799999999999999E-2</v>
      </c>
      <c r="L136" s="265">
        <v>45428</v>
      </c>
      <c r="M136" s="266">
        <f>+-0.0439</f>
        <v>-4.3900000000000002E-2</v>
      </c>
      <c r="N136" s="266">
        <f>+-0.0003</f>
        <v>-2.9999999999999997E-4</v>
      </c>
      <c r="O136" s="844"/>
      <c r="Q136" s="851">
        <v>10</v>
      </c>
      <c r="R136" t="s">
        <v>523</v>
      </c>
      <c r="W136" s="142" t="s">
        <v>503</v>
      </c>
      <c r="X136" s="584">
        <f>_xll.BDP(W136&amp;" EQUITY",$N$1)</f>
        <v>184.08</v>
      </c>
      <c r="Y136" s="812">
        <f>_xll.BDP(W136&amp;" EQUITY",$B$3)*0.01</f>
        <v>1.6714472555171299E-2</v>
      </c>
      <c r="Z136" s="2">
        <v>170.4</v>
      </c>
      <c r="AA136" s="735">
        <f t="shared" si="129"/>
        <v>8.0281690140845186E-2</v>
      </c>
      <c r="AB136" s="2">
        <v>151.85</v>
      </c>
      <c r="AC136" s="735">
        <f t="shared" si="130"/>
        <v>0.21224892986499855</v>
      </c>
      <c r="AD136" s="77"/>
      <c r="AE136" s="77"/>
    </row>
    <row r="137" spans="1:38" ht="15.75" x14ac:dyDescent="0.25">
      <c r="A137" s="20">
        <v>0.06</v>
      </c>
      <c r="B137" s="20">
        <v>9.4600000000000004E-2</v>
      </c>
      <c r="C137" s="800">
        <v>7.690000000000001E-2</v>
      </c>
      <c r="D137" s="266">
        <v>6.9000000000000006E-2</v>
      </c>
      <c r="E137" s="800">
        <v>0.1174</v>
      </c>
      <c r="F137" s="271">
        <f t="shared" si="146"/>
        <v>-4.0499999999999994E-2</v>
      </c>
      <c r="G137" s="809">
        <f t="shared" si="147"/>
        <v>0</v>
      </c>
      <c r="H137" s="163">
        <f t="shared" si="148"/>
        <v>-6.9999999999999923E-4</v>
      </c>
      <c r="I137" s="271">
        <f t="shared" si="149"/>
        <v>-4.1200000000000001E-2</v>
      </c>
      <c r="L137" s="276">
        <v>45429</v>
      </c>
      <c r="M137" s="343">
        <f>+-0.0405</f>
        <v>-4.0500000000000001E-2</v>
      </c>
      <c r="N137" s="343">
        <v>2.7000000000000001E-3</v>
      </c>
      <c r="O137" s="845"/>
      <c r="Q137" s="851">
        <v>11</v>
      </c>
      <c r="R137" t="s">
        <v>517</v>
      </c>
      <c r="V137" s="78"/>
      <c r="W137" s="142" t="s">
        <v>497</v>
      </c>
      <c r="X137" s="584">
        <f>_xll.BDP(W137&amp;" EQUITY",$N$1)</f>
        <v>66.734999999999999</v>
      </c>
      <c r="Y137" s="812">
        <f>_xll.BDP(W137&amp;" EQUITY",$B$3)*0.01</f>
        <v>2.0493714025406978E-2</v>
      </c>
      <c r="Z137" s="2">
        <v>61.53</v>
      </c>
      <c r="AA137" s="735">
        <f t="shared" si="129"/>
        <v>8.459288152120914E-2</v>
      </c>
      <c r="AB137" s="2">
        <v>52.6</v>
      </c>
      <c r="AC137" s="735">
        <f t="shared" si="130"/>
        <v>0.26872623574144483</v>
      </c>
      <c r="AD137" s="77"/>
      <c r="AE137" s="77"/>
    </row>
    <row r="138" spans="1:38" ht="15.75" x14ac:dyDescent="0.25">
      <c r="A138" s="20">
        <v>5.4699999999999999E-2</v>
      </c>
      <c r="B138" s="20">
        <v>8.8800000000000004E-2</v>
      </c>
      <c r="C138" s="800">
        <v>6.7500000000000004E-2</v>
      </c>
      <c r="D138" s="266">
        <v>6.4000000000000001E-2</v>
      </c>
      <c r="E138" s="800">
        <v>0.1187</v>
      </c>
      <c r="F138" s="271">
        <f t="shared" ref="F138:F139" si="150">+C138-E138</f>
        <v>-5.1199999999999996E-2</v>
      </c>
      <c r="G138" s="809">
        <f t="shared" ref="G138:G139" si="151">+F138-M138</f>
        <v>0</v>
      </c>
      <c r="H138" s="163">
        <f t="shared" ref="H138:H139" si="152">+I138-M138</f>
        <v>1.1999999999999997E-3</v>
      </c>
      <c r="I138" s="271">
        <f t="shared" ref="I138:I139" si="153">+M137+N138</f>
        <v>-0.05</v>
      </c>
      <c r="L138" s="265">
        <v>45432</v>
      </c>
      <c r="M138" s="266">
        <f>+-0.0512</f>
        <v>-5.1200000000000002E-2</v>
      </c>
      <c r="N138" s="266">
        <f>+-0.0095</f>
        <v>-9.4999999999999998E-3</v>
      </c>
      <c r="O138" s="131"/>
      <c r="Q138" s="851">
        <v>12</v>
      </c>
      <c r="R138" t="s">
        <v>525</v>
      </c>
      <c r="W138" s="142" t="s">
        <v>504</v>
      </c>
      <c r="X138" s="584">
        <f>_xll.BDP(W138&amp;" EQUITY",$N$1)</f>
        <v>50.28</v>
      </c>
      <c r="Y138" s="812">
        <f>_xll.BDP(W138&amp;" EQUITY",$B$3)*0.01</f>
        <v>1.6420048290334624E-2</v>
      </c>
      <c r="Z138" s="2">
        <v>46.23</v>
      </c>
      <c r="AA138" s="735">
        <f t="shared" si="129"/>
        <v>8.7605451005840385E-2</v>
      </c>
      <c r="AB138" s="2">
        <v>41.21</v>
      </c>
      <c r="AC138" s="735">
        <f t="shared" si="130"/>
        <v>0.22009221062848816</v>
      </c>
      <c r="AD138" s="77"/>
      <c r="AE138" s="77"/>
    </row>
    <row r="139" spans="1:38" ht="15.75" x14ac:dyDescent="0.25">
      <c r="A139" s="20">
        <v>5.1799999999999999E-2</v>
      </c>
      <c r="B139" s="20">
        <v>9.01E-2</v>
      </c>
      <c r="C139" s="800">
        <v>6.8400000000000002E-2</v>
      </c>
      <c r="D139" s="266">
        <v>6.5799999999999997E-2</v>
      </c>
      <c r="E139" s="800">
        <v>0.12140000000000001</v>
      </c>
      <c r="F139" s="271">
        <f t="shared" si="150"/>
        <v>-5.3000000000000005E-2</v>
      </c>
      <c r="G139" s="809">
        <f t="shared" si="151"/>
        <v>9.9999999999995925E-5</v>
      </c>
      <c r="H139" s="163">
        <f t="shared" si="152"/>
        <v>3.0000000000000165E-4</v>
      </c>
      <c r="I139" s="271">
        <f t="shared" si="153"/>
        <v>-5.28E-2</v>
      </c>
      <c r="L139" s="265">
        <v>45433</v>
      </c>
      <c r="M139" s="266">
        <f>+-0.0531</f>
        <v>-5.3100000000000001E-2</v>
      </c>
      <c r="N139" s="266">
        <f>+-0.0016</f>
        <v>-1.6000000000000001E-3</v>
      </c>
      <c r="O139" s="842" t="s">
        <v>797</v>
      </c>
      <c r="Q139" s="851">
        <v>13</v>
      </c>
      <c r="R139" t="s">
        <v>514</v>
      </c>
      <c r="V139" s="78"/>
      <c r="W139" s="142" t="s">
        <v>494</v>
      </c>
      <c r="X139" s="584">
        <f>_xll.BDP(W139&amp;" EQUITY",$N$1)</f>
        <v>30.03</v>
      </c>
      <c r="Y139" s="812">
        <f>_xll.BDP(W139&amp;" EQUITY",$B$3)*0.01</f>
        <v>1.5612787657327111E-2</v>
      </c>
      <c r="Z139" s="173">
        <v>27.87</v>
      </c>
      <c r="AA139" s="735">
        <f t="shared" si="129"/>
        <v>7.7502691065661988E-2</v>
      </c>
      <c r="AB139" s="173">
        <v>26.74</v>
      </c>
      <c r="AC139" s="735">
        <f t="shared" si="130"/>
        <v>0.12303664921465973</v>
      </c>
      <c r="AD139" s="77"/>
      <c r="AE139" s="77"/>
    </row>
    <row r="140" spans="1:38" ht="15.75" x14ac:dyDescent="0.25">
      <c r="A140" s="20">
        <v>4.8300000000000003E-2</v>
      </c>
      <c r="B140" s="20">
        <v>8.6199999999999999E-2</v>
      </c>
      <c r="C140" s="800">
        <v>6.1699999999999998E-2</v>
      </c>
      <c r="D140" s="266">
        <v>6.0400000000000002E-2</v>
      </c>
      <c r="E140" s="800">
        <v>0.1182</v>
      </c>
      <c r="F140" s="271">
        <f t="shared" ref="F140:F142" si="154">+C140-E140</f>
        <v>-5.6500000000000002E-2</v>
      </c>
      <c r="G140" s="809">
        <f t="shared" ref="G140" si="155">+F140-M140</f>
        <v>0</v>
      </c>
      <c r="H140" s="163">
        <f t="shared" ref="H140" si="156">+I140-M140</f>
        <v>0</v>
      </c>
      <c r="I140" s="271">
        <f t="shared" ref="I140" si="157">+M139+N140</f>
        <v>-5.6500000000000002E-2</v>
      </c>
      <c r="L140" s="265">
        <v>45434</v>
      </c>
      <c r="M140" s="266">
        <f>+-0.0565</f>
        <v>-5.6500000000000002E-2</v>
      </c>
      <c r="N140" s="266">
        <v>-3.3999999999999998E-3</v>
      </c>
      <c r="O140" s="843">
        <f>SUM(N138:N142)</f>
        <v>-2.47E-2</v>
      </c>
      <c r="Q140" s="851">
        <v>14</v>
      </c>
      <c r="R140" t="s">
        <v>530</v>
      </c>
      <c r="W140" s="142" t="s">
        <v>509</v>
      </c>
      <c r="X140" s="584">
        <f>_xll.BDP(W140&amp;" EQUITY",$N$1)</f>
        <v>46.704999999999998</v>
      </c>
      <c r="Y140" s="812">
        <f>_xll.BDP(W140&amp;" EQUITY",$B$3)*0.01</f>
        <v>4.624772692068705E-2</v>
      </c>
      <c r="Z140" s="2">
        <v>45.69</v>
      </c>
      <c r="AA140" s="735">
        <f t="shared" si="129"/>
        <v>2.221492667979863E-2</v>
      </c>
      <c r="AB140" s="2">
        <v>41.14</v>
      </c>
      <c r="AC140" s="735">
        <f t="shared" si="130"/>
        <v>0.13526981040350017</v>
      </c>
      <c r="AD140" s="77"/>
      <c r="AE140" s="77"/>
    </row>
    <row r="141" spans="1:38" ht="15.75" x14ac:dyDescent="0.25">
      <c r="A141" s="20">
        <v>3.2199999999999999E-2</v>
      </c>
      <c r="B141" s="20">
        <v>7.17E-2</v>
      </c>
      <c r="C141" s="800">
        <v>4.7599999999999996E-2</v>
      </c>
      <c r="D141" s="266">
        <v>4.4299999999999999E-2</v>
      </c>
      <c r="E141" s="800">
        <v>0.11</v>
      </c>
      <c r="F141" s="271">
        <f t="shared" si="154"/>
        <v>-6.2400000000000004E-2</v>
      </c>
      <c r="G141" s="809">
        <f t="shared" ref="G141:G142" si="158">+F141-M141</f>
        <v>9.9999999999995925E-5</v>
      </c>
      <c r="H141" s="163">
        <f t="shared" ref="H141" si="159">+I141-M141</f>
        <v>0</v>
      </c>
      <c r="I141" s="271">
        <f t="shared" ref="I141" si="160">+M140+N141</f>
        <v>-6.25E-2</v>
      </c>
      <c r="L141" s="265">
        <v>45435</v>
      </c>
      <c r="M141" s="266">
        <f>+-0.0625</f>
        <v>-6.25E-2</v>
      </c>
      <c r="N141" s="266">
        <f>+-0.006</f>
        <v>-6.0000000000000001E-3</v>
      </c>
      <c r="O141" s="844"/>
      <c r="Q141" s="851">
        <v>15</v>
      </c>
      <c r="R141" t="s">
        <v>520</v>
      </c>
      <c r="W141" s="142" t="s">
        <v>500</v>
      </c>
      <c r="X141" s="584">
        <f>_xll.BDP(W141&amp;" EQUITY",$N$1)</f>
        <v>127.85</v>
      </c>
      <c r="Y141" s="812">
        <f>_xll.BDP(W141&amp;" EQUITY",$B$3)*0.01</f>
        <v>2.6873617280401382E-2</v>
      </c>
      <c r="Z141" s="2">
        <v>124.97</v>
      </c>
      <c r="AA141" s="735">
        <f t="shared" si="129"/>
        <v>2.3045530927422453E-2</v>
      </c>
      <c r="AB141" s="2">
        <v>125.11</v>
      </c>
      <c r="AC141" s="735">
        <f t="shared" si="130"/>
        <v>2.1900727359923211E-2</v>
      </c>
      <c r="AD141" s="77"/>
      <c r="AE141" s="77"/>
    </row>
    <row r="142" spans="1:38" ht="15.75" x14ac:dyDescent="0.25">
      <c r="A142" s="20">
        <v>3.3799999999999997E-2</v>
      </c>
      <c r="B142" s="20">
        <v>7.5399999999999995E-2</v>
      </c>
      <c r="C142" s="800">
        <v>5.0099999999999999E-2</v>
      </c>
      <c r="D142" s="266">
        <v>4.4400000000000002E-2</v>
      </c>
      <c r="E142" s="800">
        <v>0.1174</v>
      </c>
      <c r="F142" s="271">
        <f t="shared" si="154"/>
        <v>-6.7299999999999999E-2</v>
      </c>
      <c r="G142" s="809">
        <f t="shared" si="158"/>
        <v>0</v>
      </c>
      <c r="I142" s="2"/>
      <c r="L142" s="276">
        <v>45436</v>
      </c>
      <c r="M142" s="343">
        <f>+-0.0673</f>
        <v>-6.7299999999999999E-2</v>
      </c>
      <c r="N142" s="343">
        <f>+-0.0042</f>
        <v>-4.1999999999999997E-3</v>
      </c>
      <c r="O142" s="845"/>
      <c r="Q142" s="851">
        <v>16</v>
      </c>
      <c r="R142" t="s">
        <v>526</v>
      </c>
      <c r="W142" s="142" t="s">
        <v>505</v>
      </c>
      <c r="X142" s="584">
        <f>_xll.BDP(W142&amp;" EQUITY",$N$1)</f>
        <v>39.119999999999997</v>
      </c>
      <c r="Y142" s="812">
        <f>_xll.BDP(W142&amp;" EQUITY",$B$3)*0.01</f>
        <v>2.520449901407238E-3</v>
      </c>
      <c r="Z142" s="2">
        <v>37.21</v>
      </c>
      <c r="AA142" s="735">
        <f t="shared" si="129"/>
        <v>5.1330287557108223E-2</v>
      </c>
      <c r="AB142" s="2">
        <v>35.229999999999997</v>
      </c>
      <c r="AC142" s="735">
        <f t="shared" si="130"/>
        <v>0.11041725801873414</v>
      </c>
      <c r="AD142" s="77"/>
      <c r="AE142" s="77"/>
    </row>
    <row r="143" spans="1:38" ht="15.75" x14ac:dyDescent="0.25">
      <c r="A143" s="20"/>
      <c r="B143" s="20"/>
      <c r="C143" s="800"/>
      <c r="D143" s="266"/>
      <c r="E143" s="800"/>
      <c r="F143" s="271"/>
      <c r="G143" s="809"/>
      <c r="I143" s="2"/>
      <c r="L143" s="265">
        <v>45439</v>
      </c>
      <c r="M143" s="266"/>
      <c r="N143" s="266" t="s">
        <v>171</v>
      </c>
      <c r="O143" s="131"/>
      <c r="Q143" s="851">
        <v>17</v>
      </c>
      <c r="R143" t="s">
        <v>519</v>
      </c>
      <c r="V143" s="78"/>
      <c r="W143" s="818" t="s">
        <v>499</v>
      </c>
      <c r="X143" s="584">
        <f>_xll.BDP(W143&amp;" EQUITY",$N$1)</f>
        <v>78.559700000000007</v>
      </c>
      <c r="Y143" s="812">
        <f>_xll.BDP(W143&amp;" EQUITY",$B$3)*0.01</f>
        <v>3.1110098507530527E-2</v>
      </c>
      <c r="Z143" s="2">
        <v>76.13</v>
      </c>
      <c r="AA143" s="735">
        <f t="shared" si="129"/>
        <v>3.19151451464601E-2</v>
      </c>
      <c r="AB143" s="2">
        <v>75.540000000000006</v>
      </c>
      <c r="AC143" s="735">
        <f t="shared" si="130"/>
        <v>3.9974847762774601E-2</v>
      </c>
      <c r="AD143" s="77"/>
      <c r="AE143" s="77"/>
    </row>
    <row r="144" spans="1:38" ht="15.75" x14ac:dyDescent="0.25">
      <c r="A144" s="20">
        <v>2.5100000000000001E-2</v>
      </c>
      <c r="B144" s="20">
        <v>6.93E-2</v>
      </c>
      <c r="C144" s="800">
        <v>4.4400000000000002E-2</v>
      </c>
      <c r="D144" s="266">
        <v>3.8600000000000002E-2</v>
      </c>
      <c r="E144" s="800">
        <v>0.11810000000000001</v>
      </c>
      <c r="F144" s="271">
        <f t="shared" ref="F144:F148" si="161">+C144-E144</f>
        <v>-7.3700000000000015E-2</v>
      </c>
      <c r="G144" s="809">
        <f t="shared" ref="G144:G145" si="162">+F144-M144</f>
        <v>9.9999999999988987E-5</v>
      </c>
      <c r="H144" s="163">
        <f t="shared" ref="H144:H145" si="163">+I144-M144</f>
        <v>3.0000000000000859E-4</v>
      </c>
      <c r="I144" s="271">
        <f>+M142+N144</f>
        <v>-7.3499999999999996E-2</v>
      </c>
      <c r="L144" s="265">
        <v>45440</v>
      </c>
      <c r="M144" s="266">
        <f>+-0.0738</f>
        <v>-7.3800000000000004E-2</v>
      </c>
      <c r="N144" s="266">
        <f>+-0.0062</f>
        <v>-6.1999999999999998E-3</v>
      </c>
      <c r="O144" s="842" t="s">
        <v>797</v>
      </c>
      <c r="Q144" s="851">
        <v>18</v>
      </c>
      <c r="R144" t="s">
        <v>511</v>
      </c>
      <c r="W144" s="142" t="s">
        <v>510</v>
      </c>
      <c r="X144" s="584">
        <f>_xll.BDP(W144&amp;" EQUITY",$N$1)</f>
        <v>30.65</v>
      </c>
      <c r="Y144" s="812">
        <f>_xll.BDP(W144&amp;" EQUITY",$B$3)*0.01</f>
        <v>4.8939641109298535E-2</v>
      </c>
      <c r="Z144" s="2">
        <v>32.17</v>
      </c>
      <c r="AA144" s="735">
        <f t="shared" si="129"/>
        <v>-4.7248989741995762E-2</v>
      </c>
      <c r="AB144" s="2">
        <v>28.44</v>
      </c>
      <c r="AC144" s="735">
        <f t="shared" si="130"/>
        <v>7.7707454289732691E-2</v>
      </c>
      <c r="AD144" s="77"/>
      <c r="AE144" s="77"/>
    </row>
    <row r="145" spans="1:31" ht="15.75" x14ac:dyDescent="0.25">
      <c r="A145" s="20">
        <v>1.15E-2</v>
      </c>
      <c r="B145" s="20">
        <v>5.7700000000000001E-2</v>
      </c>
      <c r="C145" s="800">
        <v>3.4700000000000002E-2</v>
      </c>
      <c r="D145" s="266">
        <v>2.76E-2</v>
      </c>
      <c r="E145" s="800">
        <v>0.1103</v>
      </c>
      <c r="F145" s="271">
        <f t="shared" si="161"/>
        <v>-7.5600000000000001E-2</v>
      </c>
      <c r="G145" s="809">
        <f t="shared" si="162"/>
        <v>0</v>
      </c>
      <c r="H145" s="163">
        <f t="shared" si="163"/>
        <v>-3.9999999999999758E-4</v>
      </c>
      <c r="I145" s="271">
        <f t="shared" ref="I145:I150" si="164">+M144+N145</f>
        <v>-7.5999999999999998E-2</v>
      </c>
      <c r="L145" s="265">
        <v>45441</v>
      </c>
      <c r="M145" s="266">
        <f>+-0.0756</f>
        <v>-7.5600000000000001E-2</v>
      </c>
      <c r="N145" s="266">
        <f>+-0.0022</f>
        <v>-2.2000000000000001E-3</v>
      </c>
      <c r="O145" s="843">
        <f>SUM(N143:N147)</f>
        <v>1.1900000000000001E-2</v>
      </c>
      <c r="Q145" s="852">
        <v>19</v>
      </c>
      <c r="R145" s="34" t="s">
        <v>518</v>
      </c>
      <c r="S145" s="34"/>
      <c r="T145" s="34"/>
      <c r="U145" s="34"/>
      <c r="V145" s="34"/>
      <c r="W145" s="739" t="s">
        <v>498</v>
      </c>
      <c r="X145" s="586">
        <f>_xll.BDP(W145&amp;" EQUITY",$N$1)</f>
        <v>35.862200000000001</v>
      </c>
      <c r="Y145" s="813">
        <f>_xll.BDP(W145&amp;" EQUITY",$B$3)*0.01</f>
        <v>4.3939188164383601E-2</v>
      </c>
      <c r="Z145" s="97">
        <v>36.35</v>
      </c>
      <c r="AA145" s="736">
        <f t="shared" si="129"/>
        <v>-1.3419532324621786E-2</v>
      </c>
      <c r="AB145" s="97">
        <v>38.04</v>
      </c>
      <c r="AC145" s="736">
        <f t="shared" si="130"/>
        <v>-5.7250262881177627E-2</v>
      </c>
      <c r="AD145" s="77"/>
      <c r="AE145" s="77"/>
    </row>
    <row r="146" spans="1:31" x14ac:dyDescent="0.25">
      <c r="A146" s="20">
        <v>2.12E-2</v>
      </c>
      <c r="B146" s="20">
        <v>6.3700000000000007E-2</v>
      </c>
      <c r="C146" s="800">
        <v>4.2800000000000005E-2</v>
      </c>
      <c r="D146" s="266">
        <v>1.9699999999999999E-2</v>
      </c>
      <c r="E146" s="800">
        <v>0.10300000000000001</v>
      </c>
      <c r="F146" s="271">
        <f t="shared" si="161"/>
        <v>-6.0200000000000004E-2</v>
      </c>
      <c r="G146" s="809">
        <f t="shared" ref="G146:G148" si="165">+F146-M146</f>
        <v>-1.0000000000000286E-4</v>
      </c>
      <c r="H146" s="163">
        <f t="shared" ref="H146:H147" si="166">+I146-M146</f>
        <v>-1.0000000000000009E-3</v>
      </c>
      <c r="I146" s="271">
        <f t="shared" si="164"/>
        <v>-6.1100000000000002E-2</v>
      </c>
      <c r="L146" s="265">
        <v>45442</v>
      </c>
      <c r="M146" s="266">
        <f>+-0.0601</f>
        <v>-6.0100000000000001E-2</v>
      </c>
      <c r="N146" s="266">
        <v>1.4500000000000001E-2</v>
      </c>
      <c r="O146" s="844"/>
      <c r="Q146"/>
      <c r="AD146" s="77"/>
      <c r="AE146" s="77"/>
    </row>
    <row r="147" spans="1:31" x14ac:dyDescent="0.25">
      <c r="A147" s="20">
        <v>0.04</v>
      </c>
      <c r="B147" s="20">
        <v>8.1000000000000003E-2</v>
      </c>
      <c r="C147" s="800">
        <v>5.8400000000000001E-2</v>
      </c>
      <c r="D147" s="266">
        <v>3.5200000000000002E-2</v>
      </c>
      <c r="E147" s="800">
        <v>0.113</v>
      </c>
      <c r="F147" s="271">
        <f t="shared" si="161"/>
        <v>-5.4600000000000003E-2</v>
      </c>
      <c r="G147" s="809">
        <f t="shared" si="165"/>
        <v>0</v>
      </c>
      <c r="H147" s="163">
        <f t="shared" si="166"/>
        <v>3.0000000000000165E-4</v>
      </c>
      <c r="I147" s="271">
        <f t="shared" si="164"/>
        <v>-5.4300000000000001E-2</v>
      </c>
      <c r="L147" s="276">
        <v>45443</v>
      </c>
      <c r="M147" s="343">
        <f>+-0.0546</f>
        <v>-5.4600000000000003E-2</v>
      </c>
      <c r="N147" s="343">
        <v>5.7999999999999996E-3</v>
      </c>
      <c r="O147" s="845"/>
      <c r="Q147"/>
      <c r="AD147" s="77"/>
      <c r="AE147" s="77"/>
    </row>
    <row r="148" spans="1:31" x14ac:dyDescent="0.25">
      <c r="A148" s="20">
        <v>3.4299999999999997E-2</v>
      </c>
      <c r="B148" s="20">
        <v>7.3099999999999998E-2</v>
      </c>
      <c r="C148" s="800">
        <v>5.2499999999999998E-2</v>
      </c>
      <c r="D148" s="266">
        <v>3.2500000000000001E-2</v>
      </c>
      <c r="E148" s="800">
        <v>0.1139</v>
      </c>
      <c r="F148" s="271">
        <f t="shared" si="161"/>
        <v>-6.1400000000000003E-2</v>
      </c>
      <c r="G148" s="809">
        <f t="shared" si="165"/>
        <v>0</v>
      </c>
      <c r="H148" s="163">
        <f t="shared" ref="H148" si="167">+I148-M148</f>
        <v>3.9999999999999758E-4</v>
      </c>
      <c r="I148" s="271">
        <f t="shared" si="164"/>
        <v>-6.1000000000000006E-2</v>
      </c>
      <c r="L148" s="265">
        <v>45446</v>
      </c>
      <c r="M148" s="266">
        <f>+-0.0614</f>
        <v>-6.1400000000000003E-2</v>
      </c>
      <c r="N148" s="266">
        <f>+-0.0064</f>
        <v>-6.4000000000000003E-3</v>
      </c>
      <c r="O148" s="131"/>
      <c r="Q148"/>
      <c r="AD148" s="77"/>
      <c r="AE148" s="77"/>
    </row>
    <row r="149" spans="1:31" x14ac:dyDescent="0.25">
      <c r="A149" s="20">
        <v>3.4799999999999998E-2</v>
      </c>
      <c r="B149" s="20">
        <v>7.0099999999999996E-2</v>
      </c>
      <c r="C149" s="800">
        <v>5.2299999999999999E-2</v>
      </c>
      <c r="D149" s="266">
        <v>3.6200000000000003E-2</v>
      </c>
      <c r="E149" s="800">
        <v>0.1152</v>
      </c>
      <c r="F149" s="271">
        <f t="shared" ref="F149:F151" si="168">+C149-E149</f>
        <v>-6.2899999999999998E-2</v>
      </c>
      <c r="G149" s="809">
        <f t="shared" ref="G149:G150" si="169">+F149-M149</f>
        <v>-1.0000000000000286E-4</v>
      </c>
      <c r="H149" s="163">
        <f t="shared" ref="H149" si="170">+I149-M149</f>
        <v>9.9999999999988987E-5</v>
      </c>
      <c r="I149" s="271">
        <f t="shared" si="164"/>
        <v>-6.2700000000000006E-2</v>
      </c>
      <c r="L149" s="265">
        <v>45447</v>
      </c>
      <c r="M149" s="266">
        <f>+-0.0628</f>
        <v>-6.2799999999999995E-2</v>
      </c>
      <c r="N149" s="266">
        <f>+-0.0013</f>
        <v>-1.2999999999999999E-3</v>
      </c>
      <c r="O149" s="842" t="s">
        <v>797</v>
      </c>
      <c r="Q149"/>
      <c r="AD149" s="77"/>
      <c r="AE149" s="77"/>
    </row>
    <row r="150" spans="1:31" x14ac:dyDescent="0.25">
      <c r="A150" s="20">
        <v>3.44E-2</v>
      </c>
      <c r="B150" s="20">
        <v>7.4499999999999997E-2</v>
      </c>
      <c r="C150" s="800">
        <v>5.04E-2</v>
      </c>
      <c r="D150" s="266">
        <v>3.8800000000000001E-2</v>
      </c>
      <c r="E150" s="800">
        <v>0.12839999999999999</v>
      </c>
      <c r="F150" s="271">
        <f t="shared" si="168"/>
        <v>-7.7999999999999986E-2</v>
      </c>
      <c r="G150" s="809">
        <f t="shared" si="169"/>
        <v>0</v>
      </c>
      <c r="H150" s="163">
        <f t="shared" ref="H150" si="171">+I150-M150</f>
        <v>1.5000000000000013E-3</v>
      </c>
      <c r="I150" s="271">
        <f t="shared" si="164"/>
        <v>-7.6499999999999999E-2</v>
      </c>
      <c r="L150" s="265">
        <v>45448</v>
      </c>
      <c r="M150" s="266">
        <f>+-0.078</f>
        <v>-7.8E-2</v>
      </c>
      <c r="N150" s="266">
        <f>+-0.0137</f>
        <v>-1.37E-2</v>
      </c>
      <c r="O150" s="843">
        <f>SUM(N148:N152)</f>
        <v>-2.1600000000000005E-2</v>
      </c>
      <c r="Q150"/>
      <c r="AD150" s="77"/>
      <c r="AE150" s="77"/>
    </row>
    <row r="151" spans="1:31" x14ac:dyDescent="0.25">
      <c r="A151" s="20">
        <v>3.3500000000000002E-2</v>
      </c>
      <c r="B151" s="20">
        <v>7.2700000000000001E-2</v>
      </c>
      <c r="C151" s="800">
        <v>5.1200000000000002E-2</v>
      </c>
      <c r="D151" s="266">
        <v>4.0899999999999999E-2</v>
      </c>
      <c r="E151" s="800">
        <v>0.12839999999999999</v>
      </c>
      <c r="F151" s="271">
        <f t="shared" si="168"/>
        <v>-7.7199999999999991E-2</v>
      </c>
      <c r="G151" s="809">
        <f t="shared" ref="G151:G153" si="172">+F151-M151</f>
        <v>0</v>
      </c>
      <c r="H151" s="163">
        <f t="shared" ref="H151:H153" si="173">+I151-M151</f>
        <v>0</v>
      </c>
      <c r="I151" s="271">
        <f t="shared" ref="I151:I153" si="174">+M150+N151</f>
        <v>-7.7200000000000005E-2</v>
      </c>
      <c r="L151" s="265">
        <v>45449</v>
      </c>
      <c r="M151" s="266">
        <f>+-0.0772</f>
        <v>-7.7200000000000005E-2</v>
      </c>
      <c r="N151" s="266">
        <v>8.0000000000000004E-4</v>
      </c>
      <c r="O151" s="844"/>
      <c r="Q151"/>
      <c r="AD151" s="77"/>
      <c r="AE151" s="77"/>
    </row>
    <row r="152" spans="1:31" x14ac:dyDescent="0.25">
      <c r="A152" s="20">
        <v>3.1E-2</v>
      </c>
      <c r="B152" s="20">
        <v>7.1300000000000002E-2</v>
      </c>
      <c r="C152" s="800">
        <v>4.8800000000000003E-2</v>
      </c>
      <c r="D152" s="266">
        <v>3.8600000000000002E-2</v>
      </c>
      <c r="E152" s="800">
        <v>0.127</v>
      </c>
      <c r="F152" s="271">
        <f t="shared" ref="F152:F155" si="175">+C152-E152</f>
        <v>-7.8199999999999992E-2</v>
      </c>
      <c r="G152" s="809">
        <f t="shared" si="172"/>
        <v>0</v>
      </c>
      <c r="H152" s="163">
        <f t="shared" si="173"/>
        <v>0</v>
      </c>
      <c r="I152" s="271">
        <f t="shared" si="174"/>
        <v>-7.8200000000000006E-2</v>
      </c>
      <c r="L152" s="276">
        <v>45450</v>
      </c>
      <c r="M152" s="343">
        <f>+-0.0782</f>
        <v>-7.8200000000000006E-2</v>
      </c>
      <c r="N152" s="343">
        <f>+-0.001</f>
        <v>-1E-3</v>
      </c>
      <c r="O152" s="845"/>
      <c r="Q152"/>
      <c r="AD152" s="77"/>
      <c r="AE152" s="77"/>
    </row>
    <row r="153" spans="1:31" x14ac:dyDescent="0.25">
      <c r="A153" s="20">
        <v>2.9399999999999999E-2</v>
      </c>
      <c r="B153" s="20">
        <v>7.3999999999999996E-2</v>
      </c>
      <c r="C153" s="800">
        <v>5.0599999999999999E-2</v>
      </c>
      <c r="D153" s="266">
        <v>4.0599999999999997E-2</v>
      </c>
      <c r="E153" s="800">
        <v>0.1305</v>
      </c>
      <c r="F153" s="271">
        <f t="shared" si="175"/>
        <v>-7.9899999999999999E-2</v>
      </c>
      <c r="G153" s="809">
        <f t="shared" si="172"/>
        <v>0</v>
      </c>
      <c r="H153" s="163">
        <f t="shared" si="173"/>
        <v>2.9999999999999472E-4</v>
      </c>
      <c r="I153" s="271">
        <f t="shared" si="174"/>
        <v>-7.9600000000000004E-2</v>
      </c>
      <c r="L153" s="265">
        <v>45453</v>
      </c>
      <c r="M153" s="266">
        <f>+-0.0799</f>
        <v>-7.9899999999999999E-2</v>
      </c>
      <c r="N153" s="266">
        <f>+-0.0014</f>
        <v>-1.4E-3</v>
      </c>
      <c r="O153" s="131"/>
      <c r="Q153"/>
      <c r="AD153" s="77"/>
      <c r="AE153" s="77"/>
    </row>
    <row r="154" spans="1:31" x14ac:dyDescent="0.25">
      <c r="A154" s="20">
        <v>2.58E-2</v>
      </c>
      <c r="B154" s="20">
        <v>6.7599999999999993E-2</v>
      </c>
      <c r="C154" s="800">
        <v>4.36E-2</v>
      </c>
      <c r="D154" s="266">
        <v>3.7400000000000003E-2</v>
      </c>
      <c r="E154" s="800">
        <v>0.13320000000000001</v>
      </c>
      <c r="F154" s="271">
        <f t="shared" si="175"/>
        <v>-8.9600000000000013E-2</v>
      </c>
      <c r="G154" s="809">
        <f t="shared" ref="G154:G155" si="176">+F154-M154</f>
        <v>0</v>
      </c>
      <c r="H154" s="163">
        <f t="shared" ref="H154:H155" si="177">+I154-M154</f>
        <v>7.0000000000000617E-4</v>
      </c>
      <c r="I154" s="271">
        <f t="shared" ref="I154:I155" si="178">+M153+N154</f>
        <v>-8.8899999999999993E-2</v>
      </c>
      <c r="L154" s="265">
        <v>45454</v>
      </c>
      <c r="M154" s="266">
        <f>+-0.0896</f>
        <v>-8.9599999999999999E-2</v>
      </c>
      <c r="N154" s="266">
        <f>+-0.009</f>
        <v>-8.9999999999999993E-3</v>
      </c>
      <c r="O154" s="842" t="s">
        <v>797</v>
      </c>
      <c r="Q154"/>
      <c r="AD154" s="77"/>
      <c r="AE154" s="77"/>
    </row>
    <row r="155" spans="1:31" x14ac:dyDescent="0.25">
      <c r="A155" s="20">
        <v>2.5100000000000001E-2</v>
      </c>
      <c r="B155" s="20">
        <v>6.7299999999999999E-2</v>
      </c>
      <c r="C155" s="800">
        <v>4.6399999999999997E-2</v>
      </c>
      <c r="D155" s="266">
        <v>3.6400000000000002E-2</v>
      </c>
      <c r="E155" s="800">
        <v>0.14249999999999999</v>
      </c>
      <c r="F155" s="271">
        <f t="shared" si="175"/>
        <v>-9.6099999999999991E-2</v>
      </c>
      <c r="G155" s="809">
        <f t="shared" si="176"/>
        <v>0</v>
      </c>
      <c r="H155" s="163">
        <f t="shared" si="177"/>
        <v>9.000000000000119E-4</v>
      </c>
      <c r="I155" s="271">
        <f t="shared" si="178"/>
        <v>-9.5199999999999993E-2</v>
      </c>
      <c r="L155" s="265">
        <v>45455</v>
      </c>
      <c r="M155" s="266">
        <f>+-0.0961</f>
        <v>-9.6100000000000005E-2</v>
      </c>
      <c r="N155" s="266">
        <f>+-0.0056</f>
        <v>-5.5999999999999999E-3</v>
      </c>
      <c r="O155" s="843">
        <f>SUM(N153:N157)</f>
        <v>-1.9100000000000002E-2</v>
      </c>
      <c r="Q155"/>
      <c r="AD155" s="77"/>
      <c r="AE155" s="77"/>
    </row>
    <row r="156" spans="1:31" x14ac:dyDescent="0.25">
      <c r="A156" s="20">
        <v>2.07E-2</v>
      </c>
      <c r="B156" s="20">
        <v>7.0199999999999999E-2</v>
      </c>
      <c r="C156" s="800">
        <v>4.6799999999999994E-2</v>
      </c>
      <c r="D156" s="266">
        <v>3.4700000000000002E-2</v>
      </c>
      <c r="E156" s="800">
        <v>0.14480000000000001</v>
      </c>
      <c r="F156" s="271">
        <f t="shared" ref="F156:F159" si="179">+C156-E156</f>
        <v>-9.8000000000000018E-2</v>
      </c>
      <c r="G156" s="809">
        <f t="shared" ref="G156:G159" si="180">+F156-M156</f>
        <v>0</v>
      </c>
      <c r="H156" s="163">
        <f t="shared" ref="H156:H158" si="181">+I156-M156</f>
        <v>2.9999999999999472E-4</v>
      </c>
      <c r="I156" s="271">
        <f t="shared" ref="I156:I158" si="182">+M155+N156</f>
        <v>-9.7700000000000009E-2</v>
      </c>
      <c r="L156" s="265">
        <v>45456</v>
      </c>
      <c r="M156" s="266">
        <f>+-0.098</f>
        <v>-9.8000000000000004E-2</v>
      </c>
      <c r="N156" s="266">
        <f>+-0.0016</f>
        <v>-1.6000000000000001E-3</v>
      </c>
      <c r="O156" s="844"/>
      <c r="Q156"/>
      <c r="AD156" s="77"/>
      <c r="AE156" s="77"/>
    </row>
    <row r="157" spans="1:31" x14ac:dyDescent="0.25">
      <c r="A157" s="20">
        <v>1.6400000000000001E-2</v>
      </c>
      <c r="B157" s="20">
        <v>6.6799999999999998E-2</v>
      </c>
      <c r="C157" s="800">
        <v>4.5899999999999996E-2</v>
      </c>
      <c r="D157" s="266">
        <v>3.32E-2</v>
      </c>
      <c r="E157" s="800">
        <v>0.14550000000000002</v>
      </c>
      <c r="F157" s="271">
        <f t="shared" si="179"/>
        <v>-9.9600000000000022E-2</v>
      </c>
      <c r="G157" s="809">
        <f t="shared" si="180"/>
        <v>0</v>
      </c>
      <c r="H157" s="163">
        <f t="shared" si="181"/>
        <v>9.9999999999988987E-5</v>
      </c>
      <c r="I157" s="271">
        <f t="shared" si="182"/>
        <v>-9.9500000000000005E-2</v>
      </c>
      <c r="L157" s="276">
        <v>45457</v>
      </c>
      <c r="M157" s="343">
        <f>+-0.0996</f>
        <v>-9.9599999999999994E-2</v>
      </c>
      <c r="N157" s="343">
        <f>+-0.0015</f>
        <v>-1.5E-3</v>
      </c>
      <c r="O157" s="845"/>
      <c r="Q157"/>
      <c r="AD157" s="77"/>
      <c r="AE157" s="77"/>
    </row>
    <row r="158" spans="1:31" x14ac:dyDescent="0.25">
      <c r="A158" s="20">
        <v>2.3199999999999998E-2</v>
      </c>
      <c r="B158" s="20">
        <v>7.5499999999999998E-2</v>
      </c>
      <c r="C158" s="800">
        <v>4.9699999999999994E-2</v>
      </c>
      <c r="D158" s="266">
        <v>3.8800000000000001E-2</v>
      </c>
      <c r="E158" s="800">
        <v>0.15460000000000002</v>
      </c>
      <c r="F158" s="271">
        <f t="shared" si="179"/>
        <v>-0.10490000000000002</v>
      </c>
      <c r="G158" s="809">
        <f t="shared" si="180"/>
        <v>9.9999999999975109E-5</v>
      </c>
      <c r="H158" s="163">
        <f t="shared" si="181"/>
        <v>1.0000000000000009E-3</v>
      </c>
      <c r="I158" s="271">
        <f t="shared" si="182"/>
        <v>-0.104</v>
      </c>
      <c r="L158" s="265">
        <v>45460</v>
      </c>
      <c r="M158" s="266">
        <f>+-0.105</f>
        <v>-0.105</v>
      </c>
      <c r="N158" s="266">
        <f>+-0.0044</f>
        <v>-4.4000000000000003E-3</v>
      </c>
      <c r="O158" s="131"/>
      <c r="Q158"/>
      <c r="AD158" s="77"/>
      <c r="AE158" s="77"/>
    </row>
    <row r="159" spans="1:31" x14ac:dyDescent="0.25">
      <c r="A159" s="20">
        <v>2.7699999999999999E-2</v>
      </c>
      <c r="B159" s="20">
        <v>7.9299999999999995E-2</v>
      </c>
      <c r="C159" s="800">
        <v>5.45E-2</v>
      </c>
      <c r="D159" s="266">
        <v>4.0300000000000002E-2</v>
      </c>
      <c r="E159" s="800">
        <v>0.15759999999999999</v>
      </c>
      <c r="F159" s="271">
        <f t="shared" si="179"/>
        <v>-0.1031</v>
      </c>
      <c r="G159" s="809">
        <f t="shared" si="180"/>
        <v>0</v>
      </c>
      <c r="H159" s="163">
        <f t="shared" ref="H159" si="183">+I159-M159</f>
        <v>1.0000000000000286E-4</v>
      </c>
      <c r="I159" s="271">
        <f t="shared" ref="I159" si="184">+M158+N159</f>
        <v>-0.10299999999999999</v>
      </c>
      <c r="L159" s="265">
        <v>45461</v>
      </c>
      <c r="M159" s="266">
        <f>+-0.1031</f>
        <v>-0.1031</v>
      </c>
      <c r="N159" s="266">
        <v>2E-3</v>
      </c>
      <c r="O159" s="842" t="s">
        <v>797</v>
      </c>
      <c r="Q159"/>
      <c r="AD159" s="77"/>
      <c r="AE159" s="77"/>
    </row>
    <row r="160" spans="1:31" x14ac:dyDescent="0.25">
      <c r="A160" s="20"/>
      <c r="B160" s="20"/>
      <c r="C160" s="800"/>
      <c r="D160" s="266"/>
      <c r="E160" s="800"/>
      <c r="F160" s="271"/>
      <c r="L160" s="265">
        <v>45462</v>
      </c>
      <c r="M160" s="266"/>
      <c r="N160" s="266" t="s">
        <v>171</v>
      </c>
      <c r="O160" s="843">
        <f>SUM(N158:N162)</f>
        <v>1.8999999999999996E-3</v>
      </c>
      <c r="Q160"/>
      <c r="AD160" s="77"/>
      <c r="AE160" s="77"/>
    </row>
    <row r="161" spans="1:31" x14ac:dyDescent="0.25">
      <c r="A161" s="20">
        <v>3.3300000000000003E-2</v>
      </c>
      <c r="B161" s="20">
        <v>8.3000000000000004E-2</v>
      </c>
      <c r="C161" s="800">
        <v>5.74E-2</v>
      </c>
      <c r="D161" s="266">
        <v>4.8300000000000003E-2</v>
      </c>
      <c r="E161" s="800">
        <v>0.15440000000000001</v>
      </c>
      <c r="F161" s="271">
        <f t="shared" ref="F161:F163" si="185">+C161-E161</f>
        <v>-9.7000000000000003E-2</v>
      </c>
      <c r="G161" s="809">
        <f t="shared" ref="G161:G163" si="186">+F161-M161</f>
        <v>0</v>
      </c>
      <c r="H161" s="163">
        <f t="shared" ref="H161:H162" si="187">+I161-M161</f>
        <v>-5.9999999999998943E-4</v>
      </c>
      <c r="I161" s="271">
        <f>+M159+N161</f>
        <v>-9.7599999999999992E-2</v>
      </c>
      <c r="L161" s="265">
        <v>45463</v>
      </c>
      <c r="M161" s="266">
        <f>+-0.097</f>
        <v>-9.7000000000000003E-2</v>
      </c>
      <c r="N161" s="266">
        <v>5.4999999999999997E-3</v>
      </c>
      <c r="O161" s="844"/>
      <c r="Q161"/>
      <c r="AD161" s="77"/>
      <c r="AE161" s="77"/>
    </row>
    <row r="162" spans="1:31" x14ac:dyDescent="0.25">
      <c r="A162" s="20">
        <v>3.4099999999999998E-2</v>
      </c>
      <c r="B162" s="20">
        <v>8.0100000000000005E-2</v>
      </c>
      <c r="C162" s="800">
        <v>5.4800000000000001E-2</v>
      </c>
      <c r="D162" s="266">
        <v>4.87E-2</v>
      </c>
      <c r="E162" s="800">
        <v>0.15290000000000001</v>
      </c>
      <c r="F162" s="271">
        <f t="shared" si="185"/>
        <v>-9.8100000000000007E-2</v>
      </c>
      <c r="G162" s="809">
        <f t="shared" si="186"/>
        <v>0</v>
      </c>
      <c r="H162" s="163">
        <f t="shared" si="187"/>
        <v>-1.0000000000000286E-4</v>
      </c>
      <c r="I162" s="271">
        <f t="shared" ref="I162" si="188">+M161+N162</f>
        <v>-9.820000000000001E-2</v>
      </c>
      <c r="L162" s="276">
        <v>45464</v>
      </c>
      <c r="M162" s="343">
        <f>+-0.0981</f>
        <v>-9.8100000000000007E-2</v>
      </c>
      <c r="N162" s="343">
        <f>+-0.0012</f>
        <v>-1.1999999999999999E-3</v>
      </c>
      <c r="O162" s="845"/>
      <c r="Q162"/>
      <c r="AD162" s="77"/>
      <c r="AE162" s="77"/>
    </row>
    <row r="163" spans="1:31" x14ac:dyDescent="0.25">
      <c r="A163" s="20"/>
      <c r="B163" s="20"/>
      <c r="C163" s="800">
        <v>6.4399999999999999E-2</v>
      </c>
      <c r="D163" s="266"/>
      <c r="E163" s="800">
        <v>0.14910000000000001</v>
      </c>
      <c r="F163" s="271">
        <f t="shared" si="185"/>
        <v>-8.4700000000000011E-2</v>
      </c>
      <c r="G163" s="809">
        <f t="shared" si="186"/>
        <v>0</v>
      </c>
      <c r="L163" s="265">
        <v>45467</v>
      </c>
      <c r="M163" s="266">
        <f>+-0.0847</f>
        <v>-8.4699999999999998E-2</v>
      </c>
      <c r="N163" s="266">
        <v>1.24E-2</v>
      </c>
      <c r="O163" s="131"/>
      <c r="Q163"/>
      <c r="AD163" s="77"/>
      <c r="AE163" s="77"/>
    </row>
    <row r="164" spans="1:31" x14ac:dyDescent="0.25">
      <c r="A164" s="20"/>
      <c r="B164" s="20"/>
      <c r="C164" s="800"/>
      <c r="D164" s="266"/>
      <c r="E164" s="800"/>
      <c r="F164" s="271"/>
      <c r="L164" s="265">
        <v>45468</v>
      </c>
      <c r="M164" s="266"/>
      <c r="N164" s="266"/>
      <c r="O164" s="842" t="s">
        <v>797</v>
      </c>
      <c r="Q164"/>
      <c r="AD164" s="77"/>
      <c r="AE164" s="77"/>
    </row>
    <row r="165" spans="1:31" x14ac:dyDescent="0.25">
      <c r="A165" s="20"/>
      <c r="B165" s="20"/>
      <c r="C165" s="800"/>
      <c r="D165" s="266"/>
      <c r="E165" s="800"/>
      <c r="F165" s="271"/>
      <c r="L165" s="265">
        <v>45469</v>
      </c>
      <c r="M165" s="266"/>
      <c r="N165" s="266"/>
      <c r="O165" s="843">
        <f>SUM(N163:N167)</f>
        <v>1.24E-2</v>
      </c>
      <c r="Q165"/>
      <c r="AD165" s="77"/>
      <c r="AE165" s="77"/>
    </row>
    <row r="166" spans="1:31" x14ac:dyDescent="0.25">
      <c r="A166" s="20"/>
      <c r="B166" s="20"/>
      <c r="C166" s="800"/>
      <c r="D166" s="266"/>
      <c r="E166" s="800"/>
      <c r="F166" s="271"/>
      <c r="L166" s="265">
        <v>45470</v>
      </c>
      <c r="M166" s="266"/>
      <c r="N166" s="266"/>
      <c r="O166" s="844"/>
      <c r="Q166"/>
      <c r="AD166" s="77"/>
      <c r="AE166" s="77"/>
    </row>
    <row r="167" spans="1:31" x14ac:dyDescent="0.25">
      <c r="C167" s="132"/>
      <c r="E167" s="132"/>
      <c r="L167" s="276">
        <v>45471</v>
      </c>
      <c r="M167" s="343"/>
      <c r="N167" s="343"/>
      <c r="O167" s="845"/>
      <c r="Q167"/>
      <c r="AD167" s="77"/>
      <c r="AE167" s="77"/>
    </row>
    <row r="168" spans="1:31" x14ac:dyDescent="0.25">
      <c r="Q168"/>
      <c r="AD168" s="77"/>
      <c r="AE168" s="77"/>
    </row>
    <row r="169" spans="1:31" x14ac:dyDescent="0.25">
      <c r="Q169"/>
      <c r="AD169" s="77"/>
      <c r="AE169" s="77"/>
    </row>
    <row r="170" spans="1:31" x14ac:dyDescent="0.25">
      <c r="Q170"/>
      <c r="AD170" s="77"/>
      <c r="AE170" s="84"/>
    </row>
    <row r="171" spans="1:31" x14ac:dyDescent="0.25">
      <c r="Q171"/>
      <c r="AD171" s="84"/>
      <c r="AE171" s="77"/>
    </row>
    <row r="172" spans="1:31" x14ac:dyDescent="0.25">
      <c r="Q172"/>
      <c r="AD172" s="77"/>
      <c r="AE172" s="77"/>
    </row>
    <row r="173" spans="1:31" x14ac:dyDescent="0.25">
      <c r="Q173"/>
      <c r="AD173" s="77"/>
      <c r="AE173" s="77"/>
    </row>
    <row r="174" spans="1:31" x14ac:dyDescent="0.25">
      <c r="Q174"/>
      <c r="AD174" s="77"/>
      <c r="AE174" s="77"/>
    </row>
    <row r="175" spans="1:31" x14ac:dyDescent="0.25">
      <c r="Q175"/>
      <c r="AD175" s="77"/>
      <c r="AE175" s="77"/>
    </row>
    <row r="176" spans="1:31" x14ac:dyDescent="0.25">
      <c r="Q176"/>
      <c r="AD176" s="77"/>
      <c r="AE176" s="77"/>
    </row>
    <row r="177" spans="17:31" x14ac:dyDescent="0.25">
      <c r="Q177"/>
      <c r="AD177" s="77"/>
      <c r="AE177" s="77"/>
    </row>
    <row r="178" spans="17:31" x14ac:dyDescent="0.25">
      <c r="Q178"/>
      <c r="AD178" s="77"/>
      <c r="AE178" s="77"/>
    </row>
    <row r="179" spans="17:31" x14ac:dyDescent="0.25">
      <c r="Q179"/>
      <c r="AD179" s="77"/>
      <c r="AE179" s="77"/>
    </row>
    <row r="180" spans="17:31" x14ac:dyDescent="0.25">
      <c r="Q180"/>
      <c r="AD180" s="77"/>
      <c r="AE180" s="77"/>
    </row>
    <row r="181" spans="17:31" x14ac:dyDescent="0.25">
      <c r="Q181"/>
      <c r="AD181" s="77"/>
      <c r="AE181" s="77"/>
    </row>
    <row r="182" spans="17:31" x14ac:dyDescent="0.25">
      <c r="Q182"/>
      <c r="AD182" s="77"/>
      <c r="AE182" s="77"/>
    </row>
    <row r="183" spans="17:31" x14ac:dyDescent="0.25">
      <c r="Q183"/>
      <c r="AD183" s="77"/>
      <c r="AE183" s="77"/>
    </row>
    <row r="184" spans="17:31" x14ac:dyDescent="0.25">
      <c r="Q184"/>
      <c r="AD184" s="77"/>
      <c r="AE184" s="77"/>
    </row>
    <row r="185" spans="17:31" x14ac:dyDescent="0.25">
      <c r="Q185"/>
      <c r="AD185" s="77"/>
      <c r="AE185" s="77"/>
    </row>
    <row r="186" spans="17:31" x14ac:dyDescent="0.25">
      <c r="Q186"/>
      <c r="AD186" s="77"/>
      <c r="AE186" s="77"/>
    </row>
    <row r="187" spans="17:31" x14ac:dyDescent="0.25">
      <c r="Q187"/>
      <c r="AD187" s="77"/>
      <c r="AE187" s="77"/>
    </row>
    <row r="188" spans="17:31" x14ac:dyDescent="0.25">
      <c r="Q188"/>
      <c r="AD188" s="77"/>
      <c r="AE188" s="77"/>
    </row>
    <row r="189" spans="17:31" x14ac:dyDescent="0.25">
      <c r="Q189"/>
      <c r="AD189" s="77"/>
      <c r="AE189" s="77"/>
    </row>
    <row r="190" spans="17:31" x14ac:dyDescent="0.25">
      <c r="Q190"/>
      <c r="AD190" s="77"/>
      <c r="AE190" s="77"/>
    </row>
    <row r="191" spans="17:31" x14ac:dyDescent="0.25">
      <c r="Q191"/>
      <c r="AD191" s="77"/>
    </row>
    <row r="192" spans="17:31" x14ac:dyDescent="0.25">
      <c r="Q192"/>
      <c r="AE192" s="11"/>
    </row>
    <row r="193" spans="17:31" x14ac:dyDescent="0.25">
      <c r="Q193"/>
      <c r="AD193" s="11"/>
    </row>
    <row r="194" spans="17:31" x14ac:dyDescent="0.25">
      <c r="Q194"/>
    </row>
    <row r="195" spans="17:31" x14ac:dyDescent="0.25">
      <c r="Q195"/>
    </row>
    <row r="196" spans="17:31" x14ac:dyDescent="0.25">
      <c r="Q196"/>
      <c r="AE196" s="77"/>
    </row>
    <row r="197" spans="17:31" x14ac:dyDescent="0.25">
      <c r="Q197"/>
      <c r="AD197" s="77"/>
      <c r="AE197" s="77"/>
    </row>
    <row r="198" spans="17:31" x14ac:dyDescent="0.25">
      <c r="Q198"/>
      <c r="AD198" s="77"/>
      <c r="AE198" s="77"/>
    </row>
    <row r="199" spans="17:31" x14ac:dyDescent="0.25">
      <c r="Q199"/>
      <c r="AD199" s="77"/>
      <c r="AE199" s="84"/>
    </row>
    <row r="200" spans="17:31" x14ac:dyDescent="0.25">
      <c r="Q200"/>
      <c r="AD200" s="84"/>
      <c r="AE200" s="77"/>
    </row>
    <row r="201" spans="17:31" x14ac:dyDescent="0.25">
      <c r="Q201"/>
      <c r="AD201" s="77"/>
      <c r="AE201" s="77"/>
    </row>
    <row r="202" spans="17:31" x14ac:dyDescent="0.25">
      <c r="Q202"/>
      <c r="AD202" s="77"/>
      <c r="AE202" s="77"/>
    </row>
    <row r="203" spans="17:31" x14ac:dyDescent="0.25">
      <c r="Q203"/>
      <c r="AD203" s="77"/>
      <c r="AE203" s="77"/>
    </row>
    <row r="204" spans="17:31" x14ac:dyDescent="0.25">
      <c r="Q204"/>
      <c r="AD204" s="77"/>
      <c r="AE204" s="77"/>
    </row>
    <row r="205" spans="17:31" x14ac:dyDescent="0.25">
      <c r="Q205"/>
      <c r="AD205" s="77"/>
      <c r="AE205" s="77"/>
    </row>
    <row r="206" spans="17:31" x14ac:dyDescent="0.25">
      <c r="Q206"/>
      <c r="AD206" s="77"/>
    </row>
    <row r="207" spans="17:31" x14ac:dyDescent="0.25">
      <c r="Q207"/>
      <c r="AE207" s="10"/>
    </row>
    <row r="208" spans="17:31" x14ac:dyDescent="0.25">
      <c r="Q208"/>
      <c r="AD208" s="10"/>
    </row>
    <row r="209" spans="17:31" x14ac:dyDescent="0.25">
      <c r="Q209"/>
    </row>
    <row r="210" spans="17:31" x14ac:dyDescent="0.25">
      <c r="Q210"/>
      <c r="AE210" s="190"/>
    </row>
    <row r="211" spans="17:31" x14ac:dyDescent="0.25">
      <c r="Q211"/>
      <c r="AD211" s="190"/>
    </row>
    <row r="212" spans="17:31" x14ac:dyDescent="0.25">
      <c r="Q212"/>
    </row>
    <row r="213" spans="17:31" x14ac:dyDescent="0.25">
      <c r="Q213"/>
      <c r="AE213" s="60"/>
    </row>
    <row r="214" spans="17:31" x14ac:dyDescent="0.25">
      <c r="Q214"/>
      <c r="AD214" s="60"/>
    </row>
    <row r="215" spans="17:31" x14ac:dyDescent="0.25">
      <c r="Q215"/>
    </row>
    <row r="216" spans="17:31" x14ac:dyDescent="0.25">
      <c r="Q216"/>
      <c r="AE216" s="5"/>
    </row>
    <row r="217" spans="17:31" x14ac:dyDescent="0.25">
      <c r="Q217"/>
      <c r="AD217" s="5"/>
      <c r="AE217" s="5"/>
    </row>
    <row r="218" spans="17:31" x14ac:dyDescent="0.25">
      <c r="Q218"/>
      <c r="AD218" s="5"/>
      <c r="AE218" s="5"/>
    </row>
    <row r="219" spans="17:31" x14ac:dyDescent="0.25">
      <c r="Q219"/>
      <c r="AD219" s="5"/>
    </row>
    <row r="220" spans="17:31" x14ac:dyDescent="0.25">
      <c r="Q220"/>
    </row>
    <row r="221" spans="17:31" x14ac:dyDescent="0.25">
      <c r="Q221"/>
    </row>
    <row r="222" spans="17:31" x14ac:dyDescent="0.25">
      <c r="Q222"/>
    </row>
    <row r="223" spans="17:31" x14ac:dyDescent="0.25">
      <c r="Q223"/>
    </row>
    <row r="224" spans="17:31" x14ac:dyDescent="0.25">
      <c r="Q224"/>
    </row>
    <row r="225" spans="17:17" x14ac:dyDescent="0.25">
      <c r="Q225"/>
    </row>
    <row r="226" spans="17:17" x14ac:dyDescent="0.25">
      <c r="Q226"/>
    </row>
    <row r="227" spans="17:17" x14ac:dyDescent="0.25">
      <c r="Q227"/>
    </row>
    <row r="228" spans="17:17" x14ac:dyDescent="0.25">
      <c r="Q228"/>
    </row>
    <row r="229" spans="17:17" x14ac:dyDescent="0.25">
      <c r="Q229"/>
    </row>
    <row r="230" spans="17:17" x14ac:dyDescent="0.25">
      <c r="Q230"/>
    </row>
    <row r="231" spans="17:17" x14ac:dyDescent="0.25">
      <c r="Q231"/>
    </row>
    <row r="232" spans="17:17" x14ac:dyDescent="0.25">
      <c r="Q232"/>
    </row>
    <row r="233" spans="17:17" x14ac:dyDescent="0.25">
      <c r="Q233"/>
    </row>
    <row r="234" spans="17:17" x14ac:dyDescent="0.25">
      <c r="Q234"/>
    </row>
    <row r="235" spans="17:17" x14ac:dyDescent="0.25">
      <c r="Q235"/>
    </row>
    <row r="236" spans="17:17" x14ac:dyDescent="0.25">
      <c r="Q236"/>
    </row>
    <row r="237" spans="17:17" x14ac:dyDescent="0.25">
      <c r="Q237"/>
    </row>
    <row r="238" spans="17:17" x14ac:dyDescent="0.25">
      <c r="Q238"/>
    </row>
    <row r="239" spans="17:17" x14ac:dyDescent="0.25">
      <c r="Q239"/>
    </row>
    <row r="240" spans="17:17" x14ac:dyDescent="0.25">
      <c r="Q240"/>
    </row>
    <row r="241" spans="17:17" x14ac:dyDescent="0.25">
      <c r="Q241"/>
    </row>
    <row r="242" spans="17:17" x14ac:dyDescent="0.25">
      <c r="Q242"/>
    </row>
    <row r="243" spans="17:17" x14ac:dyDescent="0.25">
      <c r="Q243"/>
    </row>
    <row r="244" spans="17:17" x14ac:dyDescent="0.25">
      <c r="Q244"/>
    </row>
    <row r="245" spans="17:17" x14ac:dyDescent="0.25">
      <c r="Q245"/>
    </row>
    <row r="246" spans="17:17" x14ac:dyDescent="0.25">
      <c r="Q246"/>
    </row>
    <row r="247" spans="17:17" x14ac:dyDescent="0.25">
      <c r="Q247"/>
    </row>
    <row r="248" spans="17:17" x14ac:dyDescent="0.25">
      <c r="Q248"/>
    </row>
    <row r="249" spans="17:17" x14ac:dyDescent="0.25">
      <c r="Q249"/>
    </row>
    <row r="250" spans="17:17" x14ac:dyDescent="0.25">
      <c r="Q250"/>
    </row>
    <row r="251" spans="17:17" x14ac:dyDescent="0.25">
      <c r="Q251"/>
    </row>
    <row r="252" spans="17:17" x14ac:dyDescent="0.25">
      <c r="Q252"/>
    </row>
    <row r="253" spans="17:17" x14ac:dyDescent="0.25">
      <c r="Q253"/>
    </row>
    <row r="254" spans="17:17" x14ac:dyDescent="0.25">
      <c r="Q254"/>
    </row>
    <row r="255" spans="17:17" x14ac:dyDescent="0.25">
      <c r="Q255"/>
    </row>
    <row r="256" spans="17:17" x14ac:dyDescent="0.25">
      <c r="Q256"/>
    </row>
    <row r="257" spans="17:29" x14ac:dyDescent="0.25">
      <c r="Q257"/>
    </row>
    <row r="258" spans="17:29" x14ac:dyDescent="0.25">
      <c r="Q258"/>
    </row>
    <row r="259" spans="17:29" x14ac:dyDescent="0.25">
      <c r="Q259"/>
    </row>
    <row r="260" spans="17:29" x14ac:dyDescent="0.25">
      <c r="Q260"/>
    </row>
    <row r="261" spans="17:29" x14ac:dyDescent="0.25">
      <c r="Q261"/>
    </row>
    <row r="262" spans="17:29" x14ac:dyDescent="0.25">
      <c r="Q262"/>
    </row>
    <row r="263" spans="17:29" x14ac:dyDescent="0.25">
      <c r="Q263"/>
      <c r="AA263" s="5"/>
      <c r="AB263" s="5"/>
      <c r="AC263" s="5"/>
    </row>
    <row r="264" spans="17:29" x14ac:dyDescent="0.25">
      <c r="Q264"/>
    </row>
    <row r="265" spans="17:29" x14ac:dyDescent="0.25">
      <c r="Q265"/>
    </row>
    <row r="266" spans="17:29" x14ac:dyDescent="0.25">
      <c r="Q266"/>
    </row>
    <row r="267" spans="17:29" x14ac:dyDescent="0.25">
      <c r="Q267"/>
    </row>
    <row r="268" spans="17:29" x14ac:dyDescent="0.25">
      <c r="Q268"/>
    </row>
    <row r="269" spans="17:29" x14ac:dyDescent="0.25">
      <c r="Q269"/>
    </row>
    <row r="270" spans="17:29" x14ac:dyDescent="0.25">
      <c r="Q270"/>
    </row>
    <row r="271" spans="17:29" x14ac:dyDescent="0.25">
      <c r="Q271"/>
    </row>
    <row r="272" spans="17:29" x14ac:dyDescent="0.25">
      <c r="Q272"/>
    </row>
    <row r="273" spans="17:17" x14ac:dyDescent="0.25">
      <c r="Q273"/>
    </row>
    <row r="274" spans="17:17" x14ac:dyDescent="0.25">
      <c r="Q274"/>
    </row>
    <row r="275" spans="17:17" x14ac:dyDescent="0.25">
      <c r="Q275"/>
    </row>
    <row r="276" spans="17:17" x14ac:dyDescent="0.25">
      <c r="Q276"/>
    </row>
    <row r="277" spans="17:17" x14ac:dyDescent="0.25">
      <c r="Q277"/>
    </row>
    <row r="278" spans="17:17" x14ac:dyDescent="0.25">
      <c r="Q278"/>
    </row>
    <row r="279" spans="17:17" x14ac:dyDescent="0.25">
      <c r="Q279"/>
    </row>
    <row r="280" spans="17:17" x14ac:dyDescent="0.25">
      <c r="Q280"/>
    </row>
    <row r="281" spans="17:17" x14ac:dyDescent="0.25">
      <c r="Q281"/>
    </row>
    <row r="282" spans="17:17" x14ac:dyDescent="0.25">
      <c r="Q282"/>
    </row>
    <row r="283" spans="17:17" x14ac:dyDescent="0.25">
      <c r="Q283"/>
    </row>
    <row r="284" spans="17:17" x14ac:dyDescent="0.25">
      <c r="Q284"/>
    </row>
    <row r="285" spans="17:17" x14ac:dyDescent="0.25">
      <c r="Q285"/>
    </row>
    <row r="286" spans="17:17" x14ac:dyDescent="0.25">
      <c r="Q286"/>
    </row>
    <row r="287" spans="17:17" x14ac:dyDescent="0.25">
      <c r="Q287"/>
    </row>
    <row r="288" spans="17:17" x14ac:dyDescent="0.25">
      <c r="Q288"/>
    </row>
    <row r="289" spans="17:17" x14ac:dyDescent="0.25">
      <c r="Q289"/>
    </row>
    <row r="290" spans="17:17" x14ac:dyDescent="0.25">
      <c r="Q290"/>
    </row>
    <row r="291" spans="17:17" x14ac:dyDescent="0.25">
      <c r="Q291"/>
    </row>
    <row r="292" spans="17:17" x14ac:dyDescent="0.25">
      <c r="Q292"/>
    </row>
    <row r="293" spans="17:17" x14ac:dyDescent="0.25">
      <c r="Q293"/>
    </row>
    <row r="294" spans="17:17" x14ac:dyDescent="0.25">
      <c r="Q294"/>
    </row>
    <row r="295" spans="17:17" x14ac:dyDescent="0.25">
      <c r="Q295"/>
    </row>
    <row r="296" spans="17:17" x14ac:dyDescent="0.25">
      <c r="Q296"/>
    </row>
    <row r="297" spans="17:17" x14ac:dyDescent="0.25">
      <c r="Q297"/>
    </row>
    <row r="298" spans="17:17" x14ac:dyDescent="0.25">
      <c r="Q298"/>
    </row>
    <row r="299" spans="17:17" x14ac:dyDescent="0.25">
      <c r="Q299"/>
    </row>
    <row r="300" spans="17:17" x14ac:dyDescent="0.25">
      <c r="Q300"/>
    </row>
    <row r="301" spans="17:17" x14ac:dyDescent="0.25">
      <c r="Q301"/>
    </row>
    <row r="302" spans="17:17" x14ac:dyDescent="0.25">
      <c r="Q302"/>
    </row>
    <row r="303" spans="17:17" x14ac:dyDescent="0.25">
      <c r="Q303"/>
    </row>
    <row r="304" spans="17:17" x14ac:dyDescent="0.25">
      <c r="Q304"/>
    </row>
    <row r="305" spans="17:17" x14ac:dyDescent="0.25">
      <c r="Q305"/>
    </row>
    <row r="306" spans="17:17" x14ac:dyDescent="0.25">
      <c r="Q306"/>
    </row>
    <row r="307" spans="17:17" x14ac:dyDescent="0.25">
      <c r="Q307"/>
    </row>
    <row r="308" spans="17:17" x14ac:dyDescent="0.25">
      <c r="Q308"/>
    </row>
    <row r="309" spans="17:17" x14ac:dyDescent="0.25">
      <c r="Q309"/>
    </row>
    <row r="310" spans="17:17" x14ac:dyDescent="0.25">
      <c r="Q310"/>
    </row>
    <row r="311" spans="17:17" x14ac:dyDescent="0.25">
      <c r="Q311"/>
    </row>
    <row r="312" spans="17:17" x14ac:dyDescent="0.25">
      <c r="Q312"/>
    </row>
    <row r="313" spans="17:17" x14ac:dyDescent="0.25">
      <c r="Q313"/>
    </row>
    <row r="314" spans="17:17" x14ac:dyDescent="0.25">
      <c r="Q314"/>
    </row>
    <row r="315" spans="17:17" x14ac:dyDescent="0.25">
      <c r="Q315"/>
    </row>
    <row r="316" spans="17:17" x14ac:dyDescent="0.25">
      <c r="Q316"/>
    </row>
  </sheetData>
  <sortState xmlns:xlrd2="http://schemas.microsoft.com/office/spreadsheetml/2017/richdata2" ref="A4:AO42">
    <sortCondition descending="1" ref="O4:O42"/>
  </sortState>
  <mergeCells count="11">
    <mergeCell ref="B1:B2"/>
    <mergeCell ref="Q123:X123"/>
    <mergeCell ref="Q124:X126"/>
    <mergeCell ref="F1:K1"/>
    <mergeCell ref="L1:M1"/>
    <mergeCell ref="Q1:R1"/>
    <mergeCell ref="Q2:Q3"/>
    <mergeCell ref="X46:Z46"/>
    <mergeCell ref="L2:M2"/>
    <mergeCell ref="O2:O3"/>
    <mergeCell ref="S46:U46"/>
  </mergeCells>
  <conditionalFormatting sqref="A67:A16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55:E55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:B42">
    <cfRule type="colorScale" priority="1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7:B166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7:C86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7:C87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7:C88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7:C89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7:C96 C98:C101 C103:C166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9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:D42">
    <cfRule type="colorScale" priority="1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67:D166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67:E96 E98:E101 E103:E166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97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5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67:F16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:K42">
    <cfRule type="colorScale" priority="1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58:M167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58:N16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:Q42">
    <cfRule type="colorScale" priority="1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4:U42"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27:Y14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4:Z42"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27:AA145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27:AC145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42">
    <cfRule type="colorScale" priority="1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:AK41">
    <cfRule type="colorScale" priority="1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O42">
    <cfRule type="colorScale" priority="1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F4F8-AEE2-49CA-AD5C-6BD74E81B663}">
  <sheetPr codeName="Sheet4"/>
  <dimension ref="A1:BH252"/>
  <sheetViews>
    <sheetView zoomScale="80" zoomScaleNormal="80" workbookViewId="0">
      <selection activeCell="K15" sqref="K15"/>
    </sheetView>
  </sheetViews>
  <sheetFormatPr defaultRowHeight="15" x14ac:dyDescent="0.25"/>
  <cols>
    <col min="2" max="2" width="10.5703125" customWidth="1"/>
    <col min="5" max="5" width="10.28515625" customWidth="1"/>
    <col min="7" max="7" width="10.5703125" bestFit="1" customWidth="1"/>
    <col min="8" max="8" width="17.28515625" customWidth="1"/>
    <col min="9" max="9" width="18.140625" customWidth="1"/>
    <col min="10" max="10" width="13.42578125" customWidth="1"/>
    <col min="11" max="11" width="13.140625" style="47" customWidth="1"/>
    <col min="12" max="12" width="13.28515625" customWidth="1"/>
    <col min="13" max="13" width="9" customWidth="1"/>
    <col min="14" max="14" width="23.85546875" customWidth="1"/>
    <col min="15" max="15" width="5.5703125" customWidth="1"/>
    <col min="16" max="16" width="15.140625" customWidth="1"/>
    <col min="17" max="17" width="12.5703125" customWidth="1"/>
    <col min="18" max="18" width="13" customWidth="1"/>
    <col min="19" max="19" width="5.5703125" customWidth="1"/>
    <col min="20" max="20" width="13.5703125" customWidth="1"/>
    <col min="21" max="21" width="12.5703125" customWidth="1"/>
    <col min="22" max="22" width="6.28515625" customWidth="1"/>
    <col min="23" max="23" width="4.7109375" customWidth="1"/>
    <col min="24" max="24" width="10" customWidth="1"/>
    <col min="25" max="25" width="5.140625" customWidth="1"/>
    <col min="26" max="26" width="9.85546875" customWidth="1"/>
    <col min="27" max="27" width="16.42578125" bestFit="1" customWidth="1"/>
    <col min="28" max="28" width="11.7109375" customWidth="1"/>
    <col min="29" max="29" width="13.42578125" customWidth="1"/>
    <col min="30" max="30" width="11.5703125" customWidth="1"/>
    <col min="31" max="32" width="11.28515625" customWidth="1"/>
    <col min="33" max="33" width="8.140625" customWidth="1"/>
    <col min="34" max="34" width="13.140625" customWidth="1"/>
    <col min="35" max="35" width="12.5703125" customWidth="1"/>
    <col min="37" max="37" width="11.28515625" customWidth="1"/>
    <col min="38" max="38" width="4.85546875" customWidth="1"/>
    <col min="39" max="39" width="17.140625" customWidth="1"/>
    <col min="40" max="40" width="13.7109375" customWidth="1"/>
    <col min="42" max="42" width="10.5703125" customWidth="1"/>
    <col min="43" max="43" width="5.85546875" customWidth="1"/>
    <col min="44" max="44" width="17.140625" customWidth="1"/>
    <col min="45" max="45" width="14.42578125" customWidth="1"/>
    <col min="46" max="46" width="11.5703125" customWidth="1"/>
    <col min="48" max="48" width="6.85546875" customWidth="1"/>
    <col min="49" max="49" width="15" customWidth="1"/>
    <col min="50" max="50" width="15.42578125" customWidth="1"/>
    <col min="54" max="54" width="9.140625" style="22"/>
    <col min="55" max="55" width="8.42578125" customWidth="1"/>
    <col min="56" max="56" width="9.140625" style="96"/>
    <col min="57" max="58" width="8.7109375" customWidth="1"/>
    <col min="59" max="59" width="10.140625" bestFit="1" customWidth="1"/>
    <col min="65" max="65" width="16.28515625" bestFit="1" customWidth="1"/>
  </cols>
  <sheetData>
    <row r="1" spans="1:56" ht="35.25" customHeight="1" thickBot="1" x14ac:dyDescent="0.3">
      <c r="A1" s="926" t="s">
        <v>241</v>
      </c>
      <c r="B1" s="927"/>
      <c r="C1" s="927"/>
      <c r="D1" s="927"/>
      <c r="E1" s="928"/>
      <c r="F1" s="913">
        <v>2024</v>
      </c>
      <c r="G1" s="914"/>
      <c r="H1" s="172" t="s">
        <v>77</v>
      </c>
      <c r="I1" s="172" t="s">
        <v>87</v>
      </c>
      <c r="J1" s="172" t="s">
        <v>88</v>
      </c>
      <c r="L1" s="47"/>
      <c r="M1" s="47"/>
      <c r="N1" s="110"/>
      <c r="O1" s="110"/>
      <c r="P1" s="929" t="s">
        <v>117</v>
      </c>
      <c r="Q1" s="930"/>
      <c r="R1" s="834">
        <f>+'Dvd Holdings'!S1</f>
        <v>0.14524836314921075</v>
      </c>
      <c r="S1" s="110"/>
      <c r="T1" s="899" t="s">
        <v>117</v>
      </c>
      <c r="U1" s="915"/>
      <c r="W1" s="313"/>
      <c r="X1" s="317" t="s">
        <v>233</v>
      </c>
      <c r="Y1" s="314"/>
      <c r="Z1" s="47"/>
      <c r="AA1" s="121" t="s">
        <v>81</v>
      </c>
      <c r="AB1" s="121" t="s">
        <v>80</v>
      </c>
      <c r="AC1" s="47"/>
      <c r="AD1" s="47"/>
      <c r="AE1" s="47"/>
      <c r="BB1"/>
      <c r="BD1"/>
    </row>
    <row r="2" spans="1:56" ht="21.75" thickBot="1" x14ac:dyDescent="0.3">
      <c r="A2" s="47"/>
      <c r="B2" s="68"/>
      <c r="C2" s="47"/>
      <c r="D2" s="47"/>
      <c r="E2" s="47"/>
      <c r="F2" s="516">
        <v>38</v>
      </c>
      <c r="G2" s="195"/>
      <c r="H2" s="72"/>
      <c r="I2" s="72"/>
      <c r="J2" s="73"/>
      <c r="K2" s="156"/>
      <c r="L2" s="160" t="s">
        <v>113</v>
      </c>
      <c r="M2" s="189"/>
      <c r="N2" s="154" t="s">
        <v>0</v>
      </c>
      <c r="O2" s="755"/>
      <c r="P2" s="1">
        <v>45291</v>
      </c>
      <c r="Q2" s="49" t="s">
        <v>1</v>
      </c>
      <c r="R2" s="197" t="s">
        <v>58</v>
      </c>
      <c r="S2" s="189"/>
      <c r="T2" s="1">
        <v>44926</v>
      </c>
      <c r="U2" s="80" t="s">
        <v>544</v>
      </c>
      <c r="W2" s="315"/>
      <c r="X2" s="318" t="s">
        <v>234</v>
      </c>
      <c r="Y2" s="316"/>
      <c r="Z2" s="47"/>
      <c r="AA2" s="80" t="s">
        <v>83</v>
      </c>
      <c r="AB2" s="104" t="s">
        <v>82</v>
      </c>
      <c r="AC2" s="49"/>
      <c r="AD2" s="80" t="s">
        <v>57</v>
      </c>
      <c r="AE2" s="47"/>
      <c r="BB2"/>
      <c r="BD2"/>
    </row>
    <row r="3" spans="1:56" x14ac:dyDescent="0.25">
      <c r="C3" s="69" t="s">
        <v>64</v>
      </c>
      <c r="D3" s="69" t="s">
        <v>63</v>
      </c>
      <c r="E3" s="70" t="s">
        <v>62</v>
      </c>
      <c r="F3" s="97"/>
      <c r="G3" s="52"/>
      <c r="H3" s="74" t="s">
        <v>2</v>
      </c>
      <c r="I3" s="115" t="s">
        <v>89</v>
      </c>
      <c r="J3" s="128" t="s">
        <v>90</v>
      </c>
      <c r="K3" s="2"/>
      <c r="L3" s="132"/>
      <c r="N3" s="51"/>
      <c r="O3" s="2"/>
      <c r="P3" s="2"/>
      <c r="R3" s="758"/>
      <c r="T3" s="2"/>
      <c r="U3" s="28"/>
      <c r="W3" s="312"/>
      <c r="X3" s="306"/>
      <c r="Y3" s="45"/>
      <c r="AA3" s="2"/>
      <c r="AD3" s="28"/>
      <c r="AE3" s="47"/>
      <c r="BB3"/>
      <c r="BD3"/>
    </row>
    <row r="4" spans="1:56" x14ac:dyDescent="0.25">
      <c r="C4" s="24">
        <f>+E4-D4</f>
        <v>8.5238995104114316E-3</v>
      </c>
      <c r="D4" s="85">
        <v>1.34E-2</v>
      </c>
      <c r="E4" s="85">
        <f>+N4/$N$45</f>
        <v>2.1923899510411432E-2</v>
      </c>
      <c r="F4" s="3" t="s">
        <v>223</v>
      </c>
      <c r="G4" s="101">
        <v>4000</v>
      </c>
      <c r="H4" s="9">
        <f>_xll.BDP(F4&amp;" EQUITY",$H$1)</f>
        <v>1584.5050000000001</v>
      </c>
      <c r="I4" s="111">
        <f>_xll.BDP(F4&amp;" EQUITY",$I$1)</f>
        <v>-7.7050000000000001</v>
      </c>
      <c r="J4" s="129">
        <f>_xll.BDP(F4&amp;" EQUITY",$J$1)*0.01</f>
        <v>-4.8391859999999997E-3</v>
      </c>
      <c r="K4" s="157">
        <f>+RANK(J4,$J$4:$J$43)</f>
        <v>11</v>
      </c>
      <c r="L4" s="161">
        <f>+I4*G4</f>
        <v>-30820</v>
      </c>
      <c r="M4" s="99"/>
      <c r="N4" s="62">
        <f>+H4*G4</f>
        <v>6338020</v>
      </c>
      <c r="O4" s="36"/>
      <c r="P4" s="173">
        <v>1116.25</v>
      </c>
      <c r="Q4" s="37">
        <f>+H4/P4-1</f>
        <v>0.41948936170212781</v>
      </c>
      <c r="R4" s="758" t="s">
        <v>61</v>
      </c>
      <c r="S4" s="99"/>
      <c r="T4" s="173">
        <v>559.13</v>
      </c>
      <c r="U4" s="591">
        <f>+H4/T4-1</f>
        <v>1.8338758428272497</v>
      </c>
      <c r="W4" s="312"/>
      <c r="X4" s="307">
        <f>+Q4*E4</f>
        <v>9.1968426116440846E-3</v>
      </c>
      <c r="Y4" s="45"/>
      <c r="Z4" s="309"/>
      <c r="AA4" s="105" t="str">
        <f>_xll.BDP(F4&amp;" EQUITY",$AA$1)</f>
        <v>6/18/2024</v>
      </c>
      <c r="AB4" s="84">
        <f>_xll.BDP(F4&amp;" EQUITY",$AB$1)</f>
        <v>1851.6199951171875</v>
      </c>
      <c r="AC4" s="37">
        <f>+H4/AB4-1</f>
        <v>-0.14426015911557588</v>
      </c>
      <c r="AD4" s="106">
        <f>+RANK(AC4,$AC$4:$AC$43)</f>
        <v>25</v>
      </c>
      <c r="AE4" s="47"/>
      <c r="BB4"/>
      <c r="BD4"/>
    </row>
    <row r="5" spans="1:56" x14ac:dyDescent="0.25">
      <c r="C5" s="24">
        <f>+E5-D5</f>
        <v>2.2024194143964702E-2</v>
      </c>
      <c r="D5" s="85">
        <v>4.1999999999999997E-3</v>
      </c>
      <c r="E5" s="85">
        <f>+N5/$N$45</f>
        <v>2.6224194143964701E-2</v>
      </c>
      <c r="F5" s="3" t="s">
        <v>531</v>
      </c>
      <c r="G5" s="101">
        <v>55000</v>
      </c>
      <c r="H5" s="9">
        <f>_xll.BDP(F5&amp;" EQUITY",$H$1)</f>
        <v>137.84</v>
      </c>
      <c r="I5" s="112">
        <f>_xll.BDP(F5&amp;" EQUITY",$I$1)</f>
        <v>-2.0499999999999998</v>
      </c>
      <c r="J5" s="127">
        <f>_xll.BDP(F5&amp;" EQUITY",$J$1)*0.01</f>
        <v>-1.4654370000000002E-2</v>
      </c>
      <c r="K5" s="157">
        <f>+RANK(J5,$J$4:$J$43)</f>
        <v>31</v>
      </c>
      <c r="L5" s="161">
        <f>+I5*G5</f>
        <v>-112749.99999999999</v>
      </c>
      <c r="M5" s="99"/>
      <c r="N5" s="62">
        <f>+H5*G5</f>
        <v>7581200</v>
      </c>
      <c r="O5" s="36"/>
      <c r="P5" s="173">
        <v>105.43</v>
      </c>
      <c r="Q5" s="37">
        <f>+H5/P5-1</f>
        <v>0.30740775870245662</v>
      </c>
      <c r="R5" s="758" t="s">
        <v>61</v>
      </c>
      <c r="S5" s="99"/>
      <c r="T5" s="173">
        <v>81.739999999999995</v>
      </c>
      <c r="U5" s="591">
        <f>+H5/T5-1</f>
        <v>0.68632248593100087</v>
      </c>
      <c r="W5" s="312"/>
      <c r="X5" s="307">
        <f>+Q5*E5</f>
        <v>8.0615207455742768E-3</v>
      </c>
      <c r="Y5" s="45"/>
      <c r="Z5" s="309"/>
      <c r="AA5" s="105" t="str">
        <f>_xll.BDP(F5&amp;" EQUITY",$AA$1)</f>
        <v>6/20/2024</v>
      </c>
      <c r="AB5" s="84">
        <f>_xll.BDP(F5&amp;" EQUITY",$AB$1)</f>
        <v>145.32</v>
      </c>
      <c r="AC5" s="37">
        <f>+H5/AB5-1</f>
        <v>-5.1472612166253762E-2</v>
      </c>
      <c r="AD5" s="39">
        <f>+RANK(AC5,$AC$4:$AC$43)</f>
        <v>11</v>
      </c>
      <c r="AE5" s="47"/>
      <c r="BB5"/>
      <c r="BD5"/>
    </row>
    <row r="6" spans="1:56" x14ac:dyDescent="0.25">
      <c r="C6" s="24">
        <f>+E6-D6</f>
        <v>3.0000000000000009E-3</v>
      </c>
      <c r="D6" s="85">
        <v>7.4999999999999997E-3</v>
      </c>
      <c r="E6" s="85">
        <v>1.0500000000000001E-2</v>
      </c>
      <c r="F6" s="3" t="s">
        <v>218</v>
      </c>
      <c r="G6" s="101">
        <v>46400</v>
      </c>
      <c r="H6" s="9">
        <f>_xll.BDP(F6&amp;" EQUITY",$H$1)</f>
        <v>132.97</v>
      </c>
      <c r="I6" s="112">
        <f>_xll.BDP(F6&amp;" EQUITY",$I$1)</f>
        <v>0.01</v>
      </c>
      <c r="J6" s="127">
        <f>_xll.BDP(F6&amp;" EQUITY",$J$1)*0.01</f>
        <v>7.5210590000000007E-5</v>
      </c>
      <c r="K6" s="157">
        <f>+RANK(J6,$J$4:$J$43)</f>
        <v>6</v>
      </c>
      <c r="L6" s="161">
        <f>+I6*G6</f>
        <v>464</v>
      </c>
      <c r="M6" s="99"/>
      <c r="N6" s="62">
        <f>+H6*G6</f>
        <v>6169808</v>
      </c>
      <c r="O6" s="36"/>
      <c r="P6" s="173">
        <v>109.02</v>
      </c>
      <c r="Q6" s="37">
        <f>+H6/P6-1</f>
        <v>0.21968446156668509</v>
      </c>
      <c r="R6" s="758" t="s">
        <v>61</v>
      </c>
      <c r="S6" s="99"/>
      <c r="T6" s="173">
        <v>110.95</v>
      </c>
      <c r="U6" s="591">
        <f>+H6/T6-1</f>
        <v>0.19846777827850381</v>
      </c>
      <c r="W6" s="312"/>
      <c r="X6" s="307">
        <f>+Q6*E6</f>
        <v>2.3066868464501934E-3</v>
      </c>
      <c r="Y6" s="45"/>
      <c r="Z6" s="309"/>
      <c r="AA6" s="105" t="str">
        <f>_xll.BDP(F6&amp;" EQUITY",$AA$1)</f>
        <v>6/25/2024</v>
      </c>
      <c r="AB6" s="84">
        <f>_xll.BDP(F6&amp;" EQUITY",$AB$1)</f>
        <v>134.63</v>
      </c>
      <c r="AC6" s="37">
        <f>+H6/AB6-1</f>
        <v>-1.2330089875956296E-2</v>
      </c>
      <c r="AD6" s="106">
        <f>+RANK(AC6,$AC$4:$AC$43)</f>
        <v>3</v>
      </c>
      <c r="AE6" s="47"/>
      <c r="BB6"/>
      <c r="BD6"/>
    </row>
    <row r="7" spans="1:56" x14ac:dyDescent="0.25">
      <c r="C7" s="24">
        <f>+E7-D7</f>
        <v>1.7850411382533085E-2</v>
      </c>
      <c r="D7" s="85">
        <v>2.8E-3</v>
      </c>
      <c r="E7" s="85">
        <f>+N7/$N$45</f>
        <v>2.0650411382533086E-2</v>
      </c>
      <c r="F7" s="3" t="s">
        <v>220</v>
      </c>
      <c r="G7" s="101">
        <v>97000</v>
      </c>
      <c r="H7" s="9">
        <f>_xll.BDP(F7&amp;" EQUITY",$H$1)</f>
        <v>61.545000000000002</v>
      </c>
      <c r="I7" s="112">
        <f>_xll.BDP(F7&amp;" EQUITY",$I$1)</f>
        <v>0.20499999999999999</v>
      </c>
      <c r="J7" s="127">
        <f>_xll.BDP(F7&amp;" EQUITY",$J$1)*0.01</f>
        <v>3.3420280000000004E-3</v>
      </c>
      <c r="K7" s="157">
        <f>+RANK(J7,$J$4:$J$43)</f>
        <v>3</v>
      </c>
      <c r="L7" s="161">
        <f>+I7*G7</f>
        <v>19885</v>
      </c>
      <c r="M7" s="99"/>
      <c r="N7" s="62">
        <f>+H7*G7</f>
        <v>5969865</v>
      </c>
      <c r="O7" s="36"/>
      <c r="P7" s="173">
        <v>51.44</v>
      </c>
      <c r="Q7" s="37">
        <f>+H7/P7-1</f>
        <v>0.19644245723172626</v>
      </c>
      <c r="R7" s="758" t="s">
        <v>61</v>
      </c>
      <c r="S7" s="99"/>
      <c r="T7" s="173">
        <v>45.23</v>
      </c>
      <c r="U7" s="591">
        <f>+H7/T7-1</f>
        <v>0.36071191686933468</v>
      </c>
      <c r="W7" s="312"/>
      <c r="X7" s="307">
        <f>+Q7*E7</f>
        <v>4.0566175548308091E-3</v>
      </c>
      <c r="Y7" s="45"/>
      <c r="Z7" s="309"/>
      <c r="AA7" s="105" t="str">
        <f>_xll.BDP(F7&amp;" EQUITY",$AA$1)</f>
        <v>5/22/2024</v>
      </c>
      <c r="AB7" s="84">
        <f>_xll.BDP(F7&amp;" EQUITY",$AB$1)</f>
        <v>64.98</v>
      </c>
      <c r="AC7" s="37">
        <f>+H7/AB7-1</f>
        <v>-5.2862419205909505E-2</v>
      </c>
      <c r="AD7" s="40">
        <f>+RANK(AC7,$AC$4:$AC$43)</f>
        <v>12</v>
      </c>
      <c r="AE7" s="47"/>
      <c r="BB7"/>
      <c r="BD7"/>
    </row>
    <row r="8" spans="1:56" x14ac:dyDescent="0.25">
      <c r="C8" s="24">
        <f>+E8-D8</f>
        <v>2.1241521156222135E-2</v>
      </c>
      <c r="D8" s="85">
        <v>0</v>
      </c>
      <c r="E8" s="85">
        <f>+N8/$N$45</f>
        <v>2.1241521156222135E-2</v>
      </c>
      <c r="F8" s="3" t="s">
        <v>377</v>
      </c>
      <c r="G8" s="101">
        <v>350000</v>
      </c>
      <c r="H8" s="9">
        <f>_xll.BDP(F8&amp;" EQUITY",$H$1)</f>
        <v>17.545000000000002</v>
      </c>
      <c r="I8" s="112">
        <f>_xll.BDP(F8&amp;" EQUITY",$I$1)</f>
        <v>-0.115</v>
      </c>
      <c r="J8" s="127">
        <f>_xll.BDP(F8&amp;" EQUITY",$J$1)*0.01</f>
        <v>-6.5118909999999997E-3</v>
      </c>
      <c r="K8" s="157">
        <f>+RANK(J8,$J$4:$J$43)</f>
        <v>16</v>
      </c>
      <c r="L8" s="161">
        <f>+I8*G8</f>
        <v>-40250</v>
      </c>
      <c r="M8" s="99"/>
      <c r="N8" s="62">
        <f>+H8*G8</f>
        <v>6140750.0000000009</v>
      </c>
      <c r="O8" s="36"/>
      <c r="P8" s="173">
        <v>14.9</v>
      </c>
      <c r="Q8" s="37">
        <f>+H8/P8-1</f>
        <v>0.17751677852349013</v>
      </c>
      <c r="R8" s="758" t="s">
        <v>61</v>
      </c>
      <c r="S8" s="99"/>
      <c r="T8" s="173">
        <v>10.6</v>
      </c>
      <c r="U8" s="591">
        <f>+H8/T8-1</f>
        <v>0.65518867924528323</v>
      </c>
      <c r="W8" s="312"/>
      <c r="X8" s="307">
        <f>+Q8*E8</f>
        <v>3.7707264065911148E-3</v>
      </c>
      <c r="Y8" s="45"/>
      <c r="Z8" s="309"/>
      <c r="AA8" s="105" t="str">
        <f>_xll.BDP(F8&amp;" EQUITY",$AA$1)</f>
        <v>4/3/2024</v>
      </c>
      <c r="AB8" s="84">
        <f>_xll.BDP(F8&amp;" EQUITY",$AB$1)</f>
        <v>19.87</v>
      </c>
      <c r="AC8" s="37">
        <f>+H8/AB8-1</f>
        <v>-0.11701056869652737</v>
      </c>
      <c r="AD8" s="39">
        <f>+RANK(AC8,$AC$4:$AC$43)</f>
        <v>21</v>
      </c>
      <c r="AE8" s="47"/>
      <c r="BB8"/>
      <c r="BD8"/>
    </row>
    <row r="9" spans="1:56" x14ac:dyDescent="0.25">
      <c r="C9" s="24">
        <f>+E9-D9</f>
        <v>6.2406806238078275E-2</v>
      </c>
      <c r="D9" s="85">
        <v>1.3100000000000001E-2</v>
      </c>
      <c r="E9" s="85">
        <f>+N9/$N$45</f>
        <v>7.5506806238078275E-2</v>
      </c>
      <c r="F9" s="3" t="s">
        <v>15</v>
      </c>
      <c r="G9" s="29">
        <v>110000</v>
      </c>
      <c r="H9" s="9">
        <f>_xll.BDP(F9&amp;" EQUITY",$H$1)</f>
        <v>198.44</v>
      </c>
      <c r="I9" s="112">
        <f>_xll.BDP(F9&amp;" EQUITY",$I$1)</f>
        <v>-0.44</v>
      </c>
      <c r="J9" s="127">
        <f>_xll.BDP(F9&amp;" EQUITY",$J$1)*0.01</f>
        <v>-2.2123889999999999E-3</v>
      </c>
      <c r="K9" s="157">
        <f>+RANK(J9,$J$4:$J$43)</f>
        <v>9</v>
      </c>
      <c r="L9" s="161">
        <f>+I9*G9</f>
        <v>-48400</v>
      </c>
      <c r="M9" s="99"/>
      <c r="N9" s="62">
        <f>+H9*G9</f>
        <v>21828400</v>
      </c>
      <c r="O9" s="36"/>
      <c r="P9" s="173">
        <v>170.1</v>
      </c>
      <c r="Q9" s="765">
        <f>+H9/P9-1</f>
        <v>0.16660787771898877</v>
      </c>
      <c r="R9" s="758" t="s">
        <v>61</v>
      </c>
      <c r="S9" s="99"/>
      <c r="T9" s="173">
        <v>134.1</v>
      </c>
      <c r="U9" s="591">
        <f>+H9/T9-1</f>
        <v>0.47979120059656988</v>
      </c>
      <c r="W9" s="312"/>
      <c r="X9" s="307">
        <f>+Q9*E9</f>
        <v>1.2580028740665125E-2</v>
      </c>
      <c r="Y9" s="45"/>
      <c r="Z9" s="309"/>
      <c r="AA9" s="105" t="str">
        <f>_xll.BDP(F9&amp;" EQUITY",$AA$1)</f>
        <v>5/20/2024</v>
      </c>
      <c r="AB9" s="84">
        <f>_xll.BDP(F9&amp;" EQUITY",$AB$1)</f>
        <v>205.88</v>
      </c>
      <c r="AC9" s="37">
        <f>+H9/AB9-1</f>
        <v>-3.6137555857781223E-2</v>
      </c>
      <c r="AD9" s="106">
        <f>+RANK(AC9,$AC$4:$AC$43)</f>
        <v>8</v>
      </c>
      <c r="AE9" s="47"/>
      <c r="BB9"/>
      <c r="BD9"/>
    </row>
    <row r="10" spans="1:56" x14ac:dyDescent="0.25">
      <c r="C10" s="24">
        <f>+E10-D10</f>
        <v>3.3171905593821202E-2</v>
      </c>
      <c r="D10" s="85">
        <v>8.0000000000000004E-4</v>
      </c>
      <c r="E10" s="85">
        <f>+N10/$N$45</f>
        <v>3.3971905593821204E-2</v>
      </c>
      <c r="F10" s="3" t="s">
        <v>204</v>
      </c>
      <c r="G10" s="101">
        <v>488000</v>
      </c>
      <c r="H10" s="999">
        <f>_xll.BDP(F10&amp;" EQUITY",$H$1)</f>
        <v>20.125</v>
      </c>
      <c r="I10" s="1000">
        <f>_xll.BDP(F10&amp;" EQUITY",$I$1)</f>
        <v>1.4999999999999999E-2</v>
      </c>
      <c r="J10" s="127">
        <f>_xll.BDP(F10&amp;" EQUITY",$J$1)*0.01</f>
        <v>7.4589760000000002E-4</v>
      </c>
      <c r="K10" s="157">
        <f>+RANK(J10,$J$4:$J$43)</f>
        <v>4</v>
      </c>
      <c r="L10" s="161">
        <f>+I10*G10</f>
        <v>7320</v>
      </c>
      <c r="M10" s="99"/>
      <c r="N10" s="62">
        <f>+H10*G10</f>
        <v>9821000</v>
      </c>
      <c r="O10" s="36"/>
      <c r="P10" s="173">
        <v>17.64</v>
      </c>
      <c r="Q10" s="37">
        <f>+H10/P10-1</f>
        <v>0.14087301587301582</v>
      </c>
      <c r="R10" s="758" t="s">
        <v>61</v>
      </c>
      <c r="S10" s="99"/>
      <c r="T10" s="173">
        <v>18.079999999999998</v>
      </c>
      <c r="U10" s="591">
        <f>+H10/T10-1</f>
        <v>0.1131084070796462</v>
      </c>
      <c r="W10" s="312"/>
      <c r="X10" s="307">
        <f>+Q10*E10</f>
        <v>4.7857247959549694E-3</v>
      </c>
      <c r="Y10" s="45"/>
      <c r="Z10" s="309"/>
      <c r="AA10" s="105" t="str">
        <f>_xll.BDP(F10&amp;" EQUITY",$AA$1)</f>
        <v>6/24/2024</v>
      </c>
      <c r="AB10" s="84">
        <f>_xll.BDP(F10&amp;" EQUITY",$AB$1)</f>
        <v>20.190000000000001</v>
      </c>
      <c r="AC10" s="37">
        <f>+H10/AB10-1</f>
        <v>-3.2194155522536905E-3</v>
      </c>
      <c r="AD10" s="40">
        <f>+RANK(AC10,$AC$4:$AC$43)</f>
        <v>1</v>
      </c>
      <c r="AE10" s="47"/>
      <c r="BB10"/>
      <c r="BD10"/>
    </row>
    <row r="11" spans="1:56" x14ac:dyDescent="0.25">
      <c r="C11" s="24">
        <f>+E11-D11</f>
        <v>1.9811989124963805E-2</v>
      </c>
      <c r="D11" s="85">
        <v>1.21E-2</v>
      </c>
      <c r="E11" s="25">
        <f>+N11/$N$45</f>
        <v>3.1911989124963805E-2</v>
      </c>
      <c r="F11" s="3" t="s">
        <v>8</v>
      </c>
      <c r="G11" s="101">
        <v>81000</v>
      </c>
      <c r="H11" s="9">
        <f>_xll.BDP(F11&amp;" EQUITY",$H$1)</f>
        <v>113.895</v>
      </c>
      <c r="I11" s="112">
        <f>_xll.BDP(F11&amp;" EQUITY",$I$1)</f>
        <v>-0.155</v>
      </c>
      <c r="J11" s="127">
        <f>_xll.BDP(F11&amp;" EQUITY",$J$1)*0.01</f>
        <v>-1.359053E-3</v>
      </c>
      <c r="K11" s="157">
        <f>+RANK(J11,$J$4:$J$43)</f>
        <v>8</v>
      </c>
      <c r="L11" s="161">
        <f>+I11*G11</f>
        <v>-12555</v>
      </c>
      <c r="M11" s="99"/>
      <c r="N11" s="62">
        <f>+H11*G11</f>
        <v>9225495</v>
      </c>
      <c r="O11" s="36"/>
      <c r="P11" s="173">
        <v>99.98</v>
      </c>
      <c r="Q11" s="37">
        <f>+H11/P11-1</f>
        <v>0.13917783556711338</v>
      </c>
      <c r="R11" s="758" t="s">
        <v>61</v>
      </c>
      <c r="S11" s="99"/>
      <c r="T11" s="173">
        <v>110.3</v>
      </c>
      <c r="U11" s="591">
        <f>+H11/T11-1</f>
        <v>3.2592928377153108E-2</v>
      </c>
      <c r="W11" s="312"/>
      <c r="X11" s="307">
        <f>+Q11*E11</f>
        <v>4.4414415750537234E-3</v>
      </c>
      <c r="Y11" s="45"/>
      <c r="Z11" s="309"/>
      <c r="AA11" s="105" t="str">
        <f>_xll.BDP(F11&amp;" EQUITY",$AA$1)</f>
        <v>4/12/2024</v>
      </c>
      <c r="AB11" s="84">
        <f>_xll.BDP(F11&amp;" EQUITY",$AB$1)</f>
        <v>123.75</v>
      </c>
      <c r="AC11" s="37">
        <f>+H11/AB11-1</f>
        <v>-7.9636363636363616E-2</v>
      </c>
      <c r="AD11" s="106">
        <f>+RANK(AC11,$AC$4:$AC$43)</f>
        <v>19</v>
      </c>
      <c r="AE11" s="47"/>
      <c r="BB11"/>
      <c r="BD11"/>
    </row>
    <row r="12" spans="1:56" x14ac:dyDescent="0.25">
      <c r="C12" s="24">
        <f>+E12-D12</f>
        <v>2.6442059805500653E-2</v>
      </c>
      <c r="D12" s="85">
        <v>1E-3</v>
      </c>
      <c r="E12" s="85">
        <f>+N12/$N$45</f>
        <v>2.7442059805500654E-2</v>
      </c>
      <c r="F12" s="3" t="s">
        <v>212</v>
      </c>
      <c r="G12" s="101">
        <v>135000</v>
      </c>
      <c r="H12" s="9">
        <f>_xll.BDP(F12&amp;" EQUITY",$H$1)</f>
        <v>58.765000000000001</v>
      </c>
      <c r="I12" s="112">
        <f>_xll.BDP(F12&amp;" EQUITY",$I$1)</f>
        <v>-0.71499999999999997</v>
      </c>
      <c r="J12" s="127">
        <f>_xll.BDP(F12&amp;" EQUITY",$J$1)*0.01</f>
        <v>-1.2020850000000001E-2</v>
      </c>
      <c r="K12" s="157">
        <f>+RANK(J12,$J$4:$J$43)</f>
        <v>27</v>
      </c>
      <c r="L12" s="161">
        <f>+I12*G12</f>
        <v>-96525</v>
      </c>
      <c r="M12" s="99"/>
      <c r="N12" s="62">
        <f>+H12*G12</f>
        <v>7933275</v>
      </c>
      <c r="O12" s="36"/>
      <c r="P12" s="173">
        <v>52.05</v>
      </c>
      <c r="Q12" s="37">
        <f>+H12/P12-1</f>
        <v>0.12901056676272815</v>
      </c>
      <c r="R12" s="758" t="s">
        <v>61</v>
      </c>
      <c r="S12" s="99"/>
      <c r="T12" s="173">
        <v>45.52</v>
      </c>
      <c r="U12" s="591">
        <f>+H12/T12-1</f>
        <v>0.29097100175746915</v>
      </c>
      <c r="W12" s="312"/>
      <c r="X12" s="307">
        <f>+Q12*E12</f>
        <v>3.5403156886443209E-3</v>
      </c>
      <c r="Y12" s="45"/>
      <c r="Z12" s="309"/>
      <c r="AA12" s="105" t="str">
        <f>_xll.BDP(F12&amp;" EQUITY",$AA$1)</f>
        <v>6/10/2024</v>
      </c>
      <c r="AB12" s="84">
        <f>_xll.BDP(F12&amp;" EQUITY",$AB$1)</f>
        <v>60.865000000000002</v>
      </c>
      <c r="AC12" s="37">
        <f>+H12/AB12-1</f>
        <v>-3.4502587694077103E-2</v>
      </c>
      <c r="AD12" s="39">
        <f>+RANK(AC12,$AC$4:$AC$43)</f>
        <v>7</v>
      </c>
      <c r="AE12" s="47"/>
      <c r="BB12"/>
      <c r="BD12"/>
    </row>
    <row r="13" spans="1:56" x14ac:dyDescent="0.25">
      <c r="C13" s="24">
        <f>+E13-D13</f>
        <v>2.3122411459311459E-2</v>
      </c>
      <c r="D13" s="85">
        <v>0</v>
      </c>
      <c r="E13" s="85">
        <f>+N13/$N$45</f>
        <v>2.3122411459311459E-2</v>
      </c>
      <c r="F13" s="3" t="s">
        <v>378</v>
      </c>
      <c r="G13" s="101">
        <v>50000</v>
      </c>
      <c r="H13" s="999">
        <f>_xll.BDP(F13&amp;" EQUITY",$H$1)</f>
        <v>133.69</v>
      </c>
      <c r="I13" s="1000">
        <f>_xll.BDP(F13&amp;" EQUITY",$I$1)</f>
        <v>-0.16</v>
      </c>
      <c r="J13" s="113">
        <f>_xll.BDP(F13&amp;" EQUITY",$J$1)*0.01</f>
        <v>-1.195368E-3</v>
      </c>
      <c r="K13" s="1001">
        <f>+RANK(J13,$J$4:$J$43)</f>
        <v>7</v>
      </c>
      <c r="L13" s="161">
        <f>+I13*G13</f>
        <v>-8000</v>
      </c>
      <c r="M13" s="99"/>
      <c r="N13" s="62">
        <f>+H13*G13</f>
        <v>6684500</v>
      </c>
      <c r="O13" s="77"/>
      <c r="P13" s="173">
        <v>118.92</v>
      </c>
      <c r="Q13" s="37">
        <f>+H13/P13-1</f>
        <v>0.1242011436259669</v>
      </c>
      <c r="R13" s="758" t="s">
        <v>61</v>
      </c>
      <c r="S13" s="99"/>
      <c r="T13" s="173">
        <v>68.44</v>
      </c>
      <c r="U13" s="591">
        <f>+H13/T13-1</f>
        <v>0.9533898305084747</v>
      </c>
      <c r="W13" s="312"/>
      <c r="X13" s="307">
        <f>+Q13*E13</f>
        <v>2.8718299466366456E-3</v>
      </c>
      <c r="Y13" s="45"/>
      <c r="Z13" s="309"/>
      <c r="AA13" s="105" t="str">
        <f>_xll.BDP(F13&amp;" EQUITY",$AA$1)</f>
        <v>5/16/2024</v>
      </c>
      <c r="AB13" s="84">
        <f>_xll.BDP(F13&amp;" EQUITY",$AB$1)</f>
        <v>150.12</v>
      </c>
      <c r="AC13" s="37">
        <f>+H13/AB13-1</f>
        <v>-0.10944577671196376</v>
      </c>
      <c r="AD13" s="39">
        <f>+RANK(AC13,$AC$4:$AC$43)</f>
        <v>20</v>
      </c>
      <c r="AE13" s="47"/>
      <c r="BB13"/>
      <c r="BD13"/>
    </row>
    <row r="14" spans="1:56" x14ac:dyDescent="0.25">
      <c r="C14" s="24">
        <f>+E14-D14</f>
        <v>1.8474032064231413E-2</v>
      </c>
      <c r="D14" s="85">
        <v>1.9E-3</v>
      </c>
      <c r="E14" s="85">
        <f>+N14/$N$45</f>
        <v>2.0374032064231412E-2</v>
      </c>
      <c r="F14" s="3" t="s">
        <v>219</v>
      </c>
      <c r="G14" s="101">
        <v>75300</v>
      </c>
      <c r="H14" s="999">
        <f>_xll.BDP(F14&amp;" EQUITY",$H$1)</f>
        <v>78.22</v>
      </c>
      <c r="I14" s="1000">
        <f>_xll.BDP(F14&amp;" EQUITY",$I$1)</f>
        <v>-1.1200000000000001</v>
      </c>
      <c r="J14" s="113">
        <f>_xll.BDP(F14&amp;" EQUITY",$J$1)*0.01</f>
        <v>-1.4116459999999999E-2</v>
      </c>
      <c r="K14" s="1001">
        <f>+RANK(J14,$J$4:$J$43)</f>
        <v>29</v>
      </c>
      <c r="L14" s="161">
        <f>+I14*G14</f>
        <v>-84336.000000000015</v>
      </c>
      <c r="M14" s="99"/>
      <c r="N14" s="62">
        <f>+H14*G14</f>
        <v>5889966</v>
      </c>
      <c r="O14" s="36"/>
      <c r="P14" s="173">
        <v>70.12</v>
      </c>
      <c r="Q14" s="37">
        <f>+H14/P14-1</f>
        <v>0.11551625784369635</v>
      </c>
      <c r="R14" s="758" t="s">
        <v>61</v>
      </c>
      <c r="S14" s="99"/>
      <c r="T14" s="173">
        <v>71.41</v>
      </c>
      <c r="U14" s="591">
        <f>+H14/T14-1</f>
        <v>9.5364794846660272E-2</v>
      </c>
      <c r="W14" s="312"/>
      <c r="X14" s="307">
        <f>+Q14*E14</f>
        <v>2.3535319412474926E-3</v>
      </c>
      <c r="Y14" s="45"/>
      <c r="Z14" s="309"/>
      <c r="AA14" s="105" t="str">
        <f>_xll.BDP(F14&amp;" EQUITY",$AA$1)</f>
        <v>6/4/2024</v>
      </c>
      <c r="AB14" s="84">
        <f>_xll.BDP(F14&amp;" EQUITY",$AB$1)</f>
        <v>80.84</v>
      </c>
      <c r="AC14" s="37">
        <f>+H14/AB14-1</f>
        <v>-3.2409698169223233E-2</v>
      </c>
      <c r="AD14" s="106">
        <f>+RANK(AC14,$AC$4:$AC$43)</f>
        <v>6</v>
      </c>
      <c r="AE14" s="47"/>
      <c r="AF14" s="78" t="s">
        <v>213</v>
      </c>
      <c r="AG14" s="78" t="s">
        <v>213</v>
      </c>
      <c r="BB14"/>
      <c r="BD14"/>
    </row>
    <row r="15" spans="1:56" x14ac:dyDescent="0.25">
      <c r="C15" s="24">
        <f>+E15-D15</f>
        <v>3.3133181318712478E-2</v>
      </c>
      <c r="D15" s="85">
        <v>6.4999999999999997E-3</v>
      </c>
      <c r="E15" s="85">
        <f>+N15/$N$45</f>
        <v>3.9633181318712477E-2</v>
      </c>
      <c r="F15" s="3" t="s">
        <v>202</v>
      </c>
      <c r="G15" s="29">
        <v>66900</v>
      </c>
      <c r="H15" s="9">
        <f>_xll.BDP(F15&amp;" EQUITY",$H$1)</f>
        <v>171.26499999999999</v>
      </c>
      <c r="I15" s="112">
        <f>_xll.BDP(F15&amp;" EQUITY",$I$1)</f>
        <v>-1.4750000000000001</v>
      </c>
      <c r="J15" s="127">
        <f>_xll.BDP(F15&amp;" EQUITY",$J$1)*0.01</f>
        <v>-8.5388450000000015E-3</v>
      </c>
      <c r="K15" s="157">
        <f>+RANK(J15,$J$4:$J$43)</f>
        <v>19</v>
      </c>
      <c r="L15" s="161">
        <f>+I15*G15</f>
        <v>-98677.5</v>
      </c>
      <c r="M15" s="99"/>
      <c r="N15" s="62">
        <f>+H15*G15</f>
        <v>11457628.5</v>
      </c>
      <c r="O15" s="36"/>
      <c r="P15" s="173">
        <v>154.97</v>
      </c>
      <c r="Q15" s="591">
        <f>+H15/P15-1</f>
        <v>0.10514938375169369</v>
      </c>
      <c r="R15" s="45" t="s">
        <v>61</v>
      </c>
      <c r="S15" s="99"/>
      <c r="T15" s="173">
        <v>161.61000000000001</v>
      </c>
      <c r="U15" s="591">
        <f>+H15/T15-1</f>
        <v>5.9742590186250721E-2</v>
      </c>
      <c r="W15" s="312"/>
      <c r="X15" s="307">
        <f>+Q15*E15</f>
        <v>4.167404591781756E-3</v>
      </c>
      <c r="Y15" s="45"/>
      <c r="Z15" s="309"/>
      <c r="AA15" s="105" t="str">
        <f>_xll.BDP(F15&amp;" EQUITY",$AA$1)</f>
        <v>3/12/2024</v>
      </c>
      <c r="AB15" s="84">
        <f>_xll.BDP(F15&amp;" EQUITY",$AB$1)</f>
        <v>182.89</v>
      </c>
      <c r="AC15" s="37">
        <f>+H15/AB15-1</f>
        <v>-6.3562797309858365E-2</v>
      </c>
      <c r="AD15" s="39">
        <f>+RANK(AC15,$AC$4:$AC$43)</f>
        <v>15</v>
      </c>
      <c r="AE15" s="47"/>
      <c r="AF15" s="78" t="s">
        <v>203</v>
      </c>
      <c r="AG15" s="78" t="s">
        <v>203</v>
      </c>
      <c r="BB15"/>
      <c r="BD15"/>
    </row>
    <row r="16" spans="1:56" x14ac:dyDescent="0.25">
      <c r="C16" s="24">
        <f>+E16-D16</f>
        <v>2.1461561640453129E-2</v>
      </c>
      <c r="D16" s="85">
        <v>3.8999999999999998E-3</v>
      </c>
      <c r="E16" s="85">
        <f>+N16/$N$45</f>
        <v>2.5361561640453129E-2</v>
      </c>
      <c r="F16" s="3" t="s">
        <v>199</v>
      </c>
      <c r="G16" s="29">
        <v>178000</v>
      </c>
      <c r="H16" s="9">
        <f>_xll.BDP(F16&amp;" EQUITY",$H$1)</f>
        <v>41.19</v>
      </c>
      <c r="I16" s="112">
        <f>_xll.BDP(F16&amp;" EQUITY",$I$1)</f>
        <v>0.02</v>
      </c>
      <c r="J16" s="127">
        <f>_xll.BDP(F16&amp;" EQUITY",$J$1)*0.01</f>
        <v>4.8579060000000004E-4</v>
      </c>
      <c r="K16" s="157">
        <f>+RANK(J16,$J$4:$J$43)</f>
        <v>5</v>
      </c>
      <c r="L16" s="161">
        <f>+I16*G16</f>
        <v>3560</v>
      </c>
      <c r="M16" s="99"/>
      <c r="N16" s="62">
        <f>+H16*G16</f>
        <v>7331820</v>
      </c>
      <c r="O16" s="36"/>
      <c r="P16" s="173">
        <v>37.700000000000003</v>
      </c>
      <c r="Q16" s="591">
        <f>+H16/P16-1</f>
        <v>9.2572944297082183E-2</v>
      </c>
      <c r="R16" s="45" t="s">
        <v>61</v>
      </c>
      <c r="S16" s="99"/>
      <c r="T16" s="173">
        <v>39.4</v>
      </c>
      <c r="U16" s="591">
        <f>+H16/T16-1</f>
        <v>4.5431472081218338E-2</v>
      </c>
      <c r="W16" s="312"/>
      <c r="X16" s="307">
        <f>+Q16*E16</f>
        <v>2.3477944330286839E-3</v>
      </c>
      <c r="Y16" s="45"/>
      <c r="Z16" s="309"/>
      <c r="AA16" s="105" t="str">
        <f>_xll.BDP(F16&amp;" EQUITY",$AA$1)</f>
        <v>4/4/2024</v>
      </c>
      <c r="AB16" s="84">
        <f>_xll.BDP(F16&amp;" EQUITY",$AB$1)</f>
        <v>43.42</v>
      </c>
      <c r="AC16" s="37">
        <f>+H16/AB16-1</f>
        <v>-5.1358820819898732E-2</v>
      </c>
      <c r="AD16" s="107">
        <f>+RANK(AC16,$AC$4:$AC$43)</f>
        <v>10</v>
      </c>
      <c r="AE16" s="47"/>
      <c r="AF16" s="78" t="s">
        <v>216</v>
      </c>
      <c r="AG16" s="78" t="s">
        <v>216</v>
      </c>
      <c r="BB16"/>
      <c r="BD16"/>
    </row>
    <row r="17" spans="3:56" x14ac:dyDescent="0.25">
      <c r="C17" s="24">
        <f>+E17-D17</f>
        <v>1.06799487309602E-2</v>
      </c>
      <c r="D17" s="85">
        <v>5.5999999999999999E-3</v>
      </c>
      <c r="E17" s="85">
        <f>+N17/$N$45</f>
        <v>1.6279948730960201E-2</v>
      </c>
      <c r="F17" s="3" t="s">
        <v>225</v>
      </c>
      <c r="G17" s="101">
        <v>74000</v>
      </c>
      <c r="H17" s="9">
        <f>_xll.BDP(F17&amp;" EQUITY",$H$1)</f>
        <v>63.6</v>
      </c>
      <c r="I17" s="112">
        <f>_xll.BDP(F17&amp;" EQUITY",$I$1)</f>
        <v>-0.37</v>
      </c>
      <c r="J17" s="127">
        <f>_xll.BDP(F17&amp;" EQUITY",$J$1)*0.01</f>
        <v>-5.7839609999999998E-3</v>
      </c>
      <c r="K17" s="157">
        <f>+RANK(J17,$J$4:$J$43)</f>
        <v>13</v>
      </c>
      <c r="L17" s="161">
        <f>+I17*G17</f>
        <v>-27380</v>
      </c>
      <c r="M17" s="99"/>
      <c r="N17" s="62">
        <f>+H17*G17</f>
        <v>4706400</v>
      </c>
      <c r="O17" s="36"/>
      <c r="P17" s="173">
        <v>58.93</v>
      </c>
      <c r="Q17" s="37">
        <f>+H17/P17-1</f>
        <v>7.924656371966754E-2</v>
      </c>
      <c r="R17" s="758" t="s">
        <v>61</v>
      </c>
      <c r="S17" s="99"/>
      <c r="T17" s="173">
        <v>63.61</v>
      </c>
      <c r="U17" s="591">
        <f>+H17/T17-1</f>
        <v>-1.572079861656972E-4</v>
      </c>
      <c r="W17" s="312"/>
      <c r="X17" s="307">
        <f>+Q17*E17</f>
        <v>1.2901299944609583E-3</v>
      </c>
      <c r="Y17" s="45"/>
      <c r="Z17" s="309"/>
      <c r="AA17" s="105" t="str">
        <f>_xll.BDP(F17&amp;" EQUITY",$AA$1)</f>
        <v>6/6/2024</v>
      </c>
      <c r="AB17" s="84">
        <f>_xll.BDP(F17&amp;" EQUITY",$AB$1)</f>
        <v>64.36</v>
      </c>
      <c r="AC17" s="37">
        <f>+H17/AB17-1</f>
        <v>-1.1808576755748867E-2</v>
      </c>
      <c r="AD17" s="39">
        <f>+RANK(AC17,$AC$4:$AC$43)</f>
        <v>2</v>
      </c>
      <c r="AE17" s="119"/>
      <c r="AF17" s="78" t="s">
        <v>224</v>
      </c>
      <c r="AG17" s="78" t="s">
        <v>224</v>
      </c>
      <c r="BB17"/>
      <c r="BD17"/>
    </row>
    <row r="18" spans="3:56" x14ac:dyDescent="0.25">
      <c r="C18" s="24">
        <f>+E18-D18</f>
        <v>2.2700000000000001E-2</v>
      </c>
      <c r="D18" s="85">
        <v>1.1000000000000001E-3</v>
      </c>
      <c r="E18" s="85">
        <v>2.3800000000000002E-2</v>
      </c>
      <c r="F18" s="3" t="s">
        <v>207</v>
      </c>
      <c r="G18" s="29">
        <v>88800</v>
      </c>
      <c r="H18" s="9">
        <f>_xll.BDP(F18&amp;" EQUITY",$H$1)</f>
        <v>87.1</v>
      </c>
      <c r="I18" s="112">
        <f>_xll.BDP(F18&amp;" EQUITY",$I$1)</f>
        <v>-1.04</v>
      </c>
      <c r="J18" s="127">
        <f>_xll.BDP(F18&amp;" EQUITY",$J$1)*0.01</f>
        <v>-1.179941E-2</v>
      </c>
      <c r="K18" s="157">
        <f>+RANK(J18,$J$4:$J$43)</f>
        <v>26</v>
      </c>
      <c r="L18" s="161">
        <f>+I18*G18</f>
        <v>-92352</v>
      </c>
      <c r="M18" s="99"/>
      <c r="N18" s="62">
        <f>+H18*G18</f>
        <v>7734479.9999999991</v>
      </c>
      <c r="O18" s="36"/>
      <c r="P18" s="173">
        <v>81.22</v>
      </c>
      <c r="Q18" s="37">
        <f>+H18/P18-1</f>
        <v>7.2395961585816293E-2</v>
      </c>
      <c r="R18" s="758" t="s">
        <v>61</v>
      </c>
      <c r="S18" s="99"/>
      <c r="T18" s="173">
        <v>94.95</v>
      </c>
      <c r="U18" s="591">
        <f>+H18/T18-1</f>
        <v>-8.2675092153765228E-2</v>
      </c>
      <c r="W18" s="312"/>
      <c r="X18" s="307">
        <f>+Q18*E18</f>
        <v>1.7230238857424279E-3</v>
      </c>
      <c r="Y18" s="45"/>
      <c r="Z18" s="309"/>
      <c r="AA18" s="108">
        <v>44559</v>
      </c>
      <c r="AB18" s="84">
        <v>417.37</v>
      </c>
      <c r="AC18" s="37">
        <f>+H18/AB18-1</f>
        <v>-0.79131226489685413</v>
      </c>
      <c r="AD18" s="107">
        <f>+RANK(AC18,$AC$4:$AC$43)</f>
        <v>39</v>
      </c>
      <c r="AE18" s="47"/>
      <c r="AF18" s="78" t="s">
        <v>228</v>
      </c>
      <c r="AG18" s="78" t="s">
        <v>228</v>
      </c>
      <c r="BB18"/>
      <c r="BD18"/>
    </row>
    <row r="19" spans="3:56" x14ac:dyDescent="0.25">
      <c r="C19" s="24">
        <f>+E19-D19</f>
        <v>1.3776842461465776E-2</v>
      </c>
      <c r="D19" s="85">
        <v>2.9999999999999997E-4</v>
      </c>
      <c r="E19" s="85">
        <f>+N19/$N$45</f>
        <v>1.4076842461465776E-2</v>
      </c>
      <c r="F19" s="3" t="s">
        <v>356</v>
      </c>
      <c r="G19" s="29">
        <v>100000</v>
      </c>
      <c r="H19" s="9">
        <f>_xll.BDP(F19&amp;" EQUITY",$H$1)</f>
        <v>40.695</v>
      </c>
      <c r="I19" s="112">
        <f>_xll.BDP(F19&amp;" EQUITY",$I$1)</f>
        <v>-0.46500000000000002</v>
      </c>
      <c r="J19" s="127">
        <f>_xll.BDP(F19&amp;" EQUITY",$J$1)*0.01</f>
        <v>-1.1297379999999999E-2</v>
      </c>
      <c r="K19" s="157">
        <f>+RANK(J19,$J$4:$J$43)</f>
        <v>25</v>
      </c>
      <c r="L19" s="161">
        <f>+I19*G19</f>
        <v>-46500</v>
      </c>
      <c r="M19" s="99"/>
      <c r="N19" s="62">
        <f>+H19*G19</f>
        <v>4069500</v>
      </c>
      <c r="O19" s="36"/>
      <c r="P19" s="173">
        <v>38</v>
      </c>
      <c r="Q19" s="37">
        <f>+H19/P19-1</f>
        <v>7.0921052631578885E-2</v>
      </c>
      <c r="R19" s="758" t="s">
        <v>61</v>
      </c>
      <c r="S19" s="99"/>
      <c r="T19" s="173">
        <v>38.729999999999997</v>
      </c>
      <c r="U19" s="591">
        <f>+H19/T19-1</f>
        <v>5.0735863671572456E-2</v>
      </c>
      <c r="W19" s="312"/>
      <c r="X19" s="307">
        <f>+Q19*E19</f>
        <v>9.9834448509605878E-4</v>
      </c>
      <c r="Y19" s="45"/>
      <c r="Z19" s="309"/>
      <c r="AA19" s="105" t="str">
        <f>_xll.BDP(F19&amp;" EQUITY",$AA$1)</f>
        <v>7/12/2023</v>
      </c>
      <c r="AB19" s="84">
        <f>_xll.BDP(F19&amp;" EQUITY",$AB$1)</f>
        <v>44.02</v>
      </c>
      <c r="AC19" s="37">
        <f>+H19/AB19-1</f>
        <v>-7.5533848250795121E-2</v>
      </c>
      <c r="AD19" s="39">
        <f>+RANK(AC19,$AC$4:$AC$43)</f>
        <v>17</v>
      </c>
      <c r="AE19" s="47"/>
      <c r="AF19" s="78" t="s">
        <v>231</v>
      </c>
      <c r="AG19" s="78" t="s">
        <v>231</v>
      </c>
      <c r="BB19"/>
      <c r="BD19"/>
    </row>
    <row r="20" spans="3:56" x14ac:dyDescent="0.25">
      <c r="C20" s="24">
        <f>+E20-D20</f>
        <v>3.4465646618893689E-2</v>
      </c>
      <c r="D20" s="85">
        <v>6.6E-3</v>
      </c>
      <c r="E20" s="85">
        <f>+N20/$N$45</f>
        <v>4.1065646618893691E-2</v>
      </c>
      <c r="F20" s="3" t="s">
        <v>7</v>
      </c>
      <c r="G20" s="101">
        <v>75000</v>
      </c>
      <c r="H20" s="9">
        <f>_xll.BDP(F20&amp;" EQUITY",$H$1)</f>
        <v>158.28989999999999</v>
      </c>
      <c r="I20" s="112">
        <f>_xll.BDP(F20&amp;" EQUITY",$I$1)</f>
        <v>-1.0201</v>
      </c>
      <c r="J20" s="127">
        <f>_xll.BDP(F20&amp;" EQUITY",$J$1)*0.01</f>
        <v>-6.4032389999999998E-3</v>
      </c>
      <c r="K20" s="157">
        <f>+RANK(J20,$J$4:$J$43)</f>
        <v>15</v>
      </c>
      <c r="L20" s="161">
        <f>+I20*G20</f>
        <v>-76507.5</v>
      </c>
      <c r="M20" s="99"/>
      <c r="N20" s="62">
        <f>+H20*G20</f>
        <v>11871742.5</v>
      </c>
      <c r="O20" s="36"/>
      <c r="P20" s="173">
        <v>149.16</v>
      </c>
      <c r="Q20" s="37">
        <f>+H20/P20-1</f>
        <v>6.1208769106999128E-2</v>
      </c>
      <c r="R20" s="758" t="s">
        <v>61</v>
      </c>
      <c r="S20" s="99"/>
      <c r="T20" s="173">
        <v>179.49</v>
      </c>
      <c r="U20" s="591">
        <f>+H20/T20-1</f>
        <v>-0.11811298679592186</v>
      </c>
      <c r="W20" s="312"/>
      <c r="X20" s="307">
        <f>+Q20*E20</f>
        <v>2.5135776821254832E-3</v>
      </c>
      <c r="Y20" s="45"/>
      <c r="Z20" s="309"/>
      <c r="AA20" s="105" t="str">
        <f>_xll.BDP(F20&amp;" EQUITY",$AA$1)</f>
        <v>9/28/2023</v>
      </c>
      <c r="AB20" s="84">
        <f>_xll.BDP(F20&amp;" EQUITY",$AB$1)</f>
        <v>171.7</v>
      </c>
      <c r="AC20" s="37">
        <f>+H20/AB20-1</f>
        <v>-7.8101921956901577E-2</v>
      </c>
      <c r="AD20" s="107">
        <f>+RANK(AC20,$AC$4:$AC$43)</f>
        <v>18</v>
      </c>
      <c r="AE20" s="47"/>
      <c r="AF20" s="78" t="s">
        <v>40</v>
      </c>
      <c r="AG20" s="78" t="s">
        <v>40</v>
      </c>
      <c r="BB20"/>
      <c r="BD20"/>
    </row>
    <row r="21" spans="3:56" x14ac:dyDescent="0.25">
      <c r="C21" s="24">
        <f>+E21-D21</f>
        <v>2.2255964812764269E-2</v>
      </c>
      <c r="D21" s="85">
        <v>8.9999999999999998E-4</v>
      </c>
      <c r="E21" s="85">
        <f>+N21/$N$45</f>
        <v>2.315596481276427E-2</v>
      </c>
      <c r="F21" s="3" t="s">
        <v>133</v>
      </c>
      <c r="G21" s="29">
        <v>30000</v>
      </c>
      <c r="H21" s="9">
        <f>_xll.BDP(F21&amp;" EQUITY",$H$1)</f>
        <v>223.14</v>
      </c>
      <c r="I21" s="112">
        <f>_xll.BDP(F21&amp;" EQUITY",$I$1)</f>
        <v>-2.35</v>
      </c>
      <c r="J21" s="127">
        <f>_xll.BDP(F21&amp;" EQUITY",$J$1)*0.01</f>
        <v>-1.042175E-2</v>
      </c>
      <c r="K21" s="157">
        <f>+RANK(J21,$J$4:$J$43)</f>
        <v>24</v>
      </c>
      <c r="L21" s="161">
        <f>+I21*G21</f>
        <v>-70500</v>
      </c>
      <c r="M21" s="99"/>
      <c r="N21" s="62">
        <f>+H21*G21</f>
        <v>6694200</v>
      </c>
      <c r="O21" s="36"/>
      <c r="P21" s="173">
        <v>210.62</v>
      </c>
      <c r="Q21" s="37">
        <f>+H21/P21-1</f>
        <v>5.9443547621308435E-2</v>
      </c>
      <c r="R21" s="758" t="s">
        <v>61</v>
      </c>
      <c r="S21" s="99"/>
      <c r="T21" s="173">
        <v>208.12</v>
      </c>
      <c r="U21" s="591">
        <f>+H21/T21-1</f>
        <v>7.2169901979627138E-2</v>
      </c>
      <c r="W21" s="312"/>
      <c r="X21" s="307">
        <f>+Q21*E21</f>
        <v>1.3764726970648953E-3</v>
      </c>
      <c r="Y21" s="45"/>
      <c r="Z21" s="309"/>
      <c r="AA21" s="105" t="str">
        <f>_xll.BDP(F21&amp;" EQUITY",$AA$1)</f>
        <v>6/24/2024</v>
      </c>
      <c r="AB21" s="84">
        <f>_xll.BDP(F21&amp;" EQUITY",$AB$1)</f>
        <v>228.13</v>
      </c>
      <c r="AC21" s="37">
        <f>+H21/AB21-1</f>
        <v>-2.1873493183711123E-2</v>
      </c>
      <c r="AD21" s="107">
        <f>+RANK(AC21,$AC$4:$AC$43)</f>
        <v>4</v>
      </c>
      <c r="AE21" s="47"/>
      <c r="AF21" s="78" t="s">
        <v>199</v>
      </c>
      <c r="AG21" s="78" t="s">
        <v>199</v>
      </c>
      <c r="BB21"/>
      <c r="BD21"/>
    </row>
    <row r="22" spans="3:56" x14ac:dyDescent="0.25">
      <c r="C22" s="24">
        <f>+E22-D22</f>
        <v>2.5209775627705024E-2</v>
      </c>
      <c r="D22" s="85">
        <v>2.8E-3</v>
      </c>
      <c r="E22" s="85">
        <f>+N22/$N$45</f>
        <v>2.8009775627705024E-2</v>
      </c>
      <c r="F22" s="3" t="s">
        <v>215</v>
      </c>
      <c r="G22" s="101">
        <v>83000</v>
      </c>
      <c r="H22" s="9">
        <f>_xll.BDP(F22&amp;" EQUITY",$H$1)</f>
        <v>97.558999999999997</v>
      </c>
      <c r="I22" s="112">
        <f>_xll.BDP(F22&amp;" EQUITY",$I$1)</f>
        <v>0.45900000000000002</v>
      </c>
      <c r="J22" s="127">
        <f>_xll.BDP(F22&amp;" EQUITY",$J$1)*0.01</f>
        <v>4.7270849999999998E-3</v>
      </c>
      <c r="K22" s="157">
        <f>+RANK(J22,$J$4:$J$43)</f>
        <v>2</v>
      </c>
      <c r="L22" s="161">
        <f>+I22*G22</f>
        <v>38097</v>
      </c>
      <c r="M22" s="99"/>
      <c r="N22" s="62">
        <f>+H22*G22</f>
        <v>8097397</v>
      </c>
      <c r="O22" s="36"/>
      <c r="P22" s="173">
        <v>92.25</v>
      </c>
      <c r="Q22" s="37">
        <f>+H22/P22-1</f>
        <v>5.7550135501355015E-2</v>
      </c>
      <c r="R22" s="758" t="s">
        <v>61</v>
      </c>
      <c r="S22" s="99"/>
      <c r="T22" s="173">
        <v>85.02</v>
      </c>
      <c r="U22" s="591">
        <f>+H22/T22-1</f>
        <v>0.14748294518936733</v>
      </c>
      <c r="W22" s="312"/>
      <c r="X22" s="307">
        <f>+Q22*E22</f>
        <v>1.6119663827369754E-3</v>
      </c>
      <c r="Y22" s="45"/>
      <c r="Z22" s="309"/>
      <c r="AA22" s="105" t="str">
        <f>_xll.BDP(F22&amp;" EQUITY",$AA$1)</f>
        <v>5/21/2024</v>
      </c>
      <c r="AB22" s="84">
        <f>_xll.BDP(F22&amp;" EQUITY",$AB$1)</f>
        <v>103.25</v>
      </c>
      <c r="AC22" s="37">
        <f>+H22/AB22-1</f>
        <v>-5.5118644067796652E-2</v>
      </c>
      <c r="AD22" s="39">
        <f>+RANK(AC22,$AC$4:$AC$43)</f>
        <v>13</v>
      </c>
      <c r="AE22" s="47"/>
      <c r="AF22" s="78"/>
      <c r="AG22" s="78"/>
      <c r="BB22"/>
      <c r="BD22"/>
    </row>
    <row r="23" spans="3:56" x14ac:dyDescent="0.25">
      <c r="C23" s="24">
        <f>+E23-D23</f>
        <v>8.9999999999999993E-3</v>
      </c>
      <c r="D23" s="85">
        <v>5.0000000000000001E-4</v>
      </c>
      <c r="E23" s="85">
        <v>9.4999999999999998E-3</v>
      </c>
      <c r="F23" s="3" t="s">
        <v>226</v>
      </c>
      <c r="G23" s="101">
        <v>107200</v>
      </c>
      <c r="H23" s="9">
        <f>_xll.BDP(F23&amp;" EQUITY",$H$1)</f>
        <v>38.32</v>
      </c>
      <c r="I23" s="112">
        <f>_xll.BDP(F23&amp;" EQUITY",$I$1)</f>
        <v>-0.18</v>
      </c>
      <c r="J23" s="127">
        <f>_xll.BDP(F23&amp;" EQUITY",$J$1)*0.01</f>
        <v>-4.6753250000000001E-3</v>
      </c>
      <c r="K23" s="157">
        <f>+RANK(J23,$J$4:$J$43)</f>
        <v>10</v>
      </c>
      <c r="L23" s="161">
        <f>+I23*G23</f>
        <v>-19296</v>
      </c>
      <c r="M23" s="99"/>
      <c r="N23" s="62">
        <f>+H23*G23</f>
        <v>4107904</v>
      </c>
      <c r="O23" s="36"/>
      <c r="P23" s="173">
        <v>36.659999999999997</v>
      </c>
      <c r="Q23" s="37">
        <f>+H23/P23-1</f>
        <v>4.5280960174577389E-2</v>
      </c>
      <c r="R23" s="758" t="s">
        <v>61</v>
      </c>
      <c r="S23" s="99"/>
      <c r="T23" s="173">
        <v>41.94</v>
      </c>
      <c r="U23" s="591">
        <f>+H23/T23-1</f>
        <v>-8.6313781592751493E-2</v>
      </c>
      <c r="W23" s="312"/>
      <c r="X23" s="307">
        <f>+Q23*E23</f>
        <v>4.301691216584852E-4</v>
      </c>
      <c r="Y23" s="45"/>
      <c r="Z23" s="309"/>
      <c r="AA23" s="105" t="str">
        <f>_xll.BDP(F23&amp;" EQUITY",$AA$1)</f>
        <v>5/15/2024</v>
      </c>
      <c r="AB23" s="84">
        <f>_xll.BDP(F23&amp;" EQUITY",$AB$1)</f>
        <v>40.65</v>
      </c>
      <c r="AC23" s="37">
        <f>+H23/AB23-1</f>
        <v>-5.7318573185731858E-2</v>
      </c>
      <c r="AD23" s="39">
        <f>+RANK(AC23,$AC$4:$AC$43)</f>
        <v>14</v>
      </c>
      <c r="AE23" s="47"/>
      <c r="AF23" s="78"/>
      <c r="AG23" s="78"/>
      <c r="BB23"/>
      <c r="BD23"/>
    </row>
    <row r="24" spans="3:56" x14ac:dyDescent="0.25">
      <c r="C24" s="24">
        <f>+E24-D24</f>
        <v>8.9099999999999995E-3</v>
      </c>
      <c r="D24" s="85">
        <v>2.3E-3</v>
      </c>
      <c r="E24" s="85">
        <v>1.1209999999999999E-2</v>
      </c>
      <c r="F24" s="3" t="s">
        <v>25</v>
      </c>
      <c r="G24" s="101">
        <v>20000</v>
      </c>
      <c r="H24" s="9">
        <f>_xll.BDP(F24&amp;" EQUITY",$H$1)</f>
        <v>467.49</v>
      </c>
      <c r="I24" s="112">
        <f>_xll.BDP(F24&amp;" EQUITY",$I$1)</f>
        <v>-4.0199999999999996</v>
      </c>
      <c r="J24" s="127">
        <f>_xll.BDP(F24&amp;" EQUITY",$J$1)*0.01</f>
        <v>-8.5258E-3</v>
      </c>
      <c r="K24" s="157">
        <f>+RANK(J24,$J$4:$J$43)</f>
        <v>18</v>
      </c>
      <c r="L24" s="161">
        <f>+I24*G24</f>
        <v>-80399.999999999985</v>
      </c>
      <c r="M24" s="99"/>
      <c r="N24" s="62">
        <f>+H24*G24</f>
        <v>9349800</v>
      </c>
      <c r="O24" s="36"/>
      <c r="P24" s="173">
        <v>453.24</v>
      </c>
      <c r="Q24" s="37">
        <f>+H24/P24-1</f>
        <v>3.1440296531638934E-2</v>
      </c>
      <c r="R24" s="758" t="s">
        <v>61</v>
      </c>
      <c r="S24" s="99"/>
      <c r="T24" s="173">
        <v>486.49</v>
      </c>
      <c r="U24" s="591">
        <f>+H24/T24-1</f>
        <v>-3.9055273489691511E-2</v>
      </c>
      <c r="W24" s="312"/>
      <c r="X24" s="307">
        <f>+Q24*E24</f>
        <v>3.5244572411967243E-4</v>
      </c>
      <c r="Y24" s="45"/>
      <c r="Z24" s="309"/>
      <c r="AA24" s="105" t="str">
        <f>_xll.BDP(F24&amp;" EQUITY",$AA$1)</f>
        <v>7/18/2023</v>
      </c>
      <c r="AB24" s="84">
        <f>_xll.BDP(F24&amp;" EQUITY",$AB$1)</f>
        <v>479.5</v>
      </c>
      <c r="AC24" s="37">
        <f>+H24/AB24-1</f>
        <v>-2.5046923879040617E-2</v>
      </c>
      <c r="AD24" s="39">
        <f>+RANK(AC24,$AC$4:$AC$43)</f>
        <v>5</v>
      </c>
      <c r="AE24" s="119"/>
      <c r="BB24"/>
      <c r="BD24"/>
    </row>
    <row r="25" spans="3:56" x14ac:dyDescent="0.25">
      <c r="C25" s="24">
        <f>+E25-D25</f>
        <v>2.4507627843478288E-2</v>
      </c>
      <c r="D25" s="85">
        <v>1.8E-3</v>
      </c>
      <c r="E25" s="85">
        <f>+N25/$N$45</f>
        <v>2.6307627843478287E-2</v>
      </c>
      <c r="F25" s="3" t="s">
        <v>208</v>
      </c>
      <c r="G25" s="101">
        <v>76000</v>
      </c>
      <c r="H25" s="9">
        <f>_xll.BDP(F25&amp;" EQUITY",$H$1)</f>
        <v>100.07</v>
      </c>
      <c r="I25" s="112">
        <f>_xll.BDP(F25&amp;" EQUITY",$I$1)</f>
        <v>-1.44</v>
      </c>
      <c r="J25" s="127">
        <f>_xll.BDP(F25&amp;" EQUITY",$J$1)*0.01</f>
        <v>-1.418579E-2</v>
      </c>
      <c r="K25" s="157">
        <f>+RANK(J25,$J$4:$J$43)</f>
        <v>30</v>
      </c>
      <c r="L25" s="161">
        <f>+I25*G25</f>
        <v>-109440</v>
      </c>
      <c r="M25" s="99"/>
      <c r="N25" s="62">
        <f>+H25*G25</f>
        <v>7605319.9999999991</v>
      </c>
      <c r="O25" s="36"/>
      <c r="P25" s="173">
        <v>97.04</v>
      </c>
      <c r="Q25" s="37">
        <f>+H25/P25-1</f>
        <v>3.1224237427864621E-2</v>
      </c>
      <c r="R25" s="758" t="s">
        <v>61</v>
      </c>
      <c r="S25" s="99"/>
      <c r="T25" s="173">
        <v>102.99</v>
      </c>
      <c r="U25" s="591">
        <f>+H25/T25-1</f>
        <v>-2.8352267210408844E-2</v>
      </c>
      <c r="W25" s="312"/>
      <c r="X25" s="307">
        <f>+Q25*E25</f>
        <v>8.2143561794866817E-4</v>
      </c>
      <c r="Y25" s="45"/>
      <c r="Z25" s="309"/>
      <c r="AA25" s="105" t="str">
        <f>_xll.BDP(F25&amp;" EQUITY",$AA$1)</f>
        <v>6/4/2024</v>
      </c>
      <c r="AB25" s="84">
        <f>_xll.BDP(F25&amp;" EQUITY",$AB$1)</f>
        <v>104.8693</v>
      </c>
      <c r="AC25" s="37">
        <f>+H25/AB25-1</f>
        <v>-4.5764585059688612E-2</v>
      </c>
      <c r="AD25" s="39">
        <f>+RANK(AC25,$AC$4:$AC$43)</f>
        <v>9</v>
      </c>
      <c r="AE25" s="119"/>
      <c r="BB25"/>
      <c r="BD25"/>
    </row>
    <row r="26" spans="3:56" x14ac:dyDescent="0.25">
      <c r="C26" s="24">
        <f>+E26-D26</f>
        <v>1.5278823727663452E-2</v>
      </c>
      <c r="D26" s="85">
        <v>2.5000000000000001E-3</v>
      </c>
      <c r="E26" s="85">
        <f>+N26/$N$45</f>
        <v>1.7778823727663453E-2</v>
      </c>
      <c r="F26" s="3" t="s">
        <v>222</v>
      </c>
      <c r="G26" s="101">
        <v>6500</v>
      </c>
      <c r="H26" s="9">
        <f>_xll.BDP(F26&amp;" EQUITY",$H$1)</f>
        <v>790.72500000000002</v>
      </c>
      <c r="I26" s="112">
        <f>_xll.BDP(F26&amp;" EQUITY",$I$1)</f>
        <v>-8.2249999999999996</v>
      </c>
      <c r="J26" s="127">
        <f>_xll.BDP(F26&amp;" EQUITY",$J$1)*0.01</f>
        <v>-1.029476E-2</v>
      </c>
      <c r="K26" s="157">
        <f>+RANK(J26,$J$4:$J$43)</f>
        <v>23</v>
      </c>
      <c r="L26" s="161">
        <f>+I26*G26</f>
        <v>-53462.5</v>
      </c>
      <c r="M26" s="99"/>
      <c r="N26" s="62">
        <f>+H26*G26</f>
        <v>5139712.5</v>
      </c>
      <c r="O26" s="36"/>
      <c r="P26" s="173">
        <v>811.8</v>
      </c>
      <c r="Q26" s="37">
        <f>+H26/P26-1</f>
        <v>-2.5960827790096008E-2</v>
      </c>
      <c r="R26" s="758"/>
      <c r="S26" s="99"/>
      <c r="T26" s="173">
        <v>708.63</v>
      </c>
      <c r="U26" s="591">
        <f>+H26/T26-1</f>
        <v>0.115850302696753</v>
      </c>
      <c r="W26" s="312"/>
      <c r="X26" s="307">
        <f>+Q26*E26</f>
        <v>-4.6155298110434366E-4</v>
      </c>
      <c r="Y26" s="45"/>
      <c r="Z26" s="309"/>
      <c r="AA26" s="105" t="str">
        <f>_xll.BDP(F26&amp;" EQUITY",$AA$1)</f>
        <v>3/8/2024</v>
      </c>
      <c r="AB26" s="84">
        <f>_xll.BDP(F26&amp;" EQUITY",$AB$1)</f>
        <v>845</v>
      </c>
      <c r="AC26" s="37">
        <f>+H26/AB26-1</f>
        <v>-6.4230769230769202E-2</v>
      </c>
      <c r="AD26" s="39">
        <f>+RANK(AC26,$AC$4:$AC$43)</f>
        <v>16</v>
      </c>
      <c r="AE26" s="47"/>
      <c r="BB26"/>
      <c r="BD26"/>
    </row>
    <row r="27" spans="3:56" x14ac:dyDescent="0.25">
      <c r="C27" s="24">
        <f>+E27-D27</f>
        <v>3.0823623365966602E-2</v>
      </c>
      <c r="D27" s="85">
        <v>8.9999999999999998E-4</v>
      </c>
      <c r="E27" s="85">
        <f>+N27/$N$45</f>
        <v>3.1723623365966604E-2</v>
      </c>
      <c r="F27" s="3" t="s">
        <v>201</v>
      </c>
      <c r="G27" s="101">
        <v>172000</v>
      </c>
      <c r="H27" s="9">
        <f>_xll.BDP(F27&amp;" EQUITY",$H$1)</f>
        <v>53.32</v>
      </c>
      <c r="I27" s="112">
        <f>_xll.BDP(F27&amp;" EQUITY",$I$1)</f>
        <v>-1.3</v>
      </c>
      <c r="J27" s="127">
        <f>_xll.BDP(F27&amp;" EQUITY",$J$1)*0.01</f>
        <v>-2.3800810000000002E-2</v>
      </c>
      <c r="K27" s="157">
        <f>+RANK(J27,$J$4:$J$43)</f>
        <v>37</v>
      </c>
      <c r="L27" s="161">
        <f>+I27*G27</f>
        <v>-223600</v>
      </c>
      <c r="M27" s="99"/>
      <c r="N27" s="62">
        <f>+H27*G27</f>
        <v>9171040</v>
      </c>
      <c r="O27" s="36"/>
      <c r="P27" s="173">
        <v>54.84</v>
      </c>
      <c r="Q27" s="37">
        <f>+H27/P27-1</f>
        <v>-2.7716994894237845E-2</v>
      </c>
      <c r="R27" s="758"/>
      <c r="S27" s="99"/>
      <c r="T27" s="173">
        <v>50.39</v>
      </c>
      <c r="U27" s="591">
        <f>+H27/T27-1</f>
        <v>5.8146457630482207E-2</v>
      </c>
      <c r="W27" s="312"/>
      <c r="X27" s="307">
        <f>+Q27*E27</f>
        <v>-8.7928350686122076E-4</v>
      </c>
      <c r="Y27" s="45"/>
      <c r="Z27" s="309"/>
      <c r="AA27" s="105" t="str">
        <f>_xll.BDP(F27&amp;" EQUITY",$AA$1)</f>
        <v>4/4/2024</v>
      </c>
      <c r="AB27" s="84">
        <f>_xll.BDP(F27&amp;" EQUITY",$AB$1)</f>
        <v>60.69</v>
      </c>
      <c r="AC27" s="37">
        <f>+H27/AB27-1</f>
        <v>-0.1214368100181249</v>
      </c>
      <c r="AD27" s="39">
        <f>+RANK(AC27,$AC$4:$AC$43)</f>
        <v>23</v>
      </c>
      <c r="AE27" s="47"/>
      <c r="BB27"/>
      <c r="BD27"/>
    </row>
    <row r="28" spans="3:56" x14ac:dyDescent="0.25">
      <c r="C28" s="24">
        <f>+E28-D28</f>
        <v>3.8677589166268331E-2</v>
      </c>
      <c r="D28" s="85">
        <v>7.9000000000000008E-3</v>
      </c>
      <c r="E28" s="85">
        <f>+N28/$N$45</f>
        <v>4.6577589166268335E-2</v>
      </c>
      <c r="F28" s="3" t="s">
        <v>13</v>
      </c>
      <c r="G28" s="101">
        <v>40000</v>
      </c>
      <c r="H28" s="9">
        <f>_xll.BDP(F28&amp;" EQUITY",$H$1)</f>
        <v>336.63</v>
      </c>
      <c r="I28" s="112">
        <f>_xll.BDP(F28&amp;" EQUITY",$I$1)</f>
        <v>-14.25</v>
      </c>
      <c r="J28" s="127">
        <f>_xll.BDP(F28&amp;" EQUITY",$J$1)*0.01</f>
        <v>-4.0612180000000005E-2</v>
      </c>
      <c r="K28" s="157">
        <f>+RANK(J28,$J$4:$J$43)</f>
        <v>39</v>
      </c>
      <c r="L28" s="161">
        <f>+I28*G28</f>
        <v>-570000</v>
      </c>
      <c r="M28" s="99"/>
      <c r="N28" s="62">
        <f>+H28*G28</f>
        <v>13465200</v>
      </c>
      <c r="O28" s="36"/>
      <c r="P28" s="173">
        <v>346.55</v>
      </c>
      <c r="Q28" s="37">
        <f>+H28/P28-1</f>
        <v>-2.8625018034915684E-2</v>
      </c>
      <c r="R28" s="758"/>
      <c r="S28" s="99"/>
      <c r="T28" s="173">
        <v>315.86</v>
      </c>
      <c r="U28" s="591">
        <f>+H28/T28-1</f>
        <v>6.5756980940923082E-2</v>
      </c>
      <c r="W28" s="312"/>
      <c r="X28" s="307">
        <f>+Q28*E28</f>
        <v>-1.3332843299073245E-3</v>
      </c>
      <c r="Y28" s="45"/>
      <c r="Z28" s="309"/>
      <c r="AA28" s="105" t="str">
        <f>_xll.BDP(F28&amp;" EQUITY",$AA$1)</f>
        <v>3/21/2024</v>
      </c>
      <c r="AB28" s="84">
        <f>_xll.BDP(F28&amp;" EQUITY",$AB$1)</f>
        <v>396.87299999999999</v>
      </c>
      <c r="AC28" s="37">
        <f>+H28/AB28-1</f>
        <v>-0.1517941507736732</v>
      </c>
      <c r="AD28" s="39">
        <f>+RANK(AC28,$AC$4:$AC$43)</f>
        <v>27</v>
      </c>
      <c r="AE28" s="47"/>
      <c r="BB28"/>
      <c r="BD28"/>
    </row>
    <row r="29" spans="3:56" x14ac:dyDescent="0.25">
      <c r="C29" s="24">
        <f>+E29-D29</f>
        <v>2.3491453655955147E-2</v>
      </c>
      <c r="D29" s="85">
        <v>8.2000000000000007E-3</v>
      </c>
      <c r="E29" s="85">
        <f>+N29/$N$45</f>
        <v>3.1691453655955146E-2</v>
      </c>
      <c r="F29" s="3" t="s">
        <v>200</v>
      </c>
      <c r="G29" s="29">
        <v>62000</v>
      </c>
      <c r="H29" s="9">
        <f>_xll.BDP(F29&amp;" EQUITY",$H$1)</f>
        <v>147.77000000000001</v>
      </c>
      <c r="I29" s="112">
        <f>_xll.BDP(F29&amp;" EQUITY",$I$1)</f>
        <v>-1.35</v>
      </c>
      <c r="J29" s="127">
        <f>_xll.BDP(F29&amp;" EQUITY",$J$1)*0.01</f>
        <v>-9.0531120000000003E-3</v>
      </c>
      <c r="K29" s="157">
        <f>+RANK(J29,$J$4:$J$43)</f>
        <v>21</v>
      </c>
      <c r="L29" s="161">
        <f>+I29*G29</f>
        <v>-83700</v>
      </c>
      <c r="M29" s="99"/>
      <c r="N29" s="62">
        <f>+H29*G29</f>
        <v>9161740</v>
      </c>
      <c r="O29" s="36"/>
      <c r="P29" s="173">
        <v>156.74</v>
      </c>
      <c r="Q29" s="37">
        <f>+H29/P29-1</f>
        <v>-5.7228531325762444E-2</v>
      </c>
      <c r="R29" s="758"/>
      <c r="S29" s="99"/>
      <c r="T29" s="173">
        <v>176.65</v>
      </c>
      <c r="U29" s="591">
        <f>+H29/T29-1</f>
        <v>-0.16348712142654964</v>
      </c>
      <c r="W29" s="312"/>
      <c r="X29" s="307">
        <f>+Q29*E29</f>
        <v>-1.8136553483087778E-3</v>
      </c>
      <c r="Y29" s="45"/>
      <c r="Z29" s="309"/>
      <c r="AA29" s="105" t="str">
        <f>_xll.BDP(F29&amp;" EQUITY",$AA$1)</f>
        <v>8/10/2023</v>
      </c>
      <c r="AB29" s="84">
        <f>_xll.BDP(F29&amp;" EQUITY",$AB$1)</f>
        <v>175.97</v>
      </c>
      <c r="AC29" s="37">
        <f>+H29/AB29-1</f>
        <v>-0.16025458885037214</v>
      </c>
      <c r="AD29" s="39">
        <f>+RANK(AC29,$AC$4:$AC$43)</f>
        <v>29</v>
      </c>
      <c r="AE29" s="47"/>
      <c r="BB29"/>
      <c r="BD29"/>
    </row>
    <row r="30" spans="3:56" x14ac:dyDescent="0.25">
      <c r="C30" s="24">
        <f>+E30-D30</f>
        <v>2.0182469439437044E-2</v>
      </c>
      <c r="D30" s="85">
        <v>4.4999999999999997E-3</v>
      </c>
      <c r="E30" s="85">
        <f>+N30/$N$45</f>
        <v>2.4682469439437044E-2</v>
      </c>
      <c r="F30" s="3" t="s">
        <v>209</v>
      </c>
      <c r="G30" s="29">
        <v>150000</v>
      </c>
      <c r="H30" s="9">
        <f>_xll.BDP(F30&amp;" EQUITY",$H$1)</f>
        <v>47.57</v>
      </c>
      <c r="I30" s="112">
        <f>_xll.BDP(F30&amp;" EQUITY",$I$1)</f>
        <v>0.28999999999999998</v>
      </c>
      <c r="J30" s="127">
        <f>_xll.BDP(F30&amp;" EQUITY",$J$1)*0.01</f>
        <v>6.1336719999999997E-3</v>
      </c>
      <c r="K30" s="157">
        <f>+RANK(J30,$J$4:$J$43)</f>
        <v>1</v>
      </c>
      <c r="L30" s="161">
        <f>+I30*G30</f>
        <v>43500</v>
      </c>
      <c r="M30" s="99"/>
      <c r="N30" s="62">
        <f>+H30*G30</f>
        <v>7135500</v>
      </c>
      <c r="O30" s="36"/>
      <c r="P30" s="173">
        <v>50.52</v>
      </c>
      <c r="Q30" s="37">
        <f>+H30/P30-1</f>
        <v>-5.8392715756136249E-2</v>
      </c>
      <c r="R30" s="758"/>
      <c r="S30" s="99"/>
      <c r="T30" s="173">
        <v>47.64</v>
      </c>
      <c r="U30" s="591">
        <f>+H30/T30-1</f>
        <v>-1.4693534844668621E-3</v>
      </c>
      <c r="W30" s="312"/>
      <c r="X30" s="307">
        <f>+Q30*E30</f>
        <v>-1.441276422136567E-3</v>
      </c>
      <c r="Y30" s="45"/>
      <c r="Z30" s="309"/>
      <c r="AA30" s="105" t="str">
        <f>_xll.BDP(F30&amp;" EQUITY",$AA$1)</f>
        <v>9/1/2023</v>
      </c>
      <c r="AB30" s="84">
        <f>_xll.BDP(F30&amp;" EQUITY",$AB$1)</f>
        <v>58.185000000000002</v>
      </c>
      <c r="AC30" s="37">
        <f>+H30/AB30-1</f>
        <v>-0.18243533556758618</v>
      </c>
      <c r="AD30" s="106">
        <f>+RANK(AC30,$AC$4:$AC$43)</f>
        <v>31</v>
      </c>
      <c r="AE30" s="47"/>
      <c r="BB30"/>
      <c r="BD30"/>
    </row>
    <row r="31" spans="3:56" x14ac:dyDescent="0.25">
      <c r="C31" s="24">
        <f>+E31-D31</f>
        <v>1.5481268851677069E-2</v>
      </c>
      <c r="D31" s="85">
        <v>1E-3</v>
      </c>
      <c r="E31" s="85">
        <f>+N31/$N$45</f>
        <v>1.6481268851677069E-2</v>
      </c>
      <c r="F31" s="3" t="s">
        <v>214</v>
      </c>
      <c r="G31" s="101">
        <v>90000</v>
      </c>
      <c r="H31" s="9">
        <f>_xll.BDP(F31&amp;" EQUITY",$H$1)</f>
        <v>52.94</v>
      </c>
      <c r="I31" s="112">
        <f>_xll.BDP(F31&amp;" EQUITY",$I$1)</f>
        <v>-0.7</v>
      </c>
      <c r="J31" s="127">
        <f>_xll.BDP(F31&amp;" EQUITY",$J$1)*0.01</f>
        <v>-1.3049960000000001E-2</v>
      </c>
      <c r="K31" s="157">
        <f>+RANK(J31,$J$4:$J$43)</f>
        <v>28</v>
      </c>
      <c r="L31" s="161">
        <f>+I31*G31</f>
        <v>-62999.999999999993</v>
      </c>
      <c r="M31" s="99"/>
      <c r="N31" s="62">
        <f>+H31*G31</f>
        <v>4764600</v>
      </c>
      <c r="O31" s="36"/>
      <c r="P31" s="173">
        <v>57.42</v>
      </c>
      <c r="Q31" s="37">
        <f>+H31/P31-1</f>
        <v>-7.8021595262974586E-2</v>
      </c>
      <c r="R31" s="758"/>
      <c r="S31" s="99"/>
      <c r="T31" s="173">
        <v>63.43</v>
      </c>
      <c r="U31" s="591">
        <f>+H31/T31-1</f>
        <v>-0.16537915812706927</v>
      </c>
      <c r="W31" s="312"/>
      <c r="X31" s="307">
        <f>+Q31*E31</f>
        <v>-1.2858948877658182E-3</v>
      </c>
      <c r="Y31" s="45"/>
      <c r="Z31" s="309"/>
      <c r="AA31" s="105" t="str">
        <f>_xll.BDP(F31&amp;" EQUITY",$AA$1)</f>
        <v>7/27/2023</v>
      </c>
      <c r="AB31" s="84">
        <f>_xll.BDP(F31&amp;" EQUITY",$AB$1)</f>
        <v>64.180000000000007</v>
      </c>
      <c r="AC31" s="37">
        <f>+H31/AB31-1</f>
        <v>-0.17513244001246508</v>
      </c>
      <c r="AD31" s="39">
        <f>+RANK(AC31,$AC$4:$AC$43)</f>
        <v>30</v>
      </c>
      <c r="AE31" s="47"/>
      <c r="BB31"/>
      <c r="BD31"/>
    </row>
    <row r="32" spans="3:56" x14ac:dyDescent="0.25">
      <c r="C32" s="24">
        <f>+E32-D32</f>
        <v>2.4523375593995318E-2</v>
      </c>
      <c r="D32" s="85">
        <v>1.5E-3</v>
      </c>
      <c r="E32" s="25">
        <f>+N32/$N$45</f>
        <v>2.602337559399532E-2</v>
      </c>
      <c r="F32" s="3" t="s">
        <v>203</v>
      </c>
      <c r="G32" s="29">
        <v>189000</v>
      </c>
      <c r="H32" s="9">
        <f>_xll.BDP(F32&amp;" EQUITY",$H$1)</f>
        <v>39.805</v>
      </c>
      <c r="I32" s="112">
        <f>_xll.BDP(F32&amp;" EQUITY",$I$1)</f>
        <v>-0.745</v>
      </c>
      <c r="J32" s="127">
        <f>_xll.BDP(F32&amp;" EQUITY",$J$1)*0.01</f>
        <v>-1.8372380000000001E-2</v>
      </c>
      <c r="K32" s="157">
        <f>+RANK(J32,$J$4:$J$43)</f>
        <v>34</v>
      </c>
      <c r="L32" s="161">
        <f>+I32*G32</f>
        <v>-140805</v>
      </c>
      <c r="M32" s="99"/>
      <c r="N32" s="62">
        <f>+H32*G32</f>
        <v>7523145</v>
      </c>
      <c r="O32" s="36"/>
      <c r="P32" s="173">
        <v>43.28</v>
      </c>
      <c r="Q32" s="37">
        <f>+H32/P32-1</f>
        <v>-8.0291127541589624E-2</v>
      </c>
      <c r="R32" s="758"/>
      <c r="S32" s="99"/>
      <c r="T32" s="173">
        <v>43.61</v>
      </c>
      <c r="U32" s="591">
        <f>+H32/T32-1</f>
        <v>-8.7250630589314371E-2</v>
      </c>
      <c r="W32" s="312"/>
      <c r="X32" s="307">
        <f>+Q32*E32</f>
        <v>-2.089446168880169E-3</v>
      </c>
      <c r="Y32" s="45"/>
      <c r="Z32" s="309"/>
      <c r="AA32" s="105" t="str">
        <f>_xll.BDP(F32&amp;" EQUITY",$AA$1)</f>
        <v>12/14/2023</v>
      </c>
      <c r="AB32" s="84">
        <f>_xll.BDP(F32&amp;" EQUITY",$AB$1)</f>
        <v>45.85</v>
      </c>
      <c r="AC32" s="37">
        <f>+H32/AB32-1</f>
        <v>-0.13184296619411129</v>
      </c>
      <c r="AD32" s="39">
        <f>+RANK(AC32,$AC$4:$AC$43)</f>
        <v>24</v>
      </c>
      <c r="AE32" s="47"/>
      <c r="BB32"/>
      <c r="BD32"/>
    </row>
    <row r="33" spans="1:58" x14ac:dyDescent="0.25">
      <c r="C33" s="24">
        <f>+E33-D33</f>
        <v>1.0966186211644083E-2</v>
      </c>
      <c r="D33" s="85">
        <v>1.8E-3</v>
      </c>
      <c r="E33" s="85">
        <f>+N33/$N$45</f>
        <v>1.2766186211644083E-2</v>
      </c>
      <c r="F33" s="3" t="s">
        <v>545</v>
      </c>
      <c r="G33" s="29">
        <v>5000</v>
      </c>
      <c r="H33" s="9">
        <f>_xll.BDP(F33&amp;" EQUITY",$H$1)</f>
        <v>738.12</v>
      </c>
      <c r="I33" s="112">
        <f>_xll.BDP(F33&amp;" EQUITY",$I$1)</f>
        <v>-14.08</v>
      </c>
      <c r="J33" s="127">
        <f>_xll.BDP(F33&amp;" EQUITY",$J$1)*0.01</f>
        <v>-1.8718430000000001E-2</v>
      </c>
      <c r="K33" s="157">
        <f>+RANK(J33,$J$4:$J$43)</f>
        <v>35</v>
      </c>
      <c r="L33" s="161">
        <f>+I33*G33</f>
        <v>-70400</v>
      </c>
      <c r="M33" s="99"/>
      <c r="N33" s="62">
        <f>+H33*G33</f>
        <v>3690600</v>
      </c>
      <c r="O33" s="36"/>
      <c r="P33" s="173">
        <v>805.39</v>
      </c>
      <c r="Q33" s="37">
        <f>+H33/P33-1</f>
        <v>-8.3524751983511059E-2</v>
      </c>
      <c r="R33" s="758"/>
      <c r="S33" s="99"/>
      <c r="T33" s="173">
        <v>655.03</v>
      </c>
      <c r="U33" s="591">
        <f>+H33/T33-1</f>
        <v>0.126849151947239</v>
      </c>
      <c r="W33" s="312"/>
      <c r="X33" s="307">
        <f>+Q33*E33</f>
        <v>-1.0662925371028907E-3</v>
      </c>
      <c r="Y33" s="45"/>
      <c r="Z33" s="309"/>
      <c r="AA33" s="105" t="str">
        <f>_xll.BDP(F33&amp;" EQUITY",$AA$1)</f>
        <v>3/4/2024</v>
      </c>
      <c r="AB33" s="84">
        <f>_xll.BDP(F33&amp;" EQUITY",$AB$1)</f>
        <v>914.93</v>
      </c>
      <c r="AC33" s="37">
        <f>+H33/AB33-1</f>
        <v>-0.19324975681199652</v>
      </c>
      <c r="AD33" s="39">
        <f>+RANK(AC33,$AC$4:$AC$43)</f>
        <v>32</v>
      </c>
      <c r="AE33" s="47"/>
      <c r="BB33"/>
      <c r="BD33"/>
    </row>
    <row r="34" spans="1:58" x14ac:dyDescent="0.25">
      <c r="C34" s="24">
        <f>+E34-D34</f>
        <v>1.0372164175679831E-2</v>
      </c>
      <c r="D34" s="85">
        <v>3.3999999999999998E-3</v>
      </c>
      <c r="E34" s="85">
        <f>+N34/$N$45</f>
        <v>1.3772164175679832E-2</v>
      </c>
      <c r="F34" s="3" t="s">
        <v>230</v>
      </c>
      <c r="G34" s="101">
        <v>18000</v>
      </c>
      <c r="H34" s="9">
        <f>_xll.BDP(F34&amp;" EQUITY",$H$1)</f>
        <v>221.19</v>
      </c>
      <c r="I34" s="112">
        <f>_xll.BDP(F34&amp;" EQUITY",$I$1)</f>
        <v>-5.17</v>
      </c>
      <c r="J34" s="127">
        <f>_xll.BDP(F34&amp;" EQUITY",$J$1)*0.01</f>
        <v>-2.2839720000000001E-2</v>
      </c>
      <c r="K34" s="157">
        <f>+RANK(J34,$J$4:$J$43)</f>
        <v>36</v>
      </c>
      <c r="L34" s="161">
        <f>+I34*G34</f>
        <v>-93060</v>
      </c>
      <c r="M34" s="99"/>
      <c r="N34" s="62">
        <f>+H34*G34</f>
        <v>3981420</v>
      </c>
      <c r="O34" s="36"/>
      <c r="P34" s="173">
        <v>245.62</v>
      </c>
      <c r="Q34" s="37">
        <f>+H34/P34-1</f>
        <v>-9.9462584480091265E-2</v>
      </c>
      <c r="R34" s="758"/>
      <c r="S34" s="99"/>
      <c r="T34" s="173">
        <v>207.07</v>
      </c>
      <c r="U34" s="591">
        <f>+H34/T34-1</f>
        <v>6.8189501134881869E-2</v>
      </c>
      <c r="W34" s="312"/>
      <c r="X34" s="307">
        <f>+Q34*E34</f>
        <v>-1.3698150427972418E-3</v>
      </c>
      <c r="Y34" s="45"/>
      <c r="Z34" s="309"/>
      <c r="AA34" s="105" t="str">
        <f>_xll.BDP(F34&amp;" EQUITY",$AA$1)</f>
        <v>2/26/2024</v>
      </c>
      <c r="AB34" s="84">
        <f>_xll.BDP(F34&amp;" EQUITY",$AB$1)</f>
        <v>258.66000000000003</v>
      </c>
      <c r="AC34" s="37">
        <f>+H34/AB34-1</f>
        <v>-0.14486198097889125</v>
      </c>
      <c r="AD34" s="40">
        <f>+RANK(AC34,$AC$4:$AC$43)</f>
        <v>26</v>
      </c>
      <c r="AE34" s="47"/>
      <c r="BB34"/>
      <c r="BD34"/>
    </row>
    <row r="35" spans="1:58" x14ac:dyDescent="0.25">
      <c r="C35" s="24">
        <f>+E35-D35</f>
        <v>3.8438176425120187E-2</v>
      </c>
      <c r="D35" s="85">
        <v>2E-3</v>
      </c>
      <c r="E35" s="85">
        <f>+N35/$N$45</f>
        <v>4.0438176425120188E-2</v>
      </c>
      <c r="F35" s="3" t="s">
        <v>40</v>
      </c>
      <c r="G35" s="101">
        <v>60600</v>
      </c>
      <c r="H35" s="9">
        <f>_xll.BDP(F35&amp;" EQUITY",$H$1)</f>
        <v>192.91</v>
      </c>
      <c r="I35" s="112">
        <f>_xll.BDP(F35&amp;" EQUITY",$I$1)</f>
        <v>-3.48</v>
      </c>
      <c r="J35" s="127">
        <f>_xll.BDP(F35&amp;" EQUITY",$J$1)*0.01</f>
        <v>-1.7719840000000001E-2</v>
      </c>
      <c r="K35" s="157">
        <f>+RANK(J35,$J$4:$J$43)</f>
        <v>33</v>
      </c>
      <c r="L35" s="161">
        <f>+I35*G35</f>
        <v>-210888</v>
      </c>
      <c r="M35" s="99"/>
      <c r="N35" s="62">
        <f>+H35*G35</f>
        <v>11690346</v>
      </c>
      <c r="O35" s="36"/>
      <c r="P35" s="173">
        <v>215.88</v>
      </c>
      <c r="Q35" s="37">
        <f>+H35/P35-1</f>
        <v>-0.10640170465073184</v>
      </c>
      <c r="R35" s="758"/>
      <c r="S35" s="99"/>
      <c r="T35" s="173">
        <v>211.86</v>
      </c>
      <c r="U35" s="591">
        <f>+H35/T35-1</f>
        <v>-8.9445860473897909E-2</v>
      </c>
      <c r="W35" s="312"/>
      <c r="X35" s="307">
        <f>+Q35*E35</f>
        <v>-4.3026909045998252E-3</v>
      </c>
      <c r="Y35" s="45"/>
      <c r="Z35" s="309"/>
      <c r="AA35" s="105" t="str">
        <f>_xll.BDP(F35&amp;" EQUITY",$AA$1)</f>
        <v>1/2/2024</v>
      </c>
      <c r="AB35" s="84">
        <f>_xll.BDP(F35&amp;" EQUITY",$AB$1)</f>
        <v>219.1</v>
      </c>
      <c r="AC35" s="37">
        <f>+H35/AB35-1</f>
        <v>-0.11953445915107253</v>
      </c>
      <c r="AD35" s="39">
        <f>+RANK(AC35,$AC$4:$AC$43)</f>
        <v>22</v>
      </c>
      <c r="AE35" s="119"/>
      <c r="BB35"/>
      <c r="BD35"/>
    </row>
    <row r="36" spans="1:58" x14ac:dyDescent="0.25">
      <c r="C36" s="24">
        <f>+E36-D36</f>
        <v>1.2100000000000001E-2</v>
      </c>
      <c r="D36" s="85">
        <v>6.9999999999999999E-4</v>
      </c>
      <c r="E36" s="85">
        <v>1.2800000000000001E-2</v>
      </c>
      <c r="F36" s="3" t="s">
        <v>217</v>
      </c>
      <c r="G36" s="101">
        <v>130000</v>
      </c>
      <c r="H36" s="9">
        <f>_xll.BDP(F36&amp;" EQUITY",$H$1)</f>
        <v>32.96</v>
      </c>
      <c r="I36" s="112">
        <f>_xll.BDP(F36&amp;" EQUITY",$I$1)</f>
        <v>-0.25</v>
      </c>
      <c r="J36" s="127">
        <f>_xll.BDP(F36&amp;" EQUITY",$J$1)*0.01</f>
        <v>-7.5278530000000001E-3</v>
      </c>
      <c r="K36" s="157">
        <f>+RANK(J36,$J$4:$J$43)</f>
        <v>17</v>
      </c>
      <c r="L36" s="161">
        <f>+I36*G36</f>
        <v>-32500</v>
      </c>
      <c r="M36" s="99"/>
      <c r="N36" s="863">
        <f>+H36*G36</f>
        <v>4284800</v>
      </c>
      <c r="O36" s="36"/>
      <c r="P36" s="173">
        <v>36.979999999999997</v>
      </c>
      <c r="Q36" s="37">
        <f>+H36/P36-1</f>
        <v>-0.10870740941049206</v>
      </c>
      <c r="R36" s="758"/>
      <c r="S36" s="99"/>
      <c r="T36" s="173">
        <v>40.71</v>
      </c>
      <c r="U36" s="591">
        <f>+H36/T36-1</f>
        <v>-0.19037091623679681</v>
      </c>
      <c r="W36" s="312"/>
      <c r="X36" s="307">
        <f>+Q36*E36</f>
        <v>-1.3914548404542985E-3</v>
      </c>
      <c r="Y36" s="45"/>
      <c r="Z36" s="309"/>
      <c r="AA36" s="105" t="str">
        <f>_xll.BDP(F36&amp;" EQUITY",$AA$1)</f>
        <v>4/25/2024</v>
      </c>
      <c r="AB36" s="84">
        <f>_xll.BDP(F36&amp;" EQUITY",$AB$1)</f>
        <v>38.96</v>
      </c>
      <c r="AC36" s="37">
        <f>+H36/AB36-1</f>
        <v>-0.1540041067761807</v>
      </c>
      <c r="AD36" s="106">
        <f>+RANK(AC36,$AC$4:$AC$43)</f>
        <v>28</v>
      </c>
      <c r="AE36" s="47"/>
      <c r="BB36"/>
      <c r="BD36"/>
    </row>
    <row r="37" spans="1:58" x14ac:dyDescent="0.25">
      <c r="C37" s="24">
        <f>+E37-D37</f>
        <v>2.0794325692775267E-2</v>
      </c>
      <c r="D37" s="85">
        <v>3.5999999999999999E-3</v>
      </c>
      <c r="E37" s="85">
        <f>+N37/$N$45</f>
        <v>2.4394325692775266E-2</v>
      </c>
      <c r="F37" s="3" t="s">
        <v>34</v>
      </c>
      <c r="G37" s="101">
        <v>185000</v>
      </c>
      <c r="H37" s="9">
        <f>_xll.BDP(F37&amp;" EQUITY",$H$1)</f>
        <v>38.119999999999997</v>
      </c>
      <c r="I37" s="112">
        <f>_xll.BDP(F37&amp;" EQUITY",$I$1)</f>
        <v>-0.36</v>
      </c>
      <c r="J37" s="127">
        <f>_xll.BDP(F37&amp;" EQUITY",$J$1)*0.01</f>
        <v>-9.3555089999999997E-3</v>
      </c>
      <c r="K37" s="157">
        <f>+RANK(J37,$J$4:$J$43)</f>
        <v>22</v>
      </c>
      <c r="L37" s="161">
        <f>+I37*G37</f>
        <v>-66600</v>
      </c>
      <c r="M37" s="99"/>
      <c r="N37" s="62">
        <f>+H37*G37</f>
        <v>7052199.9999999991</v>
      </c>
      <c r="O37" s="36"/>
      <c r="P37" s="173">
        <v>43.85</v>
      </c>
      <c r="Q37" s="37">
        <f>+H37/P37-1</f>
        <v>-0.13067274800456108</v>
      </c>
      <c r="R37" s="758"/>
      <c r="S37" s="99"/>
      <c r="T37" s="173">
        <v>34.97</v>
      </c>
      <c r="U37" s="591">
        <f>+H37/T37-1</f>
        <v>9.0077209036316885E-2</v>
      </c>
      <c r="W37" s="312"/>
      <c r="X37" s="307">
        <f>+Q37*E37</f>
        <v>-3.1876735739932121E-3</v>
      </c>
      <c r="Y37" s="45"/>
      <c r="Z37" s="309"/>
      <c r="AA37" s="105" t="str">
        <f>_xll.BDP(F37&amp;" EQUITY",$AA$1)</f>
        <v>8/16/2023</v>
      </c>
      <c r="AB37" s="84">
        <f>_xll.BDP(F37&amp;" EQUITY",$AB$1)</f>
        <v>47.454999999999998</v>
      </c>
      <c r="AC37" s="37">
        <f>+H37/AB37-1</f>
        <v>-0.1967126751659467</v>
      </c>
      <c r="AD37" s="39">
        <f>+RANK(AC37,$AC$4:$AC$43)</f>
        <v>33</v>
      </c>
      <c r="AE37" s="47"/>
      <c r="BB37"/>
      <c r="BD37"/>
    </row>
    <row r="38" spans="1:58" x14ac:dyDescent="0.25">
      <c r="C38" s="24">
        <f>+E38-D38</f>
        <v>1.7184562225220627E-2</v>
      </c>
      <c r="D38" s="85">
        <v>2E-3</v>
      </c>
      <c r="E38" s="85">
        <f>+N38/$N$45</f>
        <v>1.9184562225220629E-2</v>
      </c>
      <c r="F38" s="3" t="s">
        <v>1012</v>
      </c>
      <c r="G38" s="101">
        <v>70000</v>
      </c>
      <c r="H38" s="9">
        <f>_xll.BDP(F38&amp;" EQUITY",$H$1)</f>
        <v>79.23</v>
      </c>
      <c r="I38" s="112">
        <f>_xll.BDP(F38&amp;" EQUITY",$I$1)</f>
        <v>-0.5</v>
      </c>
      <c r="J38" s="127">
        <f>_xll.BDP(F38&amp;" EQUITY",$J$1)*0.01</f>
        <v>-6.2711649999999996E-3</v>
      </c>
      <c r="K38" s="157">
        <f>+RANK(J38,$J$4:$J$43)</f>
        <v>14</v>
      </c>
      <c r="L38" s="161">
        <f>+I38*G38</f>
        <v>-35000</v>
      </c>
      <c r="M38" s="99"/>
      <c r="N38" s="62">
        <f>+H38*G38</f>
        <v>5546100</v>
      </c>
      <c r="O38" s="36"/>
      <c r="P38" s="173">
        <v>96.01</v>
      </c>
      <c r="Q38" s="37">
        <f>+H38/P38-1</f>
        <v>-0.17477346109780234</v>
      </c>
      <c r="R38" s="758"/>
      <c r="S38" s="99"/>
      <c r="T38" s="173">
        <v>99.2</v>
      </c>
      <c r="U38" s="591">
        <f>+H38/T38-1</f>
        <v>-0.20131048387096773</v>
      </c>
      <c r="W38" s="312"/>
      <c r="X38" s="307">
        <f>+Q38*E38</f>
        <v>-3.3529523397479661E-3</v>
      </c>
      <c r="Y38" s="45"/>
      <c r="Z38" s="309"/>
      <c r="AA38" s="105" t="str">
        <f>_xll.BDP(F38&amp;" EQUITY",$AA$1)</f>
        <v>11/16/2023</v>
      </c>
      <c r="AB38" s="84">
        <f>_xll.BDP(F38&amp;" EQUITY",$AB$1)</f>
        <v>107.66</v>
      </c>
      <c r="AC38" s="37">
        <f>+H38/AB38-1</f>
        <v>-0.26407207876648708</v>
      </c>
      <c r="AD38" s="39">
        <f>+RANK(AC38,$AC$4:$AC$43)</f>
        <v>35</v>
      </c>
      <c r="AE38" s="47"/>
      <c r="BB38"/>
      <c r="BD38"/>
    </row>
    <row r="39" spans="1:58" x14ac:dyDescent="0.25">
      <c r="C39" s="24">
        <f>+E39-D39</f>
        <v>1.1001829178877889E-2</v>
      </c>
      <c r="D39" s="85">
        <v>2.3E-3</v>
      </c>
      <c r="E39" s="85">
        <f>+N39/$N$45</f>
        <v>1.3301829178877889E-2</v>
      </c>
      <c r="F39" s="3" t="s">
        <v>392</v>
      </c>
      <c r="G39" s="101">
        <v>35000</v>
      </c>
      <c r="H39" s="9">
        <f>_xll.BDP(F39&amp;" EQUITY",$H$1)</f>
        <v>109.87</v>
      </c>
      <c r="I39" s="112">
        <f>_xll.BDP(F39&amp;" EQUITY",$I$1)</f>
        <v>-1.76</v>
      </c>
      <c r="J39" s="127">
        <f>_xll.BDP(F39&amp;" EQUITY",$J$1)*0.01</f>
        <v>-1.5766370000000002E-2</v>
      </c>
      <c r="K39" s="157">
        <f>+RANK(J39,$J$4:$J$43)</f>
        <v>32</v>
      </c>
      <c r="L39" s="161">
        <f>+I39*G39</f>
        <v>-61600</v>
      </c>
      <c r="M39" s="99"/>
      <c r="N39" s="863">
        <f>+H39*G39</f>
        <v>3845450</v>
      </c>
      <c r="O39" s="36"/>
      <c r="P39" s="173">
        <v>133.30000000000001</v>
      </c>
      <c r="Q39" s="37">
        <f>+H39/P39-1</f>
        <v>-0.17576894223555894</v>
      </c>
      <c r="R39" s="758"/>
      <c r="S39" s="99"/>
      <c r="T39" s="173">
        <v>112.73</v>
      </c>
      <c r="U39" s="591">
        <f>+H39/T39-1</f>
        <v>-2.5370353943049762E-2</v>
      </c>
      <c r="W39" s="312"/>
      <c r="X39" s="307">
        <f>+Q39*E39</f>
        <v>-2.3380484445694604E-3</v>
      </c>
      <c r="Y39" s="45"/>
      <c r="Z39" s="309"/>
      <c r="AA39" s="105" t="str">
        <f>_xll.BDP(F39&amp;" EQUITY",$AA$1)</f>
        <v>12/14/2023</v>
      </c>
      <c r="AB39" s="84">
        <f>_xll.BDP(F39&amp;" EQUITY",$AB$1)</f>
        <v>137.52000000000001</v>
      </c>
      <c r="AC39" s="37">
        <f>+H39/AB39-1</f>
        <v>-0.20106166375799883</v>
      </c>
      <c r="AD39" s="39">
        <f>+RANK(AC39,$AC$4:$AC$43)</f>
        <v>34</v>
      </c>
      <c r="AE39" s="47"/>
      <c r="BB39"/>
      <c r="BD39"/>
    </row>
    <row r="40" spans="1:58" x14ac:dyDescent="0.25">
      <c r="C40" s="24">
        <f>+E40-D40</f>
        <v>1.8387279820797558E-2</v>
      </c>
      <c r="D40" s="85">
        <v>2.0999999999999999E-3</v>
      </c>
      <c r="E40" s="85">
        <f>+N40/$N$45</f>
        <v>2.0487279820797559E-2</v>
      </c>
      <c r="F40" s="3" t="s">
        <v>205</v>
      </c>
      <c r="G40" s="29">
        <v>141000</v>
      </c>
      <c r="H40" s="9">
        <f>_xll.BDP(F40&amp;" EQUITY",$H$1)</f>
        <v>42.005000000000003</v>
      </c>
      <c r="I40" s="112">
        <f>_xll.BDP(F40&amp;" EQUITY",$I$1)</f>
        <v>-0.22500000000000001</v>
      </c>
      <c r="J40" s="127">
        <f>_xll.BDP(F40&amp;" EQUITY",$J$1)*0.01</f>
        <v>-5.327966E-3</v>
      </c>
      <c r="K40" s="157">
        <f>+RANK(J40,$J$4:$J$43)</f>
        <v>12</v>
      </c>
      <c r="L40" s="161">
        <f>+I40*G40</f>
        <v>-31725</v>
      </c>
      <c r="M40" s="99"/>
      <c r="N40" s="62">
        <f>+H40*G40</f>
        <v>5922705</v>
      </c>
      <c r="O40" s="36"/>
      <c r="P40" s="173">
        <v>51.31</v>
      </c>
      <c r="Q40" s="37">
        <f>+H40/P40-1</f>
        <v>-0.18134866497758717</v>
      </c>
      <c r="R40" s="758"/>
      <c r="S40" s="99"/>
      <c r="T40" s="173">
        <v>71.95</v>
      </c>
      <c r="U40" s="591">
        <f>+H40/T40-1</f>
        <v>-0.41619179986101462</v>
      </c>
      <c r="W40" s="312"/>
      <c r="X40" s="307">
        <f>+Q40*E40</f>
        <v>-3.7153408445238989E-3</v>
      </c>
      <c r="Y40" s="45"/>
      <c r="Z40" s="309"/>
      <c r="AA40" s="105" t="str">
        <f>_xll.BDP(F40&amp;" EQUITY",$AA$1)</f>
        <v>7/24/2023</v>
      </c>
      <c r="AB40" s="84">
        <f>_xll.BDP(F40&amp;" EQUITY",$AB$1)</f>
        <v>65.375</v>
      </c>
      <c r="AC40" s="37">
        <f>+H40/AB40-1</f>
        <v>-0.35747609942638614</v>
      </c>
      <c r="AD40" s="39">
        <f>+RANK(AC40,$AC$4:$AC$43)</f>
        <v>37</v>
      </c>
      <c r="AE40" s="47"/>
      <c r="BB40"/>
      <c r="BD40"/>
    </row>
    <row r="41" spans="1:58" x14ac:dyDescent="0.25">
      <c r="C41" s="24">
        <f>+E41-D41</f>
        <v>1.0400000000000001E-2</v>
      </c>
      <c r="D41" s="85">
        <v>2.3999999999999998E-3</v>
      </c>
      <c r="E41" s="85">
        <v>1.2800000000000001E-2</v>
      </c>
      <c r="F41" s="3" t="s">
        <v>403</v>
      </c>
      <c r="G41" s="101">
        <v>23000</v>
      </c>
      <c r="H41" s="9">
        <f>_xll.BDP(F41&amp;" EQUITY",$H$1)</f>
        <v>134.53</v>
      </c>
      <c r="I41" s="112">
        <f>_xll.BDP(F41&amp;" EQUITY",$I$1)</f>
        <v>-4.07</v>
      </c>
      <c r="J41" s="127">
        <f>_xll.BDP(F41&amp;" EQUITY",$J$1)*0.01</f>
        <v>-2.9365079999999998E-2</v>
      </c>
      <c r="K41" s="157">
        <f>+RANK(J41,$J$4:$J$43)</f>
        <v>38</v>
      </c>
      <c r="L41" s="161">
        <f>+I41*G41</f>
        <v>-93610</v>
      </c>
      <c r="M41" s="99"/>
      <c r="N41" s="864">
        <f>+H41*G41</f>
        <v>3094190</v>
      </c>
      <c r="O41" s="36"/>
      <c r="P41" s="173">
        <v>173.84</v>
      </c>
      <c r="Q41" s="37">
        <f>+H41/P41-1</f>
        <v>-0.22612747353888629</v>
      </c>
      <c r="R41" s="758"/>
      <c r="S41" s="99"/>
      <c r="T41" s="173">
        <v>173.84</v>
      </c>
      <c r="U41" s="591">
        <f>+H41/T41-1</f>
        <v>-0.22612747353888629</v>
      </c>
      <c r="W41" s="312"/>
      <c r="X41" s="307">
        <f>+Q41*E41</f>
        <v>-2.8944316612977447E-3</v>
      </c>
      <c r="Y41" s="45"/>
      <c r="Z41" s="309"/>
      <c r="AA41" s="105" t="str">
        <f>_xll.BDP(F41&amp;" EQUITY",$AA$1)</f>
        <v>7/25/2023</v>
      </c>
      <c r="AB41" s="84">
        <f>_xll.BDP(F41&amp;" EQUITY",$AB$1)</f>
        <v>192.98</v>
      </c>
      <c r="AC41" s="37">
        <f>+H41/AB41-1</f>
        <v>-0.30288112757798735</v>
      </c>
      <c r="AD41" s="106">
        <f>+RANK(AC41,$AC$4:$AC$43)</f>
        <v>36</v>
      </c>
      <c r="AE41" s="47"/>
      <c r="BB41"/>
      <c r="BD41"/>
    </row>
    <row r="42" spans="1:58" x14ac:dyDescent="0.25">
      <c r="C42" s="24">
        <f>+E42-D42</f>
        <v>2.4264263209288078E-2</v>
      </c>
      <c r="D42" s="85">
        <v>0</v>
      </c>
      <c r="E42" s="85">
        <f>+N42/$N$45</f>
        <v>2.4264263209288078E-2</v>
      </c>
      <c r="F42" s="3" t="s">
        <v>211</v>
      </c>
      <c r="G42" s="29">
        <v>135000</v>
      </c>
      <c r="H42" s="9">
        <f>_xll.BDP(F42&amp;" EQUITY",$H$1)</f>
        <v>51.96</v>
      </c>
      <c r="I42" s="112">
        <f>_xll.BDP(F42&amp;" EQUITY",$I$1)</f>
        <v>-0.45</v>
      </c>
      <c r="J42" s="127">
        <f>_xll.BDP(F42&amp;" EQUITY",$J$1)*0.01</f>
        <v>-8.586148E-3</v>
      </c>
      <c r="K42" s="157">
        <f>+RANK(J42,$J$4:$J$43)</f>
        <v>20</v>
      </c>
      <c r="L42" s="161">
        <f>+I42*G42</f>
        <v>-60750</v>
      </c>
      <c r="M42" s="99"/>
      <c r="N42" s="62">
        <f>+H42*G42</f>
        <v>7014600</v>
      </c>
      <c r="O42" s="36"/>
      <c r="P42" s="173">
        <v>76.06</v>
      </c>
      <c r="Q42" s="37">
        <f>+H42/P42-1</f>
        <v>-0.31685511438338154</v>
      </c>
      <c r="R42" s="758"/>
      <c r="S42" s="10"/>
      <c r="T42" s="173">
        <v>57.08</v>
      </c>
      <c r="U42" s="591">
        <f>+H42/T42-1</f>
        <v>-8.9698668535388881E-2</v>
      </c>
      <c r="W42" s="312"/>
      <c r="X42" s="307">
        <f>+Q42*E42</f>
        <v>-7.6882558946074504E-3</v>
      </c>
      <c r="Y42" s="45"/>
      <c r="Z42" s="309"/>
      <c r="AA42" s="105" t="str">
        <f>_xll.BDP(F42&amp;" EQUITY",$AA$1)</f>
        <v>2/29/2024</v>
      </c>
      <c r="AB42" s="84">
        <f>_xll.BDP(F42&amp;" EQUITY",$AB$1)</f>
        <v>86</v>
      </c>
      <c r="AC42" s="37">
        <f>+H42/AB42-1</f>
        <v>-0.39581395348837212</v>
      </c>
      <c r="AD42" s="106">
        <f>+RANK(AC42,$AC$4:$AC$43)</f>
        <v>38</v>
      </c>
      <c r="AE42" s="47"/>
      <c r="BB42"/>
      <c r="BD42"/>
    </row>
    <row r="43" spans="1:58" x14ac:dyDescent="0.25">
      <c r="B43" s="17"/>
      <c r="C43" s="24"/>
      <c r="D43" s="85"/>
      <c r="E43" s="25"/>
      <c r="F43" s="3"/>
      <c r="G43" s="101"/>
      <c r="H43" s="9"/>
      <c r="I43" s="112"/>
      <c r="J43" s="127"/>
      <c r="K43" s="126"/>
      <c r="L43" s="161"/>
      <c r="M43" s="99"/>
      <c r="N43" s="62"/>
      <c r="O43" s="36"/>
      <c r="P43" s="38"/>
      <c r="Q43" s="37"/>
      <c r="R43" s="758"/>
      <c r="S43" s="99"/>
      <c r="T43" s="38"/>
      <c r="U43" s="591"/>
      <c r="W43" s="312"/>
      <c r="X43" s="306"/>
      <c r="Y43" s="45"/>
      <c r="Z43" s="7"/>
      <c r="AA43" s="105"/>
      <c r="AB43" s="84"/>
      <c r="AC43" s="37"/>
      <c r="AD43" s="39"/>
      <c r="BB43"/>
      <c r="BD43"/>
    </row>
    <row r="44" spans="1:58" x14ac:dyDescent="0.25">
      <c r="A44" s="27"/>
      <c r="F44" s="3"/>
      <c r="G44" s="29"/>
      <c r="H44" s="9"/>
      <c r="I44" s="9"/>
      <c r="K44" s="135"/>
      <c r="L44" s="132"/>
      <c r="N44" s="132"/>
      <c r="O44" s="2"/>
      <c r="P44" s="36"/>
      <c r="Q44" s="37"/>
      <c r="R44" s="132"/>
      <c r="T44" s="36"/>
      <c r="U44" s="591"/>
      <c r="W44" s="2"/>
      <c r="Y44" s="28"/>
      <c r="Z44" s="7"/>
      <c r="AA44" s="2"/>
      <c r="AD44" s="28"/>
      <c r="BB44"/>
      <c r="BD44"/>
    </row>
    <row r="45" spans="1:58" ht="18.75" x14ac:dyDescent="0.25">
      <c r="A45" s="27"/>
      <c r="F45" s="31"/>
      <c r="G45" s="32"/>
      <c r="H45" s="33"/>
      <c r="I45" s="33"/>
      <c r="J45" s="34"/>
      <c r="K45" s="137"/>
      <c r="L45" s="162">
        <f>SUM(L4:L44)</f>
        <v>-2832563.5</v>
      </c>
      <c r="M45" s="99"/>
      <c r="N45" s="802">
        <f>SUM(N4:N43)</f>
        <v>289091819.5</v>
      </c>
      <c r="O45" s="756"/>
      <c r="P45" s="924" t="s">
        <v>53</v>
      </c>
      <c r="Q45" s="925"/>
      <c r="R45" s="125"/>
      <c r="S45" s="190"/>
      <c r="T45" s="924" t="s">
        <v>53</v>
      </c>
      <c r="U45" s="925"/>
      <c r="W45" s="2"/>
      <c r="X45" s="308">
        <f>SUM(X4:X44)</f>
        <v>3.4986681740398637E-2</v>
      </c>
      <c r="Y45" s="28"/>
      <c r="Z45" s="309">
        <f>SUM(Z4:Z44)</f>
        <v>0</v>
      </c>
      <c r="AA45" s="97"/>
      <c r="AB45" s="34"/>
      <c r="AC45" s="34"/>
      <c r="AD45" s="44"/>
      <c r="BB45"/>
      <c r="BD45"/>
    </row>
    <row r="46" spans="1:58" x14ac:dyDescent="0.25">
      <c r="A46" s="27"/>
      <c r="G46" s="4"/>
      <c r="H46" s="9"/>
      <c r="I46" s="9"/>
      <c r="K46" s="48"/>
      <c r="N46" s="60">
        <f>+'Dvd Holdings'!O46-'Dvd Perf ranked 24'!N45</f>
        <v>-101691.89999997616</v>
      </c>
      <c r="O46" s="60"/>
      <c r="P46" s="5"/>
      <c r="Q46" s="6"/>
      <c r="T46" s="5"/>
      <c r="U46" s="6"/>
      <c r="W46" s="910" t="s">
        <v>194</v>
      </c>
      <c r="X46" s="911"/>
      <c r="Y46" s="912"/>
      <c r="Z46" s="7"/>
      <c r="BB46"/>
      <c r="BD46"/>
    </row>
    <row r="47" spans="1:58" x14ac:dyDescent="0.25">
      <c r="A47" s="27"/>
      <c r="K47" s="191" t="s">
        <v>74</v>
      </c>
      <c r="L47" s="300">
        <f>+L45/N45</f>
        <v>-9.7981447724777276E-3</v>
      </c>
      <c r="N47" s="803">
        <v>285747103</v>
      </c>
      <c r="O47" s="831"/>
      <c r="P47" s="5"/>
      <c r="Q47" s="6"/>
      <c r="S47" s="263" t="s">
        <v>164</v>
      </c>
      <c r="T47" s="5"/>
      <c r="U47" s="6"/>
      <c r="Z47" s="7"/>
      <c r="BB47"/>
      <c r="BD47"/>
    </row>
    <row r="48" spans="1:58" x14ac:dyDescent="0.25">
      <c r="A48" s="27"/>
      <c r="F48" s="278" t="s">
        <v>73</v>
      </c>
      <c r="G48" s="279"/>
      <c r="H48" s="280">
        <f>_xll.BDP(F48&amp;" Index",$H$1)</f>
        <v>5461.72</v>
      </c>
      <c r="I48" s="281">
        <f>_xll.BDP(F48&amp;" Index",$I$1)</f>
        <v>13.85</v>
      </c>
      <c r="J48" s="282">
        <f>_xll.BDP(F48&amp;" Index",$J$1)*0.01</f>
        <v>2.5422780000000002E-3</v>
      </c>
      <c r="K48" s="295" t="s">
        <v>114</v>
      </c>
      <c r="L48" s="301">
        <f>+J48</f>
        <v>2.5422780000000002E-3</v>
      </c>
      <c r="N48" s="261">
        <f>+(N45/N47)-1</f>
        <v>1.1705163289092102E-2</v>
      </c>
      <c r="O48" s="93"/>
      <c r="P48" s="60"/>
      <c r="Q48" s="60"/>
      <c r="R48" s="60"/>
      <c r="S48" s="262"/>
      <c r="T48" s="60"/>
      <c r="U48" s="60"/>
      <c r="V48" s="60"/>
      <c r="W48" s="60"/>
      <c r="X48" s="60"/>
      <c r="Y48" s="60"/>
      <c r="Z48" s="60"/>
      <c r="AX48" s="47"/>
      <c r="AY48" s="47"/>
      <c r="AZ48" s="22"/>
      <c r="BA48" s="7"/>
      <c r="BB48" s="96"/>
      <c r="BC48" s="48"/>
      <c r="BD48" s="48"/>
      <c r="BE48" s="47"/>
      <c r="BF48" s="47"/>
    </row>
    <row r="49" spans="1:59" x14ac:dyDescent="0.25">
      <c r="A49" s="27"/>
      <c r="K49" s="96" t="s">
        <v>115</v>
      </c>
      <c r="L49" s="302">
        <f>+L47-L48</f>
        <v>-1.2340422772477728E-2</v>
      </c>
      <c r="N49" s="163">
        <f>+R1</f>
        <v>0.14524836314921075</v>
      </c>
      <c r="O49" s="163"/>
      <c r="S49" t="s">
        <v>117</v>
      </c>
      <c r="AX49" s="47"/>
      <c r="AY49" s="47"/>
      <c r="AZ49" s="22"/>
      <c r="BA49" s="7"/>
      <c r="BB49" s="96"/>
      <c r="BC49" s="48"/>
      <c r="BD49" s="48"/>
      <c r="BE49" s="47"/>
      <c r="BF49" s="47"/>
    </row>
    <row r="50" spans="1:59" x14ac:dyDescent="0.25">
      <c r="A50" s="27"/>
      <c r="K50" s="96"/>
      <c r="N50" s="273">
        <f>+N48-N49</f>
        <v>-0.13354319986011864</v>
      </c>
      <c r="O50" s="163"/>
      <c r="AX50" s="47"/>
      <c r="AY50" s="47"/>
      <c r="AZ50" s="22"/>
      <c r="BA50" s="7"/>
      <c r="BB50" s="96"/>
      <c r="BC50" s="48"/>
      <c r="BD50" s="48"/>
      <c r="BE50" s="47"/>
      <c r="BF50" s="47"/>
    </row>
    <row r="51" spans="1:59" x14ac:dyDescent="0.25">
      <c r="A51" s="27"/>
      <c r="K51" s="96" t="s">
        <v>119</v>
      </c>
      <c r="L51" s="302">
        <v>-1.1299999999999999E-3</v>
      </c>
      <c r="AX51" s="47"/>
      <c r="AY51" s="47"/>
      <c r="AZ51" s="22"/>
      <c r="BA51" s="7"/>
      <c r="BB51" s="96"/>
      <c r="BC51" s="48"/>
      <c r="BD51" s="48"/>
      <c r="BE51" s="47"/>
      <c r="BF51" s="47"/>
    </row>
    <row r="52" spans="1:59" x14ac:dyDescent="0.25">
      <c r="A52" s="27"/>
      <c r="K52" s="96" t="s">
        <v>121</v>
      </c>
      <c r="L52" s="302"/>
      <c r="N52" s="60">
        <f>+N45-'Dvd Holdings'!O46</f>
        <v>101691.89999997616</v>
      </c>
      <c r="O52" s="60"/>
      <c r="AX52" s="47"/>
      <c r="AY52" s="47"/>
      <c r="AZ52" s="22"/>
      <c r="BA52" s="7"/>
      <c r="BB52" s="96"/>
      <c r="BC52" s="48"/>
      <c r="BD52" s="48"/>
      <c r="BE52" s="47"/>
      <c r="BF52" s="47"/>
    </row>
    <row r="53" spans="1:59" x14ac:dyDescent="0.25">
      <c r="A53" s="27"/>
      <c r="K53"/>
      <c r="AX53" s="47"/>
      <c r="AY53" s="47"/>
      <c r="AZ53" s="22"/>
      <c r="BA53" s="7"/>
      <c r="BB53" s="96"/>
      <c r="BC53" s="48"/>
      <c r="BD53" s="48"/>
      <c r="BE53" s="47"/>
      <c r="BF53" s="47"/>
    </row>
    <row r="54" spans="1:59" x14ac:dyDescent="0.25">
      <c r="A54" s="27"/>
      <c r="H54" s="5"/>
      <c r="K54" s="7"/>
      <c r="M54" s="286">
        <v>44944</v>
      </c>
      <c r="N54" s="287">
        <f>+N47*H62</f>
        <v>0</v>
      </c>
      <c r="O54" s="754"/>
      <c r="P54" s="5"/>
      <c r="Q54" s="5"/>
      <c r="R54" s="5"/>
      <c r="S54" s="277"/>
      <c r="T54" s="5"/>
      <c r="U54" s="5"/>
      <c r="V54" s="5"/>
      <c r="W54" s="5"/>
      <c r="X54" s="5"/>
      <c r="Y54" s="5"/>
      <c r="AX54" s="47"/>
      <c r="AY54" s="47"/>
      <c r="AZ54" s="22"/>
      <c r="BA54" s="7"/>
      <c r="BB54" s="96"/>
      <c r="BC54" s="48"/>
      <c r="BD54" s="48"/>
      <c r="BE54" s="47"/>
      <c r="BF54" s="47"/>
    </row>
    <row r="55" spans="1:59" x14ac:dyDescent="0.25">
      <c r="A55" s="27"/>
      <c r="H55" s="5">
        <v>286022588</v>
      </c>
      <c r="K55" s="7"/>
      <c r="M55" s="97"/>
      <c r="N55" s="288" t="s">
        <v>172</v>
      </c>
      <c r="O55" s="289"/>
      <c r="P55" s="5"/>
      <c r="Q55" s="5"/>
      <c r="R55" s="5"/>
      <c r="S55" s="5"/>
      <c r="T55" s="5"/>
      <c r="U55" s="5"/>
      <c r="V55" s="5"/>
      <c r="W55" s="5"/>
      <c r="X55" s="5"/>
      <c r="Y55" s="5"/>
      <c r="AX55" s="47"/>
      <c r="AY55" s="47"/>
      <c r="AZ55" s="22"/>
      <c r="BA55" s="7"/>
      <c r="BB55" s="96"/>
      <c r="BC55" s="48"/>
      <c r="BD55" s="48"/>
      <c r="BE55" s="47"/>
      <c r="BF55" s="47"/>
    </row>
    <row r="56" spans="1:59" x14ac:dyDescent="0.25">
      <c r="A56" s="27"/>
      <c r="H56" s="5">
        <v>34335224</v>
      </c>
      <c r="K56" s="7"/>
      <c r="N56" s="289"/>
      <c r="O56" s="289"/>
      <c r="P56" s="5"/>
      <c r="Q56" s="5"/>
      <c r="R56" s="78"/>
      <c r="S56" s="5"/>
      <c r="T56" s="5"/>
      <c r="U56" s="5"/>
      <c r="V56" s="78"/>
      <c r="W56" s="78"/>
      <c r="X56" s="78"/>
      <c r="Y56" s="78"/>
      <c r="AX56" s="7"/>
      <c r="AY56" s="47"/>
      <c r="AZ56" s="47"/>
      <c r="BA56" s="22"/>
      <c r="BB56" s="7"/>
      <c r="BC56" s="96"/>
      <c r="BD56" s="48"/>
      <c r="BE56" s="48"/>
      <c r="BF56" s="47"/>
      <c r="BG56" s="47"/>
    </row>
    <row r="57" spans="1:59" x14ac:dyDescent="0.25">
      <c r="H57" s="5">
        <f>+H55-H56</f>
        <v>251687364</v>
      </c>
      <c r="K57" s="7"/>
      <c r="BB57"/>
      <c r="BD57"/>
    </row>
    <row r="58" spans="1:59" x14ac:dyDescent="0.25">
      <c r="H58" s="5"/>
      <c r="K58" s="922" t="s">
        <v>183</v>
      </c>
      <c r="L58" s="923"/>
      <c r="M58" s="285" t="s">
        <v>181</v>
      </c>
      <c r="N58" s="283" t="s">
        <v>1</v>
      </c>
      <c r="O58" s="283"/>
      <c r="P58" s="51"/>
      <c r="Q58" s="284" t="s">
        <v>182</v>
      </c>
      <c r="R58" s="284" t="s">
        <v>164</v>
      </c>
      <c r="T58" s="283" t="s">
        <v>195</v>
      </c>
      <c r="U58" s="51"/>
      <c r="V58" s="284" t="s">
        <v>182</v>
      </c>
      <c r="W58" s="284" t="s">
        <v>164</v>
      </c>
      <c r="BB58"/>
      <c r="BD58"/>
    </row>
    <row r="59" spans="1:59" ht="15.75" x14ac:dyDescent="0.25">
      <c r="K59" s="291" t="s">
        <v>193</v>
      </c>
      <c r="L59" s="22" t="s">
        <v>174</v>
      </c>
      <c r="M59" s="93">
        <v>0.26329999999999998</v>
      </c>
      <c r="N59" s="292">
        <f t="shared" ref="N59:N69" si="0">+(V59/W59)-1</f>
        <v>0.81517197042751532</v>
      </c>
      <c r="O59" s="292"/>
      <c r="P59" s="293">
        <f>+I59*H59</f>
        <v>0</v>
      </c>
      <c r="Q59" s="9" t="str">
        <f>_xll.BDP(G59&amp;" EQUITY",$H$1)</f>
        <v>#N/A Invalid Security</v>
      </c>
      <c r="R59" s="294">
        <v>124.44</v>
      </c>
      <c r="T59" s="102">
        <f t="shared" ref="T59:T69" si="1">+RANK(N59,$N$59:$N$69)</f>
        <v>1</v>
      </c>
      <c r="U59" s="293">
        <f>+N59*M59</f>
        <v>0.21463477981356477</v>
      </c>
      <c r="V59" s="9">
        <f>_xll.BDP(L59&amp;" EQUITY",$H$1)</f>
        <v>225.88</v>
      </c>
      <c r="W59" s="294">
        <v>124.44</v>
      </c>
      <c r="BB59"/>
      <c r="BD59"/>
    </row>
    <row r="60" spans="1:59" ht="15.75" x14ac:dyDescent="0.25">
      <c r="K60" s="304" t="s">
        <v>66</v>
      </c>
      <c r="L60" s="22" t="s">
        <v>175</v>
      </c>
      <c r="M60" s="93">
        <v>0.1522</v>
      </c>
      <c r="N60" s="292">
        <f t="shared" si="0"/>
        <v>7.9094589620905431E-2</v>
      </c>
      <c r="O60" s="292"/>
      <c r="P60" s="293">
        <f t="shared" ref="P60:P69" si="2">+I60*H60</f>
        <v>0</v>
      </c>
      <c r="Q60" s="9" t="str">
        <f>_xll.BDP(G60&amp;" EQUITY",$H$1)</f>
        <v>#N/A Invalid Security</v>
      </c>
      <c r="R60" s="294">
        <v>135.85</v>
      </c>
      <c r="T60" s="103">
        <f t="shared" si="1"/>
        <v>7</v>
      </c>
      <c r="U60" s="293">
        <f t="shared" ref="U60:U69" si="3">+N60*M60</f>
        <v>1.2038196540301806E-2</v>
      </c>
      <c r="V60" s="9">
        <f>_xll.BDP(L60&amp;" EQUITY",$H$1)</f>
        <v>146.595</v>
      </c>
      <c r="W60" s="294">
        <v>135.85</v>
      </c>
      <c r="BB60"/>
      <c r="BD60"/>
    </row>
    <row r="61" spans="1:59" ht="15.75" x14ac:dyDescent="0.25">
      <c r="K61" s="291" t="s">
        <v>184</v>
      </c>
      <c r="L61" s="22" t="s">
        <v>47</v>
      </c>
      <c r="M61" s="93">
        <v>0.11609999999999999</v>
      </c>
      <c r="N61" s="292">
        <f t="shared" si="0"/>
        <v>0.20716374269005833</v>
      </c>
      <c r="O61" s="292"/>
      <c r="P61" s="293">
        <f t="shared" si="2"/>
        <v>0</v>
      </c>
      <c r="Q61" s="9" t="str">
        <f>_xll.BDP(G61&amp;" EQUITY",$H$1)</f>
        <v>#N/A Invalid Security</v>
      </c>
      <c r="R61" s="294">
        <v>34.200000000000003</v>
      </c>
      <c r="T61" s="17">
        <f t="shared" si="1"/>
        <v>5</v>
      </c>
      <c r="U61" s="293">
        <f t="shared" si="3"/>
        <v>2.4051710526315769E-2</v>
      </c>
      <c r="V61" s="9">
        <f>_xll.BDP(L61&amp;" EQUITY",$H$1)</f>
        <v>41.284999999999997</v>
      </c>
      <c r="W61" s="294">
        <v>34.200000000000003</v>
      </c>
      <c r="BB61"/>
      <c r="BD61"/>
    </row>
    <row r="62" spans="1:59" ht="15.75" x14ac:dyDescent="0.25">
      <c r="K62" s="305" t="s">
        <v>185</v>
      </c>
      <c r="L62" s="22" t="s">
        <v>179</v>
      </c>
      <c r="M62" s="93">
        <v>0.1036</v>
      </c>
      <c r="N62" s="292">
        <f t="shared" si="0"/>
        <v>0.4029111179931868</v>
      </c>
      <c r="O62" s="292"/>
      <c r="P62" s="293">
        <f t="shared" si="2"/>
        <v>0</v>
      </c>
      <c r="Q62" s="9" t="str">
        <f>_xll.BDP(G62&amp;" EQUITY",$H$1)</f>
        <v>#N/A Invalid Security</v>
      </c>
      <c r="R62" s="294">
        <v>129.16</v>
      </c>
      <c r="T62" s="102">
        <f t="shared" si="1"/>
        <v>3</v>
      </c>
      <c r="U62" s="293">
        <f t="shared" si="3"/>
        <v>4.1741591824094149E-2</v>
      </c>
      <c r="V62" s="9">
        <f>_xll.BDP(L62&amp;" EQUITY",$H$1)</f>
        <v>181.2</v>
      </c>
      <c r="W62" s="294">
        <v>129.16</v>
      </c>
      <c r="BB62"/>
      <c r="BD62"/>
    </row>
    <row r="63" spans="1:59" ht="15.75" x14ac:dyDescent="0.25">
      <c r="K63" s="291" t="s">
        <v>186</v>
      </c>
      <c r="L63" s="22" t="s">
        <v>176</v>
      </c>
      <c r="M63" s="93">
        <v>8.3099999999999993E-2</v>
      </c>
      <c r="N63" s="292">
        <f t="shared" si="0"/>
        <v>0.23918134609510244</v>
      </c>
      <c r="O63" s="292"/>
      <c r="P63" s="293">
        <f t="shared" si="2"/>
        <v>0</v>
      </c>
      <c r="Q63" s="9" t="str">
        <f>_xll.BDP(G63&amp;" EQUITY",$H$1)</f>
        <v>#N/A Invalid Security</v>
      </c>
      <c r="R63" s="294">
        <v>98.21</v>
      </c>
      <c r="T63" s="17">
        <f t="shared" si="1"/>
        <v>4</v>
      </c>
      <c r="U63" s="293">
        <f t="shared" si="3"/>
        <v>1.9875969860503013E-2</v>
      </c>
      <c r="V63" s="9">
        <f>_xll.BDP(L63&amp;" EQUITY",$H$1)</f>
        <v>121.7</v>
      </c>
      <c r="W63" s="294">
        <v>98.21</v>
      </c>
      <c r="BB63"/>
      <c r="BD63"/>
    </row>
    <row r="64" spans="1:59" ht="15.75" x14ac:dyDescent="0.25">
      <c r="K64" s="305" t="s">
        <v>187</v>
      </c>
      <c r="L64" s="22" t="s">
        <v>173</v>
      </c>
      <c r="M64" s="93">
        <v>7.46E-2</v>
      </c>
      <c r="N64" s="292">
        <f t="shared" si="0"/>
        <v>0.78214211294019598</v>
      </c>
      <c r="O64" s="292"/>
      <c r="P64" s="293">
        <f t="shared" si="2"/>
        <v>0</v>
      </c>
      <c r="Q64" s="9" t="str">
        <f>_xll.BDP(G64&amp;" EQUITY",$H$1)</f>
        <v>#N/A Invalid Security</v>
      </c>
      <c r="R64" s="294">
        <v>47.99</v>
      </c>
      <c r="T64" s="102">
        <f t="shared" si="1"/>
        <v>2</v>
      </c>
      <c r="U64" s="293">
        <f t="shared" si="3"/>
        <v>5.8347801625338619E-2</v>
      </c>
      <c r="V64" s="9">
        <f>_xll.BDP(L64&amp;" EQUITY",$H$1)</f>
        <v>85.525000000000006</v>
      </c>
      <c r="W64" s="294">
        <v>47.99</v>
      </c>
      <c r="BB64"/>
      <c r="BD64"/>
    </row>
    <row r="65" spans="11:56" ht="15.75" x14ac:dyDescent="0.25">
      <c r="K65" s="304" t="s">
        <v>188</v>
      </c>
      <c r="L65" s="22" t="s">
        <v>48</v>
      </c>
      <c r="M65" s="93">
        <v>6.9900000000000004E-2</v>
      </c>
      <c r="N65" s="292">
        <f t="shared" si="0"/>
        <v>3.7022132796780793E-2</v>
      </c>
      <c r="O65" s="292"/>
      <c r="P65" s="293">
        <f t="shared" si="2"/>
        <v>0</v>
      </c>
      <c r="Q65" s="9" t="str">
        <f>_xll.BDP(G65&amp;" EQUITY",$H$1)</f>
        <v>#N/A Invalid Security</v>
      </c>
      <c r="R65" s="294">
        <v>74.55</v>
      </c>
      <c r="T65" s="103">
        <f t="shared" si="1"/>
        <v>9</v>
      </c>
      <c r="U65" s="293">
        <f t="shared" si="3"/>
        <v>2.5878470824949778E-3</v>
      </c>
      <c r="V65" s="9">
        <f>_xll.BDP(L65&amp;" EQUITY",$H$1)</f>
        <v>77.31</v>
      </c>
      <c r="W65" s="294">
        <v>74.55</v>
      </c>
      <c r="BB65"/>
      <c r="BD65"/>
    </row>
    <row r="66" spans="11:56" ht="15.75" x14ac:dyDescent="0.25">
      <c r="K66" s="291" t="s">
        <v>189</v>
      </c>
      <c r="L66" s="22" t="s">
        <v>112</v>
      </c>
      <c r="M66" s="93">
        <v>5.1200000000000002E-2</v>
      </c>
      <c r="N66" s="292">
        <f t="shared" si="0"/>
        <v>3.9041957242483161E-2</v>
      </c>
      <c r="O66" s="292"/>
      <c r="P66" s="293">
        <f t="shared" si="2"/>
        <v>0</v>
      </c>
      <c r="Q66" s="9" t="str">
        <f>_xll.BDP(G66&amp;" EQUITY",$H$1)</f>
        <v>#N/A Invalid Security</v>
      </c>
      <c r="R66" s="294">
        <v>87.47</v>
      </c>
      <c r="T66" s="17">
        <f t="shared" si="1"/>
        <v>8</v>
      </c>
      <c r="U66" s="293">
        <f t="shared" si="3"/>
        <v>1.9989482108151379E-3</v>
      </c>
      <c r="V66" s="9">
        <f>_xll.BDP(L66&amp;" EQUITY",$H$1)</f>
        <v>90.885000000000005</v>
      </c>
      <c r="W66" s="294">
        <v>87.47</v>
      </c>
      <c r="BB66"/>
      <c r="BD66"/>
    </row>
    <row r="67" spans="11:56" ht="15.75" x14ac:dyDescent="0.25">
      <c r="K67" s="304" t="s">
        <v>190</v>
      </c>
      <c r="L67" s="22" t="s">
        <v>180</v>
      </c>
      <c r="M67" s="93">
        <v>2.9899999999999999E-2</v>
      </c>
      <c r="N67" s="292">
        <f t="shared" si="0"/>
        <v>-2.0141843971631213E-2</v>
      </c>
      <c r="O67" s="292"/>
      <c r="P67" s="293">
        <f t="shared" si="2"/>
        <v>0</v>
      </c>
      <c r="Q67" s="9" t="str">
        <f>_xll.BDP(G67&amp;" EQUITY",$H$1)</f>
        <v>#N/A Invalid Security</v>
      </c>
      <c r="R67" s="294">
        <v>70.5</v>
      </c>
      <c r="T67" s="103">
        <f t="shared" si="1"/>
        <v>11</v>
      </c>
      <c r="U67" s="293">
        <f t="shared" si="3"/>
        <v>-6.0224113475177321E-4</v>
      </c>
      <c r="V67" s="9">
        <f>_xll.BDP(L67&amp;" EQUITY",$H$1)</f>
        <v>69.08</v>
      </c>
      <c r="W67" s="294">
        <v>70.5</v>
      </c>
      <c r="BB67"/>
      <c r="BD67"/>
    </row>
    <row r="68" spans="11:56" ht="15.75" x14ac:dyDescent="0.25">
      <c r="K68" s="291" t="s">
        <v>191</v>
      </c>
      <c r="L68" s="22" t="s">
        <v>178</v>
      </c>
      <c r="M68" s="93">
        <v>2.6800000000000001E-2</v>
      </c>
      <c r="N68" s="292">
        <f t="shared" si="0"/>
        <v>0.14160659114315144</v>
      </c>
      <c r="O68" s="292"/>
      <c r="P68" s="293">
        <f t="shared" si="2"/>
        <v>0</v>
      </c>
      <c r="Q68" s="9" t="str">
        <f>_xll.BDP(G68&amp;" EQUITY",$H$1)</f>
        <v>#N/A Invalid Security</v>
      </c>
      <c r="R68" s="294">
        <v>77.680000000000007</v>
      </c>
      <c r="T68" s="102">
        <f t="shared" si="1"/>
        <v>6</v>
      </c>
      <c r="U68" s="293">
        <f t="shared" si="3"/>
        <v>3.7950566426364586E-3</v>
      </c>
      <c r="V68" s="9">
        <f>_xll.BDP(L68&amp;" EQUITY",$H$1)</f>
        <v>88.68</v>
      </c>
      <c r="W68" s="294">
        <v>77.680000000000007</v>
      </c>
      <c r="BB68"/>
      <c r="BD68"/>
    </row>
    <row r="69" spans="11:56" ht="15.75" x14ac:dyDescent="0.25">
      <c r="K69" s="305" t="s">
        <v>192</v>
      </c>
      <c r="L69" s="22" t="s">
        <v>177</v>
      </c>
      <c r="M69" s="93">
        <v>2.6800000000000001E-2</v>
      </c>
      <c r="N69" s="292">
        <f t="shared" si="0"/>
        <v>2.1121039805036546E-2</v>
      </c>
      <c r="O69" s="292"/>
      <c r="P69" s="293">
        <f t="shared" si="2"/>
        <v>0</v>
      </c>
      <c r="Q69" s="9" t="str">
        <f>_xll.BDP(G69&amp;" EQUITY",$H$1)</f>
        <v>#N/A Invalid Security</v>
      </c>
      <c r="R69" s="294">
        <v>36.93</v>
      </c>
      <c r="T69" s="102">
        <f t="shared" si="1"/>
        <v>10</v>
      </c>
      <c r="U69" s="293">
        <f t="shared" si="3"/>
        <v>5.6604386677497939E-4</v>
      </c>
      <c r="V69" s="9">
        <f>_xll.BDP(L69&amp;" EQUITY",$H$1)</f>
        <v>37.71</v>
      </c>
      <c r="W69" s="294">
        <v>36.93</v>
      </c>
      <c r="BB69"/>
      <c r="BD69"/>
    </row>
    <row r="70" spans="11:56" x14ac:dyDescent="0.25">
      <c r="K70" s="2"/>
      <c r="R70" s="28"/>
      <c r="W70" s="28"/>
      <c r="BB70"/>
      <c r="BD70"/>
    </row>
    <row r="71" spans="11:56" x14ac:dyDescent="0.25">
      <c r="K71" s="2"/>
      <c r="P71" s="916">
        <f>SUM(P59:P69)</f>
        <v>0</v>
      </c>
      <c r="Q71" s="918" t="s">
        <v>114</v>
      </c>
      <c r="R71" s="919"/>
      <c r="U71" s="916">
        <f>SUM(U59:U69)</f>
        <v>0.37903570485808796</v>
      </c>
      <c r="V71" s="918" t="s">
        <v>114</v>
      </c>
      <c r="W71" s="919"/>
      <c r="BB71"/>
      <c r="BD71"/>
    </row>
    <row r="72" spans="11:56" x14ac:dyDescent="0.25">
      <c r="K72" s="2"/>
      <c r="M72" s="290">
        <f>SUM(M59:M71)</f>
        <v>0.99750000000000005</v>
      </c>
      <c r="P72" s="917"/>
      <c r="Q72" s="920" t="s">
        <v>194</v>
      </c>
      <c r="R72" s="921"/>
      <c r="U72" s="917"/>
      <c r="V72" s="920" t="s">
        <v>194</v>
      </c>
      <c r="W72" s="921"/>
      <c r="BB72"/>
      <c r="BD72"/>
    </row>
    <row r="73" spans="11:56" x14ac:dyDescent="0.25">
      <c r="K73" s="2"/>
      <c r="R73" s="28"/>
      <c r="W73" s="28"/>
      <c r="BB73"/>
      <c r="BD73"/>
    </row>
    <row r="74" spans="11:56" x14ac:dyDescent="0.25">
      <c r="K74" s="97"/>
      <c r="L74" s="34"/>
      <c r="M74" s="34"/>
      <c r="N74" s="34"/>
      <c r="O74" s="34"/>
      <c r="P74" s="34"/>
      <c r="Q74" s="34"/>
      <c r="R74" s="44"/>
      <c r="T74" s="34"/>
      <c r="U74" s="34"/>
      <c r="V74" s="34"/>
      <c r="W74" s="44"/>
      <c r="BB74"/>
      <c r="BD74"/>
    </row>
    <row r="75" spans="11:56" ht="15.75" customHeight="1" x14ac:dyDescent="0.25">
      <c r="K75"/>
      <c r="BB75"/>
      <c r="BD75"/>
    </row>
    <row r="76" spans="11:56" ht="15.75" customHeight="1" x14ac:dyDescent="0.25">
      <c r="K76"/>
      <c r="BB76"/>
      <c r="BD76"/>
    </row>
    <row r="77" spans="11:56" ht="15.75" customHeight="1" x14ac:dyDescent="0.25">
      <c r="K77"/>
      <c r="BB77"/>
      <c r="BD77"/>
    </row>
    <row r="78" spans="11:56" ht="15.75" customHeight="1" x14ac:dyDescent="0.25">
      <c r="K78"/>
      <c r="BB78"/>
      <c r="BD78"/>
    </row>
    <row r="79" spans="11:56" ht="15.75" customHeight="1" x14ac:dyDescent="0.25">
      <c r="K79"/>
      <c r="BB79"/>
      <c r="BD79"/>
    </row>
    <row r="80" spans="11:56" ht="15.75" customHeight="1" x14ac:dyDescent="0.25">
      <c r="K80"/>
      <c r="BB80"/>
      <c r="BD80"/>
    </row>
    <row r="81" spans="6:56" x14ac:dyDescent="0.25">
      <c r="K81"/>
      <c r="BB81"/>
      <c r="BD81"/>
    </row>
    <row r="82" spans="6:56" x14ac:dyDescent="0.25">
      <c r="K82"/>
      <c r="BB82"/>
      <c r="BD82"/>
    </row>
    <row r="83" spans="6:56" x14ac:dyDescent="0.25">
      <c r="K83"/>
      <c r="BB83"/>
      <c r="BD83"/>
    </row>
    <row r="84" spans="6:56" x14ac:dyDescent="0.25">
      <c r="K84"/>
      <c r="BB84"/>
      <c r="BD84"/>
    </row>
    <row r="85" spans="6:56" x14ac:dyDescent="0.25">
      <c r="K85"/>
      <c r="BB85"/>
      <c r="BD85"/>
    </row>
    <row r="86" spans="6:56" x14ac:dyDescent="0.25">
      <c r="K86"/>
      <c r="BB86"/>
      <c r="BD86"/>
    </row>
    <row r="87" spans="6:56" x14ac:dyDescent="0.25">
      <c r="K87"/>
      <c r="BB87"/>
      <c r="BD87"/>
    </row>
    <row r="88" spans="6:56" x14ac:dyDescent="0.25">
      <c r="K88"/>
      <c r="BB88"/>
      <c r="BD88"/>
    </row>
    <row r="89" spans="6:56" x14ac:dyDescent="0.25">
      <c r="K89"/>
      <c r="BB89"/>
      <c r="BD89"/>
    </row>
    <row r="90" spans="6:56" ht="15.75" x14ac:dyDescent="0.25">
      <c r="F90" s="3" t="s">
        <v>15</v>
      </c>
      <c r="G90" s="29">
        <v>110000</v>
      </c>
      <c r="H90" s="9">
        <f>_xll.BDP(F90&amp;" EQUITY",$H$1)</f>
        <v>198.44</v>
      </c>
      <c r="I90" s="111">
        <f>_xll.BDP(F90&amp;" EQUITY",$I$1)</f>
        <v>-0.44</v>
      </c>
      <c r="J90" s="129">
        <f>_xll.BDP(F90&amp;" EQUITY",$J$1)*0.01</f>
        <v>-2.2123889999999999E-3</v>
      </c>
      <c r="K90" s="157">
        <f t="shared" ref="K90:K128" si="4">+RANK(J90,$J$4:$J$43)</f>
        <v>9</v>
      </c>
      <c r="L90" s="161">
        <f t="shared" ref="L90:L128" si="5">+I90*G90</f>
        <v>-48400</v>
      </c>
      <c r="M90" s="99"/>
      <c r="N90" s="420">
        <f t="shared" ref="N90:N128" si="6">+H90*G90</f>
        <v>21828400</v>
      </c>
      <c r="O90" s="99"/>
      <c r="P90" s="829">
        <v>21881200</v>
      </c>
      <c r="R90" s="99">
        <f>+N90-P90</f>
        <v>-52800</v>
      </c>
      <c r="BB90"/>
      <c r="BD90"/>
    </row>
    <row r="91" spans="6:56" ht="15.75" x14ac:dyDescent="0.25">
      <c r="F91" s="3" t="s">
        <v>13</v>
      </c>
      <c r="G91" s="101">
        <v>40000</v>
      </c>
      <c r="H91" s="9">
        <f>_xll.BDP(F91&amp;" EQUITY",$H$1)</f>
        <v>336.63</v>
      </c>
      <c r="I91" s="112">
        <f>_xll.BDP(F91&amp;" EQUITY",$I$1)</f>
        <v>-14.25</v>
      </c>
      <c r="J91" s="127">
        <f>_xll.BDP(F91&amp;" EQUITY",$J$1)*0.01</f>
        <v>-4.0612180000000005E-2</v>
      </c>
      <c r="K91" s="157">
        <f t="shared" si="4"/>
        <v>39</v>
      </c>
      <c r="L91" s="161">
        <f t="shared" si="5"/>
        <v>-570000</v>
      </c>
      <c r="M91" s="99"/>
      <c r="N91" s="420">
        <f t="shared" si="6"/>
        <v>13465200</v>
      </c>
      <c r="O91" s="99"/>
      <c r="P91" s="829">
        <v>14454000</v>
      </c>
      <c r="R91" s="99">
        <f t="shared" ref="R91:R128" si="7">+N91-P91</f>
        <v>-988800</v>
      </c>
      <c r="BB91"/>
      <c r="BD91"/>
    </row>
    <row r="92" spans="6:56" ht="15.75" x14ac:dyDescent="0.25">
      <c r="F92" s="3" t="s">
        <v>7</v>
      </c>
      <c r="G92" s="101">
        <v>90000</v>
      </c>
      <c r="H92" s="9">
        <f>_xll.BDP(F92&amp;" EQUITY",$H$1)</f>
        <v>158.28989999999999</v>
      </c>
      <c r="I92" s="112">
        <f>_xll.BDP(F92&amp;" EQUITY",$I$1)</f>
        <v>-1.0201</v>
      </c>
      <c r="J92" s="127">
        <f>_xll.BDP(F92&amp;" EQUITY",$J$1)*0.01</f>
        <v>-6.4032389999999998E-3</v>
      </c>
      <c r="K92" s="157">
        <f t="shared" si="4"/>
        <v>15</v>
      </c>
      <c r="L92" s="161">
        <f t="shared" si="5"/>
        <v>-91809</v>
      </c>
      <c r="M92" s="99"/>
      <c r="N92" s="420">
        <f t="shared" si="6"/>
        <v>14246090.999999998</v>
      </c>
      <c r="O92" s="99"/>
      <c r="P92" s="829">
        <v>11588235</v>
      </c>
      <c r="R92" s="99">
        <f t="shared" si="7"/>
        <v>2657855.9999999981</v>
      </c>
      <c r="BB92"/>
      <c r="BD92"/>
    </row>
    <row r="93" spans="6:56" ht="15.75" x14ac:dyDescent="0.25">
      <c r="F93" s="3" t="s">
        <v>11</v>
      </c>
      <c r="G93" s="101">
        <v>330000</v>
      </c>
      <c r="H93" s="9">
        <f>_xll.BDP(F93&amp;" EQUITY",$H$1)</f>
        <v>39.61</v>
      </c>
      <c r="I93" s="112">
        <f>_xll.BDP(F93&amp;" EQUITY",$I$1)</f>
        <v>-0.41</v>
      </c>
      <c r="J93" s="127">
        <f>_xll.BDP(F93&amp;" EQUITY",$J$1)*0.01</f>
        <v>-1.0244880000000001E-2</v>
      </c>
      <c r="K93" s="157" t="e">
        <f t="shared" si="4"/>
        <v>#N/A</v>
      </c>
      <c r="L93" s="161">
        <f t="shared" si="5"/>
        <v>-135300</v>
      </c>
      <c r="M93" s="99"/>
      <c r="N93" s="420">
        <f t="shared" si="6"/>
        <v>13071300</v>
      </c>
      <c r="O93" s="99"/>
      <c r="P93" s="829">
        <v>11874081</v>
      </c>
      <c r="R93" s="99">
        <f t="shared" si="7"/>
        <v>1197219</v>
      </c>
      <c r="BB93"/>
      <c r="BD93"/>
    </row>
    <row r="94" spans="6:56" ht="15.75" x14ac:dyDescent="0.25">
      <c r="F94" s="3" t="s">
        <v>202</v>
      </c>
      <c r="G94" s="29">
        <v>66900</v>
      </c>
      <c r="H94" s="9">
        <f>_xll.BDP(F94&amp;" EQUITY",$H$1)</f>
        <v>171.26499999999999</v>
      </c>
      <c r="I94" s="112">
        <f>_xll.BDP(F94&amp;" EQUITY",$I$1)</f>
        <v>-1.4750000000000001</v>
      </c>
      <c r="J94" s="127">
        <f>_xll.BDP(F94&amp;" EQUITY",$J$1)*0.01</f>
        <v>-8.5388450000000015E-3</v>
      </c>
      <c r="K94" s="157">
        <f t="shared" si="4"/>
        <v>19</v>
      </c>
      <c r="L94" s="161">
        <f t="shared" si="5"/>
        <v>-98677.5</v>
      </c>
      <c r="M94" s="99"/>
      <c r="N94" s="420">
        <f t="shared" si="6"/>
        <v>11457628.5</v>
      </c>
      <c r="O94" s="99"/>
      <c r="P94" s="829">
        <v>12052125</v>
      </c>
      <c r="R94" s="99">
        <f t="shared" si="7"/>
        <v>-594496.5</v>
      </c>
      <c r="BB94"/>
      <c r="BD94"/>
    </row>
    <row r="95" spans="6:56" ht="15.75" x14ac:dyDescent="0.25">
      <c r="F95" s="3" t="s">
        <v>40</v>
      </c>
      <c r="G95" s="101">
        <v>60600</v>
      </c>
      <c r="H95" s="9">
        <f>_xll.BDP(F95&amp;" EQUITY",$H$1)</f>
        <v>192.91</v>
      </c>
      <c r="I95" s="112">
        <f>_xll.BDP(F95&amp;" EQUITY",$I$1)</f>
        <v>-3.48</v>
      </c>
      <c r="J95" s="127">
        <f>_xll.BDP(F95&amp;" EQUITY",$J$1)*0.01</f>
        <v>-1.7719840000000001E-2</v>
      </c>
      <c r="K95" s="157">
        <f t="shared" si="4"/>
        <v>33</v>
      </c>
      <c r="L95" s="161">
        <f t="shared" si="5"/>
        <v>-210888</v>
      </c>
      <c r="M95" s="99"/>
      <c r="N95" s="420">
        <f t="shared" si="6"/>
        <v>11690346</v>
      </c>
      <c r="O95" s="99"/>
      <c r="P95" s="829">
        <v>12378300</v>
      </c>
      <c r="R95" s="99">
        <f t="shared" si="7"/>
        <v>-687954</v>
      </c>
      <c r="BB95"/>
      <c r="BD95"/>
    </row>
    <row r="96" spans="6:56" ht="15.75" x14ac:dyDescent="0.25">
      <c r="F96" s="3" t="s">
        <v>201</v>
      </c>
      <c r="G96" s="101">
        <v>172000</v>
      </c>
      <c r="H96" s="9">
        <f>_xll.BDP(F96&amp;" EQUITY",$H$1)</f>
        <v>53.32</v>
      </c>
      <c r="I96" s="112">
        <f>_xll.BDP(F96&amp;" EQUITY",$I$1)</f>
        <v>-1.3</v>
      </c>
      <c r="J96" s="127">
        <f>_xll.BDP(F96&amp;" EQUITY",$J$1)*0.01</f>
        <v>-2.3800810000000002E-2</v>
      </c>
      <c r="K96" s="157">
        <f t="shared" si="4"/>
        <v>37</v>
      </c>
      <c r="L96" s="161">
        <f t="shared" si="5"/>
        <v>-223600</v>
      </c>
      <c r="M96" s="99"/>
      <c r="N96" s="420">
        <f t="shared" si="6"/>
        <v>9171040</v>
      </c>
      <c r="O96" s="99"/>
      <c r="P96" s="829">
        <v>9622400</v>
      </c>
      <c r="R96" s="99">
        <f t="shared" si="7"/>
        <v>-451360</v>
      </c>
      <c r="BB96"/>
      <c r="BD96"/>
    </row>
    <row r="97" spans="6:60" ht="15.75" x14ac:dyDescent="0.25">
      <c r="F97" s="3" t="s">
        <v>8</v>
      </c>
      <c r="G97" s="101">
        <v>81000</v>
      </c>
      <c r="H97" s="9">
        <f>_xll.BDP(F97&amp;" EQUITY",$H$1)</f>
        <v>113.895</v>
      </c>
      <c r="I97" s="112">
        <f>_xll.BDP(F97&amp;" EQUITY",$I$1)</f>
        <v>-0.155</v>
      </c>
      <c r="J97" s="127">
        <f>_xll.BDP(F97&amp;" EQUITY",$J$1)*0.01</f>
        <v>-1.359053E-3</v>
      </c>
      <c r="K97" s="157">
        <f t="shared" si="4"/>
        <v>8</v>
      </c>
      <c r="L97" s="161">
        <f t="shared" si="5"/>
        <v>-12555</v>
      </c>
      <c r="M97" s="99"/>
      <c r="N97" s="420">
        <f t="shared" si="6"/>
        <v>9225495</v>
      </c>
      <c r="O97" s="99"/>
      <c r="P97" s="829">
        <v>10283020</v>
      </c>
      <c r="R97" s="99">
        <f t="shared" si="7"/>
        <v>-1057525</v>
      </c>
      <c r="BB97"/>
      <c r="BD97"/>
    </row>
    <row r="98" spans="6:60" ht="15.75" x14ac:dyDescent="0.25">
      <c r="F98" s="3" t="s">
        <v>200</v>
      </c>
      <c r="G98" s="29">
        <v>62000</v>
      </c>
      <c r="H98" s="9">
        <f>_xll.BDP(F98&amp;" EQUITY",$H$1)</f>
        <v>147.77000000000001</v>
      </c>
      <c r="I98" s="112">
        <f>_xll.BDP(F98&amp;" EQUITY",$I$1)</f>
        <v>-1.35</v>
      </c>
      <c r="J98" s="127">
        <f>_xll.BDP(F98&amp;" EQUITY",$J$1)*0.01</f>
        <v>-9.0531120000000003E-3</v>
      </c>
      <c r="K98" s="157">
        <f t="shared" si="4"/>
        <v>21</v>
      </c>
      <c r="L98" s="161">
        <f t="shared" si="5"/>
        <v>-83700</v>
      </c>
      <c r="M98" s="99"/>
      <c r="N98" s="420">
        <f t="shared" si="6"/>
        <v>9161740</v>
      </c>
      <c r="O98" s="99"/>
      <c r="P98" s="829">
        <v>8997200</v>
      </c>
      <c r="R98" s="99">
        <f t="shared" si="7"/>
        <v>164540</v>
      </c>
      <c r="BB98"/>
      <c r="BD98"/>
    </row>
    <row r="99" spans="6:60" ht="15.75" x14ac:dyDescent="0.25">
      <c r="F99" s="3" t="s">
        <v>204</v>
      </c>
      <c r="G99" s="101">
        <v>488000</v>
      </c>
      <c r="H99" s="9">
        <f>_xll.BDP(F99&amp;" EQUITY",$H$1)</f>
        <v>20.125</v>
      </c>
      <c r="I99" s="112">
        <f>_xll.BDP(F99&amp;" EQUITY",$I$1)</f>
        <v>1.4999999999999999E-2</v>
      </c>
      <c r="J99" s="127">
        <f>_xll.BDP(F99&amp;" EQUITY",$J$1)*0.01</f>
        <v>7.4589760000000002E-4</v>
      </c>
      <c r="K99" s="157">
        <f t="shared" si="4"/>
        <v>4</v>
      </c>
      <c r="L99" s="161">
        <f t="shared" si="5"/>
        <v>7320</v>
      </c>
      <c r="M99" s="99"/>
      <c r="N99" s="420">
        <f t="shared" si="6"/>
        <v>9821000</v>
      </c>
      <c r="O99" s="99"/>
      <c r="P99" s="829">
        <v>9546184</v>
      </c>
      <c r="R99" s="99">
        <f t="shared" si="7"/>
        <v>274816</v>
      </c>
      <c r="BB99"/>
      <c r="BD99"/>
    </row>
    <row r="100" spans="6:60" ht="15.75" x14ac:dyDescent="0.25">
      <c r="F100" s="31" t="s">
        <v>25</v>
      </c>
      <c r="G100" s="116">
        <v>20000</v>
      </c>
      <c r="H100" s="33">
        <f>_xll.BDP(F100&amp;" EQUITY",$H$1)</f>
        <v>467.49</v>
      </c>
      <c r="I100" s="114">
        <f>_xll.BDP(F100&amp;" EQUITY",$I$1)</f>
        <v>-4.0199999999999996</v>
      </c>
      <c r="J100" s="727">
        <f>_xll.BDP(F100&amp;" EQUITY",$J$1)*0.01</f>
        <v>-8.5258E-3</v>
      </c>
      <c r="K100" s="157">
        <f t="shared" si="4"/>
        <v>18</v>
      </c>
      <c r="L100" s="161">
        <f t="shared" si="5"/>
        <v>-80399.999999999985</v>
      </c>
      <c r="M100" s="99"/>
      <c r="N100" s="420">
        <f t="shared" si="6"/>
        <v>9349800</v>
      </c>
      <c r="O100" s="99"/>
      <c r="P100" s="829">
        <v>9032880</v>
      </c>
      <c r="R100" s="99">
        <f t="shared" si="7"/>
        <v>316920</v>
      </c>
      <c r="BB100"/>
      <c r="BD100"/>
    </row>
    <row r="101" spans="6:60" ht="15.75" x14ac:dyDescent="0.25">
      <c r="F101" s="3" t="s">
        <v>203</v>
      </c>
      <c r="G101" s="29">
        <v>189000</v>
      </c>
      <c r="H101" s="9">
        <f>_xll.BDP(F101&amp;" EQUITY",$H$1)</f>
        <v>39.805</v>
      </c>
      <c r="I101" s="112">
        <f>_xll.BDP(F101&amp;" EQUITY",$I$1)</f>
        <v>-0.745</v>
      </c>
      <c r="J101" s="127">
        <f>_xll.BDP(F101&amp;" EQUITY",$J$1)*0.01</f>
        <v>-1.8372380000000001E-2</v>
      </c>
      <c r="K101" s="157">
        <f t="shared" si="4"/>
        <v>34</v>
      </c>
      <c r="L101" s="161">
        <f t="shared" si="5"/>
        <v>-140805</v>
      </c>
      <c r="M101" s="99"/>
      <c r="N101" s="420">
        <f t="shared" si="6"/>
        <v>7523145</v>
      </c>
      <c r="O101" s="99"/>
      <c r="P101" s="829">
        <v>7692300</v>
      </c>
      <c r="R101" s="99">
        <f t="shared" si="7"/>
        <v>-169155</v>
      </c>
      <c r="BB101"/>
      <c r="BD101"/>
    </row>
    <row r="102" spans="6:60" ht="15.75" x14ac:dyDescent="0.25">
      <c r="F102" s="3" t="s">
        <v>212</v>
      </c>
      <c r="G102" s="101">
        <v>135000</v>
      </c>
      <c r="H102" s="9">
        <f>_xll.BDP(F102&amp;" EQUITY",$H$1)</f>
        <v>58.765000000000001</v>
      </c>
      <c r="I102" s="112">
        <f>_xll.BDP(F102&amp;" EQUITY",$I$1)</f>
        <v>-0.71499999999999997</v>
      </c>
      <c r="J102" s="127">
        <f>_xll.BDP(F102&amp;" EQUITY",$J$1)*0.01</f>
        <v>-1.2020850000000001E-2</v>
      </c>
      <c r="K102" s="157">
        <f t="shared" si="4"/>
        <v>27</v>
      </c>
      <c r="L102" s="161">
        <f t="shared" si="5"/>
        <v>-96525</v>
      </c>
      <c r="M102" s="99"/>
      <c r="N102" s="420">
        <f t="shared" si="6"/>
        <v>7933275</v>
      </c>
      <c r="O102" s="99"/>
      <c r="P102" s="830">
        <v>8200710</v>
      </c>
      <c r="R102" s="99">
        <f t="shared" si="7"/>
        <v>-267435</v>
      </c>
      <c r="BB102"/>
      <c r="BD102"/>
    </row>
    <row r="103" spans="6:60" ht="15.75" x14ac:dyDescent="0.25">
      <c r="F103" s="3" t="s">
        <v>215</v>
      </c>
      <c r="G103" s="101">
        <v>83000</v>
      </c>
      <c r="H103" s="9">
        <f>_xll.BDP(F103&amp;" EQUITY",$H$1)</f>
        <v>97.558999999999997</v>
      </c>
      <c r="I103" s="112">
        <f>_xll.BDP(F103&amp;" EQUITY",$I$1)</f>
        <v>0.45900000000000002</v>
      </c>
      <c r="J103" s="127">
        <f>_xll.BDP(F103&amp;" EQUITY",$J$1)*0.01</f>
        <v>4.7270849999999998E-3</v>
      </c>
      <c r="K103" s="157">
        <f t="shared" si="4"/>
        <v>2</v>
      </c>
      <c r="L103" s="161">
        <f t="shared" si="5"/>
        <v>38097</v>
      </c>
      <c r="M103" s="99"/>
      <c r="N103" s="420">
        <f t="shared" si="6"/>
        <v>8097397</v>
      </c>
      <c r="O103" s="99"/>
      <c r="P103" s="829">
        <v>7331250</v>
      </c>
      <c r="R103" s="99">
        <f t="shared" si="7"/>
        <v>766147</v>
      </c>
      <c r="BB103"/>
      <c r="BD103"/>
    </row>
    <row r="104" spans="6:60" ht="15.75" x14ac:dyDescent="0.25">
      <c r="F104" s="3" t="s">
        <v>34</v>
      </c>
      <c r="G104" s="101">
        <v>185000</v>
      </c>
      <c r="H104" s="9">
        <f>_xll.BDP(F104&amp;" EQUITY",$H$1)</f>
        <v>38.119999999999997</v>
      </c>
      <c r="I104" s="112">
        <f>_xll.BDP(F104&amp;" EQUITY",$I$1)</f>
        <v>-0.36</v>
      </c>
      <c r="J104" s="127">
        <f>_xll.BDP(F104&amp;" EQUITY",$J$1)*0.01</f>
        <v>-9.3555089999999997E-3</v>
      </c>
      <c r="K104" s="157">
        <f t="shared" si="4"/>
        <v>22</v>
      </c>
      <c r="L104" s="161">
        <f t="shared" si="5"/>
        <v>-66600</v>
      </c>
      <c r="M104" s="99"/>
      <c r="N104" s="420">
        <f t="shared" si="6"/>
        <v>7052199.9999999991</v>
      </c>
      <c r="O104" s="99"/>
      <c r="P104" s="829">
        <v>7784775</v>
      </c>
      <c r="R104" s="99">
        <f t="shared" si="7"/>
        <v>-732575.00000000093</v>
      </c>
      <c r="BB104"/>
      <c r="BD104"/>
    </row>
    <row r="105" spans="6:60" ht="15.75" x14ac:dyDescent="0.25">
      <c r="F105" s="482" t="s">
        <v>199</v>
      </c>
      <c r="G105" s="29">
        <v>178000</v>
      </c>
      <c r="H105" s="9">
        <f>_xll.BDP(F105&amp;" EQUITY",$H$1)</f>
        <v>41.19</v>
      </c>
      <c r="I105" s="112">
        <f>_xll.BDP(F105&amp;" EQUITY",$I$1)</f>
        <v>0.02</v>
      </c>
      <c r="J105" s="127">
        <f>_xll.BDP(F105&amp;" EQUITY",$J$1)*0.01</f>
        <v>4.8579060000000004E-4</v>
      </c>
      <c r="K105" s="157">
        <f t="shared" si="4"/>
        <v>5</v>
      </c>
      <c r="L105" s="161">
        <f t="shared" si="5"/>
        <v>3560</v>
      </c>
      <c r="M105" s="99"/>
      <c r="N105" s="420">
        <f t="shared" si="6"/>
        <v>7331820</v>
      </c>
      <c r="O105" s="99"/>
      <c r="P105" s="829">
        <v>7588122.2000000002</v>
      </c>
      <c r="R105" s="99">
        <f t="shared" si="7"/>
        <v>-256302.20000000019</v>
      </c>
      <c r="BB105"/>
      <c r="BD105"/>
    </row>
    <row r="106" spans="6:60" ht="15.75" x14ac:dyDescent="0.25">
      <c r="F106" s="3" t="s">
        <v>207</v>
      </c>
      <c r="G106" s="29">
        <v>88800</v>
      </c>
      <c r="H106" s="9">
        <f>_xll.BDP(F106&amp;" EQUITY",$H$1)</f>
        <v>87.1</v>
      </c>
      <c r="I106" s="112">
        <f>_xll.BDP(F106&amp;" EQUITY",$I$1)</f>
        <v>-1.04</v>
      </c>
      <c r="J106" s="127">
        <f>_xll.BDP(F106&amp;" EQUITY",$J$1)*0.01</f>
        <v>-1.179941E-2</v>
      </c>
      <c r="K106" s="157">
        <f t="shared" si="4"/>
        <v>26</v>
      </c>
      <c r="L106" s="161">
        <f t="shared" si="5"/>
        <v>-92352</v>
      </c>
      <c r="M106" s="99"/>
      <c r="N106" s="420">
        <f t="shared" si="6"/>
        <v>7734479.9999999991</v>
      </c>
      <c r="O106" s="99"/>
      <c r="P106" s="829">
        <v>7757179.9999999991</v>
      </c>
      <c r="R106" s="99">
        <f t="shared" si="7"/>
        <v>-22700</v>
      </c>
      <c r="BB106"/>
      <c r="BD106"/>
    </row>
    <row r="107" spans="6:60" ht="15.75" x14ac:dyDescent="0.25">
      <c r="F107" s="3" t="s">
        <v>205</v>
      </c>
      <c r="G107" s="29">
        <v>141000</v>
      </c>
      <c r="H107" s="9">
        <f>_xll.BDP(F107&amp;" EQUITY",$H$1)</f>
        <v>42.005000000000003</v>
      </c>
      <c r="I107" s="112">
        <f>_xll.BDP(F107&amp;" EQUITY",$I$1)</f>
        <v>-0.22500000000000001</v>
      </c>
      <c r="J107" s="127">
        <f>_xll.BDP(F107&amp;" EQUITY",$J$1)*0.01</f>
        <v>-5.327966E-3</v>
      </c>
      <c r="K107" s="157">
        <f t="shared" si="4"/>
        <v>12</v>
      </c>
      <c r="L107" s="161">
        <f t="shared" si="5"/>
        <v>-31725</v>
      </c>
      <c r="M107" s="99"/>
      <c r="N107" s="420">
        <f t="shared" si="6"/>
        <v>5922705</v>
      </c>
      <c r="O107" s="99"/>
      <c r="P107" s="829">
        <v>7306640</v>
      </c>
      <c r="R107" s="99">
        <f t="shared" si="7"/>
        <v>-1383935</v>
      </c>
      <c r="BB107"/>
      <c r="BD107"/>
    </row>
    <row r="108" spans="6:60" ht="15.75" x14ac:dyDescent="0.25">
      <c r="F108" s="3" t="s">
        <v>209</v>
      </c>
      <c r="G108" s="29">
        <v>150000</v>
      </c>
      <c r="H108" s="9">
        <f>_xll.BDP(F108&amp;" EQUITY",$H$1)</f>
        <v>47.57</v>
      </c>
      <c r="I108" s="112">
        <f>_xll.BDP(F108&amp;" EQUITY",$I$1)</f>
        <v>0.28999999999999998</v>
      </c>
      <c r="J108" s="127">
        <f>_xll.BDP(F108&amp;" EQUITY",$J$1)*0.01</f>
        <v>6.1336719999999997E-3</v>
      </c>
      <c r="K108" s="157">
        <f t="shared" si="4"/>
        <v>1</v>
      </c>
      <c r="L108" s="161">
        <f t="shared" si="5"/>
        <v>43500</v>
      </c>
      <c r="M108" s="99"/>
      <c r="N108" s="420">
        <f t="shared" si="6"/>
        <v>7135500</v>
      </c>
      <c r="O108" s="99"/>
      <c r="P108" s="829">
        <v>5823149.2000000002</v>
      </c>
      <c r="R108" s="99">
        <f t="shared" si="7"/>
        <v>1312350.7999999998</v>
      </c>
      <c r="AZ108" s="47"/>
      <c r="BA108" s="47"/>
      <c r="BC108" s="7"/>
      <c r="BG108" s="7"/>
      <c r="BH108" s="7"/>
    </row>
    <row r="109" spans="6:60" ht="15.75" x14ac:dyDescent="0.25">
      <c r="F109" s="3" t="s">
        <v>208</v>
      </c>
      <c r="G109" s="101">
        <v>76000</v>
      </c>
      <c r="H109" s="9">
        <f>_xll.BDP(F109&amp;" EQUITY",$H$1)</f>
        <v>100.07</v>
      </c>
      <c r="I109" s="112">
        <f>_xll.BDP(F109&amp;" EQUITY",$I$1)</f>
        <v>-1.44</v>
      </c>
      <c r="J109" s="127">
        <f>_xll.BDP(F109&amp;" EQUITY",$J$1)*0.01</f>
        <v>-1.418579E-2</v>
      </c>
      <c r="K109" s="157">
        <f t="shared" si="4"/>
        <v>30</v>
      </c>
      <c r="L109" s="161">
        <f t="shared" si="5"/>
        <v>-109440</v>
      </c>
      <c r="M109" s="99"/>
      <c r="N109" s="420">
        <f t="shared" si="6"/>
        <v>7605319.9999999991</v>
      </c>
      <c r="O109" s="99"/>
      <c r="P109" s="829">
        <v>7405320</v>
      </c>
      <c r="R109" s="99">
        <f t="shared" si="7"/>
        <v>199999.99999999907</v>
      </c>
      <c r="AZ109" s="47"/>
      <c r="BA109" s="47"/>
      <c r="BC109" s="7"/>
      <c r="BG109" s="7"/>
      <c r="BH109" s="7"/>
    </row>
    <row r="110" spans="6:60" ht="15.75" x14ac:dyDescent="0.25">
      <c r="F110" s="3" t="s">
        <v>531</v>
      </c>
      <c r="G110" s="101">
        <v>55000</v>
      </c>
      <c r="H110" s="9">
        <f>_xll.BDP(F110&amp;" EQUITY",$H$1)</f>
        <v>137.84</v>
      </c>
      <c r="I110" s="112">
        <f>_xll.BDP(F110&amp;" EQUITY",$I$1)</f>
        <v>-2.0499999999999998</v>
      </c>
      <c r="J110" s="127">
        <f>_xll.BDP(F110&amp;" EQUITY",$J$1)*0.01</f>
        <v>-1.4654370000000002E-2</v>
      </c>
      <c r="K110" s="157">
        <f t="shared" si="4"/>
        <v>31</v>
      </c>
      <c r="L110" s="161">
        <f t="shared" si="5"/>
        <v>-112749.99999999999</v>
      </c>
      <c r="M110" s="99"/>
      <c r="N110" s="420">
        <f t="shared" si="6"/>
        <v>7581200</v>
      </c>
      <c r="O110" s="99"/>
      <c r="P110" s="829">
        <v>7506264</v>
      </c>
      <c r="R110" s="99">
        <f t="shared" si="7"/>
        <v>74936</v>
      </c>
      <c r="AZ110" s="47"/>
      <c r="BA110" s="47"/>
      <c r="BG110" s="7"/>
      <c r="BH110" s="7"/>
    </row>
    <row r="111" spans="6:60" ht="15.75" x14ac:dyDescent="0.25">
      <c r="F111" s="3" t="s">
        <v>377</v>
      </c>
      <c r="G111" s="101">
        <v>350000</v>
      </c>
      <c r="H111" s="9">
        <f>_xll.BDP(F111&amp;" EQUITY",$H$1)</f>
        <v>17.545000000000002</v>
      </c>
      <c r="I111" s="112">
        <f>_xll.BDP(F111&amp;" EQUITY",$I$1)</f>
        <v>-0.115</v>
      </c>
      <c r="J111" s="127">
        <f>_xll.BDP(F111&amp;" EQUITY",$J$1)*0.01</f>
        <v>-6.5118909999999997E-3</v>
      </c>
      <c r="K111" s="157">
        <f t="shared" si="4"/>
        <v>16</v>
      </c>
      <c r="L111" s="161">
        <f t="shared" si="5"/>
        <v>-40250</v>
      </c>
      <c r="M111" s="99"/>
      <c r="N111" s="420">
        <f t="shared" si="6"/>
        <v>6140750.0000000009</v>
      </c>
      <c r="O111" s="99"/>
      <c r="P111" s="829">
        <v>6929450</v>
      </c>
      <c r="R111" s="99">
        <f t="shared" si="7"/>
        <v>-788699.99999999907</v>
      </c>
      <c r="AZ111" s="47"/>
      <c r="BA111" s="47"/>
    </row>
    <row r="112" spans="6:60" ht="15.75" x14ac:dyDescent="0.25">
      <c r="F112" s="3" t="s">
        <v>133</v>
      </c>
      <c r="G112" s="29">
        <v>30000</v>
      </c>
      <c r="H112" s="9">
        <f>_xll.BDP(F112&amp;" EQUITY",$H$1)</f>
        <v>223.14</v>
      </c>
      <c r="I112" s="112">
        <f>_xll.BDP(F112&amp;" EQUITY",$I$1)</f>
        <v>-2.35</v>
      </c>
      <c r="J112" s="127">
        <f>_xll.BDP(F112&amp;" EQUITY",$J$1)*0.01</f>
        <v>-1.042175E-2</v>
      </c>
      <c r="K112" s="157">
        <f t="shared" si="4"/>
        <v>24</v>
      </c>
      <c r="L112" s="161">
        <f t="shared" si="5"/>
        <v>-70500</v>
      </c>
      <c r="M112" s="99"/>
      <c r="N112" s="420">
        <f t="shared" si="6"/>
        <v>6694200</v>
      </c>
      <c r="O112" s="99"/>
      <c r="P112" s="829">
        <v>6119850</v>
      </c>
      <c r="R112" s="99">
        <f t="shared" si="7"/>
        <v>574350</v>
      </c>
      <c r="AZ112" s="47"/>
      <c r="BA112" s="47"/>
    </row>
    <row r="113" spans="6:53" ht="15.75" x14ac:dyDescent="0.25">
      <c r="F113" s="3" t="s">
        <v>218</v>
      </c>
      <c r="G113" s="101">
        <v>46400</v>
      </c>
      <c r="H113" s="9">
        <f>_xll.BDP(F113&amp;" EQUITY",$H$1)</f>
        <v>132.97</v>
      </c>
      <c r="I113" s="112">
        <f>_xll.BDP(F113&amp;" EQUITY",$I$1)</f>
        <v>0.01</v>
      </c>
      <c r="J113" s="127">
        <f>_xll.BDP(F113&amp;" EQUITY",$J$1)*0.01</f>
        <v>7.5210590000000007E-5</v>
      </c>
      <c r="K113" s="157">
        <f t="shared" si="4"/>
        <v>6</v>
      </c>
      <c r="L113" s="161">
        <f t="shared" si="5"/>
        <v>464</v>
      </c>
      <c r="M113" s="99"/>
      <c r="N113" s="420">
        <f t="shared" si="6"/>
        <v>6169808</v>
      </c>
      <c r="O113" s="99"/>
      <c r="P113" s="829">
        <v>6805750</v>
      </c>
      <c r="R113" s="99">
        <f t="shared" si="7"/>
        <v>-635942</v>
      </c>
      <c r="AZ113" s="47"/>
      <c r="BA113" s="47"/>
    </row>
    <row r="114" spans="6:53" ht="15.75" x14ac:dyDescent="0.25">
      <c r="F114" s="3" t="s">
        <v>220</v>
      </c>
      <c r="G114" s="101">
        <v>97000</v>
      </c>
      <c r="H114" s="9">
        <f>_xll.BDP(F114&amp;" EQUITY",$H$1)</f>
        <v>61.545000000000002</v>
      </c>
      <c r="I114" s="112">
        <f>_xll.BDP(F114&amp;" EQUITY",$I$1)</f>
        <v>0.20499999999999999</v>
      </c>
      <c r="J114" s="127">
        <f>_xll.BDP(F114&amp;" EQUITY",$J$1)*0.01</f>
        <v>3.3420280000000004E-3</v>
      </c>
      <c r="K114" s="157">
        <f t="shared" si="4"/>
        <v>3</v>
      </c>
      <c r="L114" s="161">
        <f t="shared" si="5"/>
        <v>19885</v>
      </c>
      <c r="M114" s="99"/>
      <c r="N114" s="420">
        <f t="shared" si="6"/>
        <v>5969865</v>
      </c>
      <c r="O114" s="99"/>
      <c r="P114" s="829">
        <v>6040282.4000000004</v>
      </c>
      <c r="R114" s="99">
        <f t="shared" si="7"/>
        <v>-70417.400000000373</v>
      </c>
      <c r="AZ114" s="47"/>
      <c r="BA114" s="47"/>
    </row>
    <row r="115" spans="6:53" ht="15.75" x14ac:dyDescent="0.25">
      <c r="F115" s="3" t="s">
        <v>211</v>
      </c>
      <c r="G115" s="29">
        <v>92000</v>
      </c>
      <c r="H115" s="9">
        <f>_xll.BDP(F115&amp;" EQUITY",$H$1)</f>
        <v>51.96</v>
      </c>
      <c r="I115" s="112">
        <f>_xll.BDP(F115&amp;" EQUITY",$I$1)</f>
        <v>-0.45</v>
      </c>
      <c r="J115" s="127">
        <f>_xll.BDP(F115&amp;" EQUITY",$J$1)*0.01</f>
        <v>-8.586148E-3</v>
      </c>
      <c r="K115" s="157">
        <f t="shared" si="4"/>
        <v>20</v>
      </c>
      <c r="L115" s="161">
        <f t="shared" si="5"/>
        <v>-41400</v>
      </c>
      <c r="M115" s="99"/>
      <c r="N115" s="420">
        <f t="shared" si="6"/>
        <v>4780320</v>
      </c>
      <c r="O115" s="99"/>
      <c r="P115" s="829">
        <v>5283000</v>
      </c>
      <c r="R115" s="99">
        <f t="shared" si="7"/>
        <v>-502680</v>
      </c>
      <c r="S115" s="77"/>
      <c r="X115" s="77"/>
      <c r="Y115" s="77"/>
      <c r="Z115" s="77"/>
      <c r="AA115" s="77"/>
      <c r="AB115" s="77"/>
      <c r="AZ115" s="47"/>
      <c r="BA115" s="47"/>
    </row>
    <row r="116" spans="6:53" ht="15.75" x14ac:dyDescent="0.25">
      <c r="F116" s="3" t="s">
        <v>223</v>
      </c>
      <c r="G116" s="101">
        <v>4000</v>
      </c>
      <c r="H116" s="9">
        <f>_xll.BDP(F116&amp;" EQUITY",$H$1)</f>
        <v>1584.5050000000001</v>
      </c>
      <c r="I116" s="112">
        <f>_xll.BDP(F116&amp;" EQUITY",$I$1)</f>
        <v>-7.7050000000000001</v>
      </c>
      <c r="J116" s="127">
        <f>_xll.BDP(F116&amp;" EQUITY",$J$1)*0.01</f>
        <v>-4.8391859999999997E-3</v>
      </c>
      <c r="K116" s="157">
        <f t="shared" si="4"/>
        <v>11</v>
      </c>
      <c r="L116" s="161">
        <f t="shared" si="5"/>
        <v>-30820</v>
      </c>
      <c r="M116" s="99"/>
      <c r="N116" s="420">
        <f t="shared" si="6"/>
        <v>6338020</v>
      </c>
      <c r="O116" s="99"/>
      <c r="P116" s="829">
        <v>6029520</v>
      </c>
      <c r="R116" s="99">
        <f t="shared" si="7"/>
        <v>308500</v>
      </c>
      <c r="S116" s="77"/>
      <c r="W116" s="77"/>
      <c r="X116" s="77"/>
      <c r="Y116" s="77"/>
      <c r="Z116" s="77"/>
      <c r="AA116" s="77"/>
      <c r="AB116" s="77"/>
    </row>
    <row r="117" spans="6:53" ht="15.75" x14ac:dyDescent="0.25">
      <c r="F117" s="3" t="s">
        <v>219</v>
      </c>
      <c r="G117" s="101">
        <v>75300</v>
      </c>
      <c r="H117" s="9">
        <f>_xll.BDP(F117&amp;" EQUITY",$H$1)</f>
        <v>78.22</v>
      </c>
      <c r="I117" s="112">
        <f>_xll.BDP(F117&amp;" EQUITY",$I$1)</f>
        <v>-1.1200000000000001</v>
      </c>
      <c r="J117" s="127">
        <f>_xll.BDP(F117&amp;" EQUITY",$J$1)*0.01</f>
        <v>-1.4116459999999999E-2</v>
      </c>
      <c r="K117" s="157">
        <f t="shared" si="4"/>
        <v>29</v>
      </c>
      <c r="L117" s="161">
        <f t="shared" si="5"/>
        <v>-84336.000000000015</v>
      </c>
      <c r="M117" s="99"/>
      <c r="N117" s="420">
        <f t="shared" si="6"/>
        <v>5889966</v>
      </c>
      <c r="O117" s="99"/>
      <c r="P117" s="829">
        <v>5310630</v>
      </c>
      <c r="R117" s="99">
        <f t="shared" si="7"/>
        <v>579336</v>
      </c>
      <c r="S117" s="77"/>
      <c r="W117" s="77"/>
      <c r="X117" s="77"/>
      <c r="Y117" s="77"/>
      <c r="Z117" s="77"/>
      <c r="AA117" s="77"/>
      <c r="AB117" s="77"/>
    </row>
    <row r="118" spans="6:53" ht="15.75" x14ac:dyDescent="0.25">
      <c r="F118" s="3" t="s">
        <v>222</v>
      </c>
      <c r="G118" s="101">
        <v>6500</v>
      </c>
      <c r="H118" s="9">
        <f>_xll.BDP(F118&amp;" EQUITY",$H$1)</f>
        <v>790.72500000000002</v>
      </c>
      <c r="I118" s="112">
        <f>_xll.BDP(F118&amp;" EQUITY",$I$1)</f>
        <v>-8.2249999999999996</v>
      </c>
      <c r="J118" s="127">
        <f>_xll.BDP(F118&amp;" EQUITY",$J$1)*0.01</f>
        <v>-1.029476E-2</v>
      </c>
      <c r="K118" s="157">
        <f t="shared" si="4"/>
        <v>23</v>
      </c>
      <c r="L118" s="161">
        <f t="shared" si="5"/>
        <v>-53462.5</v>
      </c>
      <c r="M118" s="99"/>
      <c r="N118" s="420">
        <f t="shared" si="6"/>
        <v>5139712.5</v>
      </c>
      <c r="O118" s="99"/>
      <c r="P118" s="829">
        <v>5485160</v>
      </c>
      <c r="R118" s="99">
        <f t="shared" si="7"/>
        <v>-345447.5</v>
      </c>
      <c r="S118" s="77"/>
      <c r="W118" s="77"/>
      <c r="X118" s="77"/>
      <c r="Y118" s="77"/>
      <c r="Z118" s="77"/>
      <c r="AA118" s="77"/>
      <c r="AB118" s="77"/>
    </row>
    <row r="119" spans="6:53" ht="15.75" x14ac:dyDescent="0.25">
      <c r="F119" s="3" t="s">
        <v>378</v>
      </c>
      <c r="G119" s="101">
        <v>40000</v>
      </c>
      <c r="H119" s="9">
        <f>_xll.BDP(F119&amp;" EQUITY",$H$1)</f>
        <v>133.69</v>
      </c>
      <c r="I119" s="112">
        <f>_xll.BDP(F119&amp;" EQUITY",$I$1)</f>
        <v>-0.16</v>
      </c>
      <c r="J119" s="127">
        <f>_xll.BDP(F119&amp;" EQUITY",$J$1)*0.01</f>
        <v>-1.195368E-3</v>
      </c>
      <c r="K119" s="157">
        <f t="shared" si="4"/>
        <v>7</v>
      </c>
      <c r="L119" s="161">
        <f t="shared" si="5"/>
        <v>-6400</v>
      </c>
      <c r="M119" s="99"/>
      <c r="N119" s="420">
        <f t="shared" si="6"/>
        <v>5347600</v>
      </c>
      <c r="O119" s="99"/>
      <c r="P119" s="829">
        <v>5348559</v>
      </c>
      <c r="R119" s="99">
        <f t="shared" si="7"/>
        <v>-959</v>
      </c>
      <c r="S119" s="77"/>
      <c r="W119" s="77"/>
      <c r="X119" s="77"/>
      <c r="Y119" s="77"/>
      <c r="Z119" s="77"/>
      <c r="AA119" s="77"/>
      <c r="AB119" s="77"/>
    </row>
    <row r="120" spans="6:53" ht="15.75" x14ac:dyDescent="0.25">
      <c r="F120" s="3" t="s">
        <v>217</v>
      </c>
      <c r="G120" s="101">
        <v>130000</v>
      </c>
      <c r="H120" s="9">
        <f>_xll.BDP(F120&amp;" EQUITY",$H$1)</f>
        <v>32.96</v>
      </c>
      <c r="I120" s="112">
        <f>_xll.BDP(F120&amp;" EQUITY",$I$1)</f>
        <v>-0.25</v>
      </c>
      <c r="J120" s="127">
        <f>_xll.BDP(F120&amp;" EQUITY",$J$1)*0.01</f>
        <v>-7.5278530000000001E-3</v>
      </c>
      <c r="K120" s="157">
        <f t="shared" si="4"/>
        <v>17</v>
      </c>
      <c r="L120" s="161">
        <f t="shared" si="5"/>
        <v>-32500</v>
      </c>
      <c r="M120" s="99"/>
      <c r="N120" s="420">
        <f t="shared" si="6"/>
        <v>4284800</v>
      </c>
      <c r="O120" s="99"/>
      <c r="P120" s="829">
        <v>4750200</v>
      </c>
      <c r="R120" s="99">
        <f t="shared" si="7"/>
        <v>-465400</v>
      </c>
      <c r="S120" s="77"/>
      <c r="W120" s="77"/>
      <c r="X120" s="77"/>
      <c r="Y120" s="77"/>
      <c r="Z120" s="77"/>
      <c r="AA120" s="77"/>
      <c r="AB120" s="77"/>
    </row>
    <row r="121" spans="6:53" ht="15.75" x14ac:dyDescent="0.25">
      <c r="F121" s="3" t="s">
        <v>214</v>
      </c>
      <c r="G121" s="101">
        <v>90000</v>
      </c>
      <c r="H121" s="9">
        <f>_xll.BDP(F121&amp;" EQUITY",$H$1)</f>
        <v>52.94</v>
      </c>
      <c r="I121" s="112">
        <f>_xll.BDP(F121&amp;" EQUITY",$I$1)</f>
        <v>-0.7</v>
      </c>
      <c r="J121" s="127">
        <f>_xll.BDP(F121&amp;" EQUITY",$J$1)*0.01</f>
        <v>-1.3049960000000001E-2</v>
      </c>
      <c r="K121" s="157">
        <f t="shared" si="4"/>
        <v>28</v>
      </c>
      <c r="L121" s="161">
        <f t="shared" si="5"/>
        <v>-62999.999999999993</v>
      </c>
      <c r="M121" s="99"/>
      <c r="N121" s="420">
        <f t="shared" si="6"/>
        <v>4764600</v>
      </c>
      <c r="O121" s="99"/>
      <c r="P121" s="829">
        <v>4852900</v>
      </c>
      <c r="R121" s="99">
        <f t="shared" si="7"/>
        <v>-88300</v>
      </c>
      <c r="S121" s="77"/>
      <c r="W121" s="77"/>
      <c r="X121" s="77"/>
      <c r="Y121" s="77"/>
      <c r="Z121" s="77"/>
      <c r="AA121" s="77"/>
      <c r="AB121" s="77"/>
    </row>
    <row r="122" spans="6:53" ht="15.75" x14ac:dyDescent="0.25">
      <c r="F122" s="3" t="s">
        <v>225</v>
      </c>
      <c r="G122" s="101">
        <v>74000</v>
      </c>
      <c r="H122" s="9">
        <f>_xll.BDP(F122&amp;" EQUITY",$H$1)</f>
        <v>63.6</v>
      </c>
      <c r="I122" s="112">
        <f>_xll.BDP(F122&amp;" EQUITY",$I$1)</f>
        <v>-0.37</v>
      </c>
      <c r="J122" s="127">
        <f>_xll.BDP(F122&amp;" EQUITY",$J$1)*0.01</f>
        <v>-5.7839609999999998E-3</v>
      </c>
      <c r="K122" s="157">
        <f t="shared" si="4"/>
        <v>13</v>
      </c>
      <c r="L122" s="161">
        <f t="shared" si="5"/>
        <v>-27380</v>
      </c>
      <c r="M122" s="99"/>
      <c r="N122" s="420">
        <f t="shared" si="6"/>
        <v>4706400</v>
      </c>
      <c r="O122" s="99"/>
      <c r="P122" s="829">
        <v>4422600</v>
      </c>
      <c r="R122" s="99">
        <f t="shared" si="7"/>
        <v>283800</v>
      </c>
      <c r="S122" s="77"/>
      <c r="W122" s="77"/>
      <c r="X122" s="77"/>
      <c r="Y122" s="77"/>
      <c r="Z122" s="77"/>
      <c r="AA122" s="77"/>
      <c r="AB122" s="77"/>
    </row>
    <row r="123" spans="6:53" ht="15.75" x14ac:dyDescent="0.25">
      <c r="F123" s="3" t="s">
        <v>392</v>
      </c>
      <c r="G123" s="101">
        <v>35000</v>
      </c>
      <c r="H123" s="9">
        <f>_xll.BDP(F123&amp;" EQUITY",$H$1)</f>
        <v>109.87</v>
      </c>
      <c r="I123" s="112">
        <f>_xll.BDP(F123&amp;" EQUITY",$I$1)</f>
        <v>-1.76</v>
      </c>
      <c r="J123" s="127">
        <f>_xll.BDP(F123&amp;" EQUITY",$J$1)*0.01</f>
        <v>-1.5766370000000002E-2</v>
      </c>
      <c r="K123" s="157">
        <f t="shared" si="4"/>
        <v>32</v>
      </c>
      <c r="L123" s="161">
        <f t="shared" si="5"/>
        <v>-61600</v>
      </c>
      <c r="M123" s="99"/>
      <c r="N123" s="420">
        <f t="shared" si="6"/>
        <v>3845450</v>
      </c>
      <c r="O123" s="99"/>
      <c r="P123" s="829">
        <v>4360140</v>
      </c>
      <c r="R123" s="99">
        <f t="shared" si="7"/>
        <v>-514690</v>
      </c>
      <c r="S123" s="77"/>
      <c r="W123" s="77"/>
      <c r="X123" s="77"/>
      <c r="Y123" s="77"/>
      <c r="Z123" s="77"/>
      <c r="AA123" s="77"/>
      <c r="AB123" s="77"/>
    </row>
    <row r="124" spans="6:53" ht="15.75" x14ac:dyDescent="0.25">
      <c r="F124" s="3" t="s">
        <v>230</v>
      </c>
      <c r="G124" s="101">
        <v>18000</v>
      </c>
      <c r="H124" s="9">
        <f>_xll.BDP(F124&amp;" EQUITY",$H$1)</f>
        <v>221.19</v>
      </c>
      <c r="I124" s="112">
        <f>_xll.BDP(F124&amp;" EQUITY",$I$1)</f>
        <v>-5.17</v>
      </c>
      <c r="J124" s="127">
        <f>_xll.BDP(F124&amp;" EQUITY",$J$1)*0.01</f>
        <v>-2.2839720000000001E-2</v>
      </c>
      <c r="K124" s="157">
        <f t="shared" si="4"/>
        <v>36</v>
      </c>
      <c r="L124" s="161">
        <f t="shared" si="5"/>
        <v>-93060</v>
      </c>
      <c r="M124" s="99"/>
      <c r="N124" s="420">
        <f t="shared" si="6"/>
        <v>3981420</v>
      </c>
      <c r="O124" s="99"/>
      <c r="P124" s="829">
        <v>4445550</v>
      </c>
      <c r="R124" s="99">
        <f t="shared" si="7"/>
        <v>-464130</v>
      </c>
      <c r="S124" s="77"/>
      <c r="W124" s="77"/>
      <c r="X124" s="77"/>
      <c r="Y124" s="77"/>
      <c r="Z124" s="77"/>
      <c r="AA124" s="77"/>
      <c r="AB124" s="77"/>
    </row>
    <row r="125" spans="6:53" ht="15.75" x14ac:dyDescent="0.25">
      <c r="F125" s="3" t="s">
        <v>226</v>
      </c>
      <c r="G125" s="101">
        <v>107200</v>
      </c>
      <c r="H125" s="9">
        <f>_xll.BDP(F125&amp;" EQUITY",$H$1)</f>
        <v>38.32</v>
      </c>
      <c r="I125" s="112">
        <f>_xll.BDP(F125&amp;" EQUITY",$I$1)</f>
        <v>-0.18</v>
      </c>
      <c r="J125" s="127">
        <f>_xll.BDP(F125&amp;" EQUITY",$J$1)*0.01</f>
        <v>-4.6753250000000001E-3</v>
      </c>
      <c r="K125" s="157">
        <f t="shared" si="4"/>
        <v>10</v>
      </c>
      <c r="L125" s="161">
        <f t="shared" si="5"/>
        <v>-19296</v>
      </c>
      <c r="M125" s="99"/>
      <c r="N125" s="420">
        <f t="shared" si="6"/>
        <v>4107904</v>
      </c>
      <c r="O125" s="99"/>
      <c r="P125" s="829">
        <v>4084320</v>
      </c>
      <c r="R125" s="99">
        <f t="shared" si="7"/>
        <v>23584</v>
      </c>
      <c r="S125" s="77"/>
      <c r="W125" s="77"/>
      <c r="X125" s="77"/>
      <c r="Y125" s="77"/>
      <c r="Z125" s="77"/>
      <c r="AA125" s="77"/>
      <c r="AB125" s="77"/>
    </row>
    <row r="126" spans="6:53" ht="15.75" x14ac:dyDescent="0.25">
      <c r="F126" s="3" t="s">
        <v>356</v>
      </c>
      <c r="G126" s="29">
        <v>100000</v>
      </c>
      <c r="H126" s="9">
        <f>_xll.BDP(F126&amp;" EQUITY",$H$1)</f>
        <v>40.695</v>
      </c>
      <c r="I126" s="112">
        <f>_xll.BDP(F126&amp;" EQUITY",$I$1)</f>
        <v>-0.46500000000000002</v>
      </c>
      <c r="J126" s="127">
        <f>_xll.BDP(F126&amp;" EQUITY",$J$1)*0.01</f>
        <v>-1.1297379999999999E-2</v>
      </c>
      <c r="K126" s="157">
        <f t="shared" si="4"/>
        <v>25</v>
      </c>
      <c r="L126" s="161">
        <f t="shared" si="5"/>
        <v>-46500</v>
      </c>
      <c r="M126" s="99"/>
      <c r="N126" s="420">
        <f t="shared" si="6"/>
        <v>4069500</v>
      </c>
      <c r="O126" s="99"/>
      <c r="P126" s="829">
        <v>3629500</v>
      </c>
      <c r="R126" s="99">
        <f t="shared" si="7"/>
        <v>440000</v>
      </c>
      <c r="S126" s="77"/>
      <c r="W126" s="77"/>
      <c r="X126" s="77"/>
      <c r="Y126" s="77"/>
      <c r="Z126" s="77"/>
      <c r="AA126" s="77"/>
      <c r="AB126" s="77"/>
    </row>
    <row r="127" spans="6:53" ht="15.75" x14ac:dyDescent="0.25">
      <c r="F127" s="3" t="s">
        <v>403</v>
      </c>
      <c r="G127" s="101">
        <v>23000</v>
      </c>
      <c r="H127" s="9">
        <f>_xll.BDP(F127&amp;" EQUITY",$H$1)</f>
        <v>134.53</v>
      </c>
      <c r="I127" s="112">
        <f>_xll.BDP(F127&amp;" EQUITY",$I$1)</f>
        <v>-4.07</v>
      </c>
      <c r="J127" s="127">
        <f>_xll.BDP(F127&amp;" EQUITY",$J$1)*0.01</f>
        <v>-2.9365079999999998E-2</v>
      </c>
      <c r="K127" s="157">
        <f t="shared" si="4"/>
        <v>38</v>
      </c>
      <c r="L127" s="161">
        <f t="shared" si="5"/>
        <v>-93610</v>
      </c>
      <c r="M127" s="99"/>
      <c r="N127" s="420">
        <f t="shared" si="6"/>
        <v>3094190</v>
      </c>
      <c r="O127" s="99"/>
      <c r="P127" s="829">
        <v>3474219</v>
      </c>
      <c r="R127" s="99">
        <f t="shared" si="7"/>
        <v>-380029</v>
      </c>
      <c r="S127" s="77"/>
      <c r="W127" s="77"/>
      <c r="X127" s="77"/>
      <c r="Y127" s="77"/>
      <c r="Z127" s="77"/>
      <c r="AA127" s="77"/>
      <c r="AB127" s="77"/>
    </row>
    <row r="128" spans="6:53" ht="15.75" x14ac:dyDescent="0.25">
      <c r="F128" s="3" t="s">
        <v>545</v>
      </c>
      <c r="G128" s="29">
        <v>3000</v>
      </c>
      <c r="H128" s="9">
        <f>_xll.BDP(F128&amp;" EQUITY",$H$1)</f>
        <v>738.12</v>
      </c>
      <c r="I128" s="112">
        <f>_xll.BDP(F128&amp;" EQUITY",$I$1)</f>
        <v>-14.08</v>
      </c>
      <c r="J128" s="127">
        <f>_xll.BDP(F128&amp;" EQUITY",$J$1)*0.01</f>
        <v>-1.8718430000000001E-2</v>
      </c>
      <c r="K128" s="157">
        <f t="shared" si="4"/>
        <v>35</v>
      </c>
      <c r="L128" s="161">
        <f t="shared" si="5"/>
        <v>-42240</v>
      </c>
      <c r="M128" s="99"/>
      <c r="N128" s="420">
        <f t="shared" si="6"/>
        <v>2214360</v>
      </c>
      <c r="O128" s="99"/>
      <c r="P128" s="829">
        <v>2377470</v>
      </c>
      <c r="R128" s="99">
        <f t="shared" si="7"/>
        <v>-163110</v>
      </c>
      <c r="S128" s="77"/>
      <c r="W128" s="77"/>
      <c r="X128" s="77"/>
      <c r="Y128" s="77"/>
      <c r="Z128" s="77"/>
      <c r="AA128" s="77"/>
      <c r="AB128" s="77"/>
    </row>
    <row r="129" spans="6:28" x14ac:dyDescent="0.25">
      <c r="F129" s="3"/>
      <c r="G129" s="101"/>
      <c r="H129" s="9"/>
      <c r="I129" s="112"/>
      <c r="J129" s="127"/>
      <c r="K129" s="126"/>
      <c r="L129" s="161"/>
      <c r="M129" s="99"/>
      <c r="N129" s="420"/>
      <c r="O129" s="99"/>
      <c r="P129" s="99"/>
      <c r="R129" s="77"/>
      <c r="S129" s="77"/>
      <c r="W129" s="77"/>
      <c r="X129" s="77"/>
      <c r="Y129" s="77"/>
      <c r="Z129" s="77"/>
      <c r="AA129" s="77"/>
      <c r="AB129" s="77"/>
    </row>
    <row r="130" spans="6:28" x14ac:dyDescent="0.25">
      <c r="K130"/>
      <c r="N130" s="99"/>
      <c r="O130" s="99"/>
      <c r="P130" s="99"/>
      <c r="R130" s="77">
        <f>SUM(R90:R129)</f>
        <v>-1910487.8000000035</v>
      </c>
      <c r="S130" s="77"/>
      <c r="W130" s="77"/>
      <c r="X130" s="77"/>
      <c r="Y130" s="77"/>
      <c r="Z130" s="77"/>
      <c r="AA130" s="77"/>
      <c r="AB130" s="77"/>
    </row>
    <row r="131" spans="6:28" x14ac:dyDescent="0.25">
      <c r="K131"/>
      <c r="N131" s="99"/>
      <c r="O131" s="99"/>
      <c r="P131" s="99"/>
      <c r="R131" s="77"/>
      <c r="S131" s="77"/>
      <c r="W131" s="77"/>
      <c r="X131" s="77"/>
      <c r="Y131" s="77"/>
      <c r="Z131" s="77"/>
      <c r="AA131" s="77"/>
      <c r="AB131" s="77"/>
    </row>
    <row r="132" spans="6:28" x14ac:dyDescent="0.25">
      <c r="K132"/>
      <c r="R132" s="77"/>
      <c r="S132" s="77"/>
      <c r="W132" s="77"/>
      <c r="X132" s="77"/>
      <c r="Y132" s="77"/>
      <c r="Z132" s="77"/>
      <c r="AA132" s="77"/>
      <c r="AB132" s="77"/>
    </row>
    <row r="133" spans="6:28" x14ac:dyDescent="0.25">
      <c r="K133"/>
      <c r="R133" s="77"/>
      <c r="S133" s="77"/>
      <c r="W133" s="77"/>
      <c r="X133" s="77"/>
      <c r="Y133" s="77"/>
      <c r="Z133" s="77"/>
      <c r="AA133" s="77"/>
      <c r="AB133" s="77"/>
    </row>
    <row r="134" spans="6:28" x14ac:dyDescent="0.25">
      <c r="K134"/>
      <c r="R134" s="77"/>
      <c r="S134" s="77"/>
      <c r="W134" s="77"/>
      <c r="X134" s="77"/>
      <c r="Y134" s="77"/>
      <c r="Z134" s="77"/>
      <c r="AA134" s="77"/>
      <c r="AB134" s="77"/>
    </row>
    <row r="135" spans="6:28" x14ac:dyDescent="0.25">
      <c r="K135"/>
      <c r="R135" s="77"/>
      <c r="S135" s="77"/>
      <c r="W135" s="77"/>
      <c r="X135" s="77"/>
      <c r="Y135" s="77"/>
      <c r="Z135" s="77"/>
      <c r="AA135" s="77"/>
      <c r="AB135" s="77"/>
    </row>
    <row r="136" spans="6:28" x14ac:dyDescent="0.25">
      <c r="K136"/>
      <c r="R136" s="77"/>
      <c r="S136" s="77"/>
      <c r="W136" s="77"/>
      <c r="X136" s="77"/>
      <c r="Y136" s="77"/>
      <c r="Z136" s="77"/>
      <c r="AA136" s="77"/>
      <c r="AB136" s="77"/>
    </row>
    <row r="137" spans="6:28" x14ac:dyDescent="0.25">
      <c r="K137"/>
      <c r="R137" s="77"/>
      <c r="S137" s="77"/>
      <c r="W137" s="77"/>
      <c r="X137" s="77"/>
      <c r="Y137" s="77"/>
      <c r="Z137" s="77"/>
      <c r="AA137" s="77"/>
      <c r="AB137" s="77"/>
    </row>
    <row r="138" spans="6:28" x14ac:dyDescent="0.25">
      <c r="K138"/>
      <c r="R138" s="77"/>
      <c r="S138" s="77"/>
      <c r="W138" s="77"/>
      <c r="X138" s="77"/>
      <c r="Y138" s="77"/>
      <c r="Z138" s="77"/>
      <c r="AA138" s="77"/>
      <c r="AB138" s="77"/>
    </row>
    <row r="139" spans="6:28" x14ac:dyDescent="0.25">
      <c r="K139"/>
      <c r="R139" s="77"/>
      <c r="S139" s="77"/>
      <c r="W139" s="77"/>
      <c r="X139" s="77"/>
      <c r="Y139" s="77"/>
      <c r="Z139" s="77"/>
      <c r="AA139" s="77"/>
      <c r="AB139" s="77"/>
    </row>
    <row r="140" spans="6:28" x14ac:dyDescent="0.25">
      <c r="K140"/>
      <c r="R140" s="77"/>
      <c r="S140" s="77"/>
      <c r="W140" s="77"/>
      <c r="X140" s="77"/>
      <c r="Y140" s="77"/>
      <c r="Z140" s="77"/>
      <c r="AA140" s="77"/>
      <c r="AB140" s="77"/>
    </row>
    <row r="141" spans="6:28" x14ac:dyDescent="0.25">
      <c r="K141"/>
      <c r="R141" s="77"/>
      <c r="S141" s="77"/>
      <c r="W141" s="77"/>
      <c r="X141" s="77"/>
      <c r="Y141" s="77"/>
      <c r="Z141" s="77"/>
      <c r="AA141" s="77"/>
      <c r="AB141" s="77"/>
    </row>
    <row r="142" spans="6:28" x14ac:dyDescent="0.25">
      <c r="K142"/>
      <c r="R142" s="77"/>
      <c r="S142" s="77"/>
      <c r="W142" s="77"/>
      <c r="X142" s="77"/>
      <c r="Y142" s="77"/>
      <c r="Z142" s="77"/>
      <c r="AA142" s="77"/>
      <c r="AB142" s="77"/>
    </row>
    <row r="143" spans="6:28" x14ac:dyDescent="0.25">
      <c r="K143"/>
      <c r="R143" s="77"/>
      <c r="S143" s="77"/>
      <c r="W143" s="77"/>
      <c r="X143" s="77"/>
      <c r="Y143" s="77"/>
      <c r="Z143" s="77"/>
      <c r="AA143" s="77"/>
      <c r="AB143" s="77"/>
    </row>
    <row r="144" spans="6:28" x14ac:dyDescent="0.25">
      <c r="K144"/>
      <c r="R144" s="77"/>
      <c r="S144" s="77"/>
      <c r="W144" s="77"/>
      <c r="X144" s="77"/>
      <c r="Y144" s="77"/>
      <c r="Z144" s="77"/>
      <c r="AA144" s="77"/>
      <c r="AB144" s="77"/>
    </row>
    <row r="145" spans="11:28" x14ac:dyDescent="0.25">
      <c r="K145"/>
      <c r="R145" s="77"/>
      <c r="S145" s="77"/>
      <c r="W145" s="77"/>
      <c r="X145" s="77"/>
      <c r="Y145" s="77"/>
      <c r="Z145" s="77"/>
      <c r="AA145" s="77"/>
      <c r="AB145" s="77"/>
    </row>
    <row r="146" spans="11:28" x14ac:dyDescent="0.25">
      <c r="K146"/>
      <c r="R146" s="77"/>
      <c r="S146" s="77"/>
      <c r="W146" s="77"/>
      <c r="X146" s="77"/>
      <c r="Y146" s="77"/>
      <c r="Z146" s="77"/>
      <c r="AA146" s="77"/>
      <c r="AB146" s="77"/>
    </row>
    <row r="147" spans="11:28" x14ac:dyDescent="0.25">
      <c r="K147"/>
      <c r="R147" s="77"/>
      <c r="S147" s="77"/>
      <c r="W147" s="77"/>
      <c r="X147" s="77"/>
      <c r="Y147" s="77"/>
      <c r="Z147" s="77"/>
      <c r="AA147" s="77"/>
      <c r="AB147" s="77"/>
    </row>
    <row r="148" spans="11:28" x14ac:dyDescent="0.25">
      <c r="K148"/>
      <c r="R148" s="77"/>
      <c r="S148" s="77"/>
      <c r="W148" s="77"/>
      <c r="X148" s="77"/>
      <c r="Y148" s="77"/>
      <c r="Z148" s="77"/>
      <c r="AA148" s="77"/>
      <c r="AB148" s="77"/>
    </row>
    <row r="149" spans="11:28" x14ac:dyDescent="0.25">
      <c r="K149"/>
      <c r="R149" s="77"/>
      <c r="S149" s="77"/>
      <c r="W149" s="77"/>
      <c r="X149" s="77"/>
      <c r="Y149" s="77"/>
      <c r="Z149" s="77"/>
      <c r="AA149" s="77"/>
      <c r="AB149" s="77"/>
    </row>
    <row r="150" spans="11:28" x14ac:dyDescent="0.25">
      <c r="K150"/>
      <c r="R150" s="77"/>
      <c r="S150" s="84"/>
      <c r="W150" s="77"/>
      <c r="X150" s="84"/>
      <c r="Y150" s="84"/>
      <c r="Z150" s="84"/>
      <c r="AA150" s="84"/>
      <c r="AB150" s="84"/>
    </row>
    <row r="151" spans="11:28" x14ac:dyDescent="0.25">
      <c r="K151"/>
      <c r="R151" s="84"/>
      <c r="S151" s="77"/>
      <c r="W151" s="84"/>
      <c r="X151" s="77"/>
      <c r="Y151" s="77"/>
      <c r="Z151" s="77"/>
      <c r="AA151" s="77"/>
      <c r="AB151" s="77"/>
    </row>
    <row r="152" spans="11:28" x14ac:dyDescent="0.25">
      <c r="K152"/>
      <c r="R152" s="77"/>
      <c r="S152" s="77"/>
      <c r="W152" s="77"/>
      <c r="X152" s="77"/>
      <c r="Y152" s="77"/>
      <c r="Z152" s="77"/>
      <c r="AA152" s="77"/>
      <c r="AB152" s="77"/>
    </row>
    <row r="153" spans="11:28" x14ac:dyDescent="0.25">
      <c r="K153"/>
      <c r="R153" s="77"/>
      <c r="S153" s="77"/>
      <c r="W153" s="77"/>
      <c r="X153" s="77"/>
      <c r="Y153" s="77"/>
      <c r="Z153" s="77"/>
      <c r="AA153" s="77"/>
      <c r="AB153" s="77"/>
    </row>
    <row r="154" spans="11:28" x14ac:dyDescent="0.25">
      <c r="K154"/>
      <c r="R154" s="77"/>
      <c r="S154" s="77"/>
      <c r="W154" s="77"/>
      <c r="X154" s="77"/>
      <c r="Y154" s="77"/>
      <c r="Z154" s="77"/>
      <c r="AA154" s="77"/>
      <c r="AB154" s="77"/>
    </row>
    <row r="155" spans="11:28" x14ac:dyDescent="0.25">
      <c r="K155"/>
      <c r="R155" s="77"/>
      <c r="S155" s="77"/>
      <c r="W155" s="77"/>
      <c r="X155" s="77"/>
      <c r="Y155" s="77"/>
      <c r="Z155" s="77"/>
      <c r="AA155" s="77"/>
      <c r="AB155" s="77"/>
    </row>
    <row r="156" spans="11:28" x14ac:dyDescent="0.25">
      <c r="K156"/>
      <c r="R156" s="77"/>
      <c r="S156" s="77"/>
      <c r="W156" s="77"/>
      <c r="X156" s="77"/>
      <c r="Y156" s="77"/>
      <c r="Z156" s="77"/>
      <c r="AA156" s="77"/>
      <c r="AB156" s="77"/>
    </row>
    <row r="157" spans="11:28" x14ac:dyDescent="0.25">
      <c r="K157"/>
      <c r="R157" s="77"/>
      <c r="S157" s="77"/>
      <c r="W157" s="77"/>
      <c r="X157" s="77"/>
      <c r="Y157" s="77"/>
      <c r="Z157" s="77"/>
      <c r="AA157" s="77"/>
      <c r="AB157" s="77"/>
    </row>
    <row r="158" spans="11:28" x14ac:dyDescent="0.25">
      <c r="K158"/>
      <c r="R158" s="77"/>
      <c r="S158" s="77"/>
      <c r="W158" s="77"/>
      <c r="X158" s="77"/>
      <c r="Y158" s="77"/>
      <c r="Z158" s="77"/>
      <c r="AA158" s="77"/>
      <c r="AB158" s="77"/>
    </row>
    <row r="159" spans="11:28" x14ac:dyDescent="0.25">
      <c r="K159"/>
      <c r="R159" s="77"/>
      <c r="S159" s="77"/>
      <c r="W159" s="77"/>
      <c r="X159" s="77"/>
      <c r="Y159" s="77"/>
      <c r="Z159" s="77"/>
      <c r="AA159" s="77"/>
      <c r="AB159" s="77"/>
    </row>
    <row r="160" spans="11:28" x14ac:dyDescent="0.25">
      <c r="K160"/>
      <c r="R160" s="77"/>
      <c r="S160" s="77"/>
      <c r="W160" s="77"/>
      <c r="X160" s="77"/>
      <c r="Y160" s="77"/>
      <c r="Z160" s="77"/>
      <c r="AA160" s="77"/>
      <c r="AB160" s="77"/>
    </row>
    <row r="161" spans="11:28" x14ac:dyDescent="0.25">
      <c r="K161"/>
      <c r="R161" s="77"/>
      <c r="S161" s="77"/>
      <c r="W161" s="77"/>
      <c r="X161" s="77"/>
      <c r="Y161" s="77"/>
      <c r="Z161" s="77"/>
      <c r="AA161" s="77"/>
      <c r="AB161" s="77"/>
    </row>
    <row r="162" spans="11:28" x14ac:dyDescent="0.25">
      <c r="K162"/>
      <c r="R162" s="77"/>
      <c r="S162" s="77"/>
      <c r="W162" s="77"/>
      <c r="X162" s="77"/>
      <c r="Y162" s="77"/>
      <c r="Z162" s="77"/>
      <c r="AA162" s="77"/>
      <c r="AB162" s="77"/>
    </row>
    <row r="163" spans="11:28" x14ac:dyDescent="0.25">
      <c r="K163"/>
      <c r="R163" s="77"/>
      <c r="S163" s="77"/>
      <c r="W163" s="77"/>
      <c r="X163" s="77"/>
      <c r="Y163" s="77"/>
      <c r="Z163" s="77"/>
      <c r="AA163" s="77"/>
      <c r="AB163" s="77"/>
    </row>
    <row r="164" spans="11:28" x14ac:dyDescent="0.25">
      <c r="K164"/>
      <c r="R164" s="77"/>
      <c r="S164" s="77"/>
      <c r="W164" s="77"/>
      <c r="X164" s="77"/>
      <c r="Y164" s="77"/>
      <c r="Z164" s="77"/>
      <c r="AA164" s="77"/>
      <c r="AB164" s="77"/>
    </row>
    <row r="165" spans="11:28" x14ac:dyDescent="0.25">
      <c r="K165"/>
      <c r="R165" s="77"/>
      <c r="S165" s="77"/>
      <c r="W165" s="77"/>
      <c r="X165" s="77"/>
      <c r="Y165" s="77"/>
      <c r="Z165" s="77"/>
      <c r="AA165" s="77"/>
      <c r="AB165" s="77"/>
    </row>
    <row r="166" spans="11:28" x14ac:dyDescent="0.25">
      <c r="K166"/>
      <c r="R166" s="77"/>
      <c r="S166" s="77"/>
      <c r="W166" s="77"/>
      <c r="X166" s="77"/>
      <c r="Y166" s="77"/>
      <c r="Z166" s="77"/>
      <c r="AA166" s="77"/>
      <c r="AB166" s="77"/>
    </row>
    <row r="167" spans="11:28" x14ac:dyDescent="0.25">
      <c r="K167"/>
      <c r="R167" s="77"/>
      <c r="S167" s="77"/>
      <c r="W167" s="77"/>
      <c r="X167" s="77"/>
      <c r="Y167" s="77"/>
      <c r="Z167" s="77"/>
      <c r="AA167" s="77"/>
      <c r="AB167" s="77"/>
    </row>
    <row r="168" spans="11:28" x14ac:dyDescent="0.25">
      <c r="K168"/>
      <c r="R168" s="77"/>
      <c r="S168" s="77"/>
      <c r="W168" s="77"/>
      <c r="X168" s="77"/>
      <c r="Y168" s="77"/>
      <c r="Z168" s="77"/>
      <c r="AA168" s="77"/>
      <c r="AB168" s="77"/>
    </row>
    <row r="169" spans="11:28" x14ac:dyDescent="0.25">
      <c r="K169"/>
      <c r="R169" s="77"/>
      <c r="S169" s="77"/>
      <c r="W169" s="77"/>
      <c r="X169" s="77"/>
      <c r="Y169" s="77"/>
      <c r="Z169" s="77"/>
      <c r="AA169" s="77"/>
      <c r="AB169" s="77"/>
    </row>
    <row r="170" spans="11:28" x14ac:dyDescent="0.25">
      <c r="K170"/>
      <c r="R170" s="77"/>
      <c r="S170" s="77"/>
      <c r="W170" s="77"/>
      <c r="X170" s="77"/>
      <c r="Y170" s="77"/>
      <c r="Z170" s="77"/>
      <c r="AA170" s="77"/>
      <c r="AB170" s="77"/>
    </row>
    <row r="171" spans="11:28" x14ac:dyDescent="0.25">
      <c r="K171"/>
      <c r="R171" s="77"/>
      <c r="W171" s="77"/>
    </row>
    <row r="172" spans="11:28" x14ac:dyDescent="0.25">
      <c r="K172"/>
      <c r="S172" s="11"/>
      <c r="X172" s="11"/>
      <c r="Y172" s="11"/>
      <c r="Z172" s="11"/>
      <c r="AA172" s="11"/>
      <c r="AB172" s="11"/>
    </row>
    <row r="173" spans="11:28" x14ac:dyDescent="0.25">
      <c r="K173"/>
      <c r="R173" s="11"/>
      <c r="W173" s="11"/>
    </row>
    <row r="174" spans="11:28" x14ac:dyDescent="0.25">
      <c r="K174"/>
    </row>
    <row r="175" spans="11:28" x14ac:dyDescent="0.25">
      <c r="K175"/>
    </row>
    <row r="176" spans="11:28" x14ac:dyDescent="0.25">
      <c r="K176"/>
      <c r="S176" s="77"/>
      <c r="X176" s="77"/>
      <c r="Y176" s="77"/>
      <c r="Z176" s="77"/>
      <c r="AA176" s="77"/>
      <c r="AB176" s="77"/>
    </row>
    <row r="177" spans="11:28" x14ac:dyDescent="0.25">
      <c r="K177"/>
      <c r="R177" s="77"/>
      <c r="S177" s="77"/>
      <c r="W177" s="77"/>
      <c r="X177" s="77"/>
      <c r="Y177" s="77"/>
      <c r="Z177" s="77"/>
      <c r="AA177" s="77"/>
      <c r="AB177" s="77"/>
    </row>
    <row r="178" spans="11:28" x14ac:dyDescent="0.25">
      <c r="K178"/>
      <c r="R178" s="77"/>
      <c r="S178" s="77"/>
      <c r="W178" s="77"/>
      <c r="X178" s="77"/>
      <c r="Y178" s="77"/>
      <c r="Z178" s="77"/>
      <c r="AA178" s="77"/>
      <c r="AB178" s="77"/>
    </row>
    <row r="179" spans="11:28" x14ac:dyDescent="0.25">
      <c r="K179"/>
      <c r="R179" s="77"/>
      <c r="S179" s="84"/>
      <c r="W179" s="77"/>
      <c r="X179" s="84"/>
      <c r="Y179" s="84"/>
      <c r="Z179" s="84"/>
      <c r="AA179" s="84"/>
      <c r="AB179" s="84"/>
    </row>
    <row r="180" spans="11:28" x14ac:dyDescent="0.25">
      <c r="K180"/>
      <c r="R180" s="84"/>
      <c r="S180" s="77"/>
      <c r="W180" s="84"/>
      <c r="X180" s="77"/>
      <c r="Y180" s="77"/>
      <c r="Z180" s="77"/>
      <c r="AA180" s="77"/>
      <c r="AB180" s="77"/>
    </row>
    <row r="181" spans="11:28" x14ac:dyDescent="0.25">
      <c r="K181"/>
      <c r="R181" s="77"/>
      <c r="S181" s="77"/>
      <c r="W181" s="77"/>
      <c r="X181" s="77"/>
      <c r="Y181" s="77"/>
      <c r="Z181" s="77"/>
      <c r="AA181" s="77"/>
      <c r="AB181" s="77"/>
    </row>
    <row r="182" spans="11:28" x14ac:dyDescent="0.25">
      <c r="K182"/>
      <c r="R182" s="77"/>
      <c r="S182" s="77"/>
      <c r="W182" s="77"/>
      <c r="X182" s="77"/>
      <c r="Y182" s="77"/>
      <c r="Z182" s="77"/>
      <c r="AA182" s="77"/>
      <c r="AB182" s="77"/>
    </row>
    <row r="183" spans="11:28" x14ac:dyDescent="0.25">
      <c r="K183"/>
      <c r="R183" s="77"/>
      <c r="S183" s="77"/>
      <c r="W183" s="77"/>
      <c r="X183" s="77"/>
      <c r="Y183" s="77"/>
      <c r="Z183" s="77"/>
      <c r="AA183" s="77"/>
      <c r="AB183" s="77"/>
    </row>
    <row r="184" spans="11:28" x14ac:dyDescent="0.25">
      <c r="K184"/>
      <c r="R184" s="77"/>
      <c r="S184" s="77"/>
      <c r="W184" s="77"/>
      <c r="X184" s="77"/>
      <c r="Y184" s="77"/>
      <c r="Z184" s="77"/>
      <c r="AA184" s="77"/>
      <c r="AB184" s="77"/>
    </row>
    <row r="185" spans="11:28" x14ac:dyDescent="0.25">
      <c r="K185"/>
      <c r="R185" s="77"/>
      <c r="S185" s="77"/>
      <c r="W185" s="77"/>
      <c r="X185" s="77"/>
      <c r="Y185" s="77"/>
      <c r="Z185" s="77"/>
      <c r="AA185" s="77"/>
      <c r="AB185" s="77"/>
    </row>
    <row r="186" spans="11:28" x14ac:dyDescent="0.25">
      <c r="K186"/>
      <c r="R186" s="77"/>
      <c r="W186" s="77"/>
    </row>
    <row r="187" spans="11:28" x14ac:dyDescent="0.25">
      <c r="K187"/>
      <c r="S187" s="10"/>
      <c r="X187" s="10"/>
      <c r="Y187" s="10"/>
      <c r="Z187" s="10"/>
      <c r="AA187" s="10"/>
      <c r="AB187" s="10"/>
    </row>
    <row r="188" spans="11:28" x14ac:dyDescent="0.25">
      <c r="K188"/>
      <c r="R188" s="10"/>
      <c r="W188" s="10"/>
    </row>
    <row r="189" spans="11:28" x14ac:dyDescent="0.25">
      <c r="K189"/>
    </row>
    <row r="190" spans="11:28" x14ac:dyDescent="0.25">
      <c r="K190"/>
      <c r="S190" s="190"/>
      <c r="X190" s="190"/>
      <c r="Y190" s="190"/>
      <c r="Z190" s="190"/>
      <c r="AA190" s="190"/>
      <c r="AB190" s="190"/>
    </row>
    <row r="191" spans="11:28" x14ac:dyDescent="0.25">
      <c r="K191"/>
      <c r="R191" s="190"/>
      <c r="W191" s="190"/>
    </row>
    <row r="192" spans="11:28" x14ac:dyDescent="0.25">
      <c r="K192"/>
    </row>
    <row r="193" spans="11:28" x14ac:dyDescent="0.25">
      <c r="K193"/>
      <c r="S193" s="60"/>
      <c r="X193" s="60"/>
      <c r="Y193" s="60"/>
      <c r="Z193" s="60"/>
      <c r="AA193" s="60"/>
      <c r="AB193" s="60"/>
    </row>
    <row r="194" spans="11:28" x14ac:dyDescent="0.25">
      <c r="K194"/>
      <c r="R194" s="60"/>
      <c r="W194" s="60"/>
    </row>
    <row r="195" spans="11:28" x14ac:dyDescent="0.25">
      <c r="K195"/>
    </row>
    <row r="196" spans="11:28" x14ac:dyDescent="0.25">
      <c r="K196"/>
      <c r="S196" s="5"/>
      <c r="X196" s="5"/>
      <c r="Y196" s="5"/>
      <c r="Z196" s="5"/>
      <c r="AA196" s="5"/>
      <c r="AB196" s="5"/>
    </row>
    <row r="197" spans="11:28" x14ac:dyDescent="0.25">
      <c r="K197"/>
      <c r="R197" s="5"/>
      <c r="S197" s="5"/>
      <c r="W197" s="5"/>
      <c r="X197" s="5"/>
      <c r="Y197" s="5"/>
      <c r="Z197" s="5"/>
      <c r="AA197" s="5"/>
      <c r="AB197" s="5"/>
    </row>
    <row r="198" spans="11:28" x14ac:dyDescent="0.25">
      <c r="K198"/>
      <c r="R198" s="5"/>
      <c r="S198" s="5"/>
      <c r="W198" s="5"/>
      <c r="X198" s="5"/>
      <c r="Y198" s="5"/>
      <c r="Z198" s="5"/>
      <c r="AA198" s="5"/>
      <c r="AB198" s="5"/>
    </row>
    <row r="199" spans="11:28" x14ac:dyDescent="0.25">
      <c r="K199"/>
      <c r="P199" s="5"/>
      <c r="Q199" s="5"/>
      <c r="R199" s="5"/>
      <c r="T199" s="5"/>
      <c r="U199" s="5"/>
      <c r="V199" s="5"/>
      <c r="W199" s="5"/>
    </row>
    <row r="200" spans="11:28" x14ac:dyDescent="0.25">
      <c r="K200"/>
    </row>
    <row r="201" spans="11:28" x14ac:dyDescent="0.25">
      <c r="K201"/>
    </row>
    <row r="202" spans="11:28" x14ac:dyDescent="0.25">
      <c r="K202"/>
    </row>
    <row r="203" spans="11:28" x14ac:dyDescent="0.25">
      <c r="K203"/>
    </row>
    <row r="204" spans="11:28" x14ac:dyDescent="0.25">
      <c r="K204"/>
    </row>
    <row r="205" spans="11:28" x14ac:dyDescent="0.25">
      <c r="K205"/>
    </row>
    <row r="206" spans="11:28" x14ac:dyDescent="0.25">
      <c r="K206"/>
    </row>
    <row r="207" spans="11:28" x14ac:dyDescent="0.25">
      <c r="K207"/>
    </row>
    <row r="208" spans="11:28" x14ac:dyDescent="0.25">
      <c r="K208"/>
    </row>
    <row r="209" spans="11:11" x14ac:dyDescent="0.25">
      <c r="K209"/>
    </row>
    <row r="210" spans="11:11" x14ac:dyDescent="0.25">
      <c r="K210"/>
    </row>
    <row r="211" spans="11:11" x14ac:dyDescent="0.25">
      <c r="K211"/>
    </row>
    <row r="212" spans="11:11" x14ac:dyDescent="0.25">
      <c r="K212"/>
    </row>
    <row r="213" spans="11:11" x14ac:dyDescent="0.25">
      <c r="K213"/>
    </row>
    <row r="214" spans="11:11" x14ac:dyDescent="0.25">
      <c r="K214"/>
    </row>
    <row r="215" spans="11:11" x14ac:dyDescent="0.25">
      <c r="K215"/>
    </row>
    <row r="216" spans="11:11" x14ac:dyDescent="0.25">
      <c r="K216"/>
    </row>
    <row r="217" spans="11:11" x14ac:dyDescent="0.25">
      <c r="K217"/>
    </row>
    <row r="218" spans="11:11" x14ac:dyDescent="0.25">
      <c r="K218"/>
    </row>
    <row r="219" spans="11:11" x14ac:dyDescent="0.25">
      <c r="K219"/>
    </row>
    <row r="220" spans="11:11" x14ac:dyDescent="0.25">
      <c r="K220"/>
    </row>
    <row r="221" spans="11:11" x14ac:dyDescent="0.25">
      <c r="K221"/>
    </row>
    <row r="222" spans="11:11" x14ac:dyDescent="0.25">
      <c r="K222"/>
    </row>
    <row r="223" spans="11:11" x14ac:dyDescent="0.25">
      <c r="K223"/>
    </row>
    <row r="224" spans="11:11" x14ac:dyDescent="0.25">
      <c r="K224"/>
    </row>
    <row r="225" spans="11:11" x14ac:dyDescent="0.25">
      <c r="K225"/>
    </row>
    <row r="226" spans="11:11" x14ac:dyDescent="0.25">
      <c r="K226"/>
    </row>
    <row r="227" spans="11:11" x14ac:dyDescent="0.25">
      <c r="K227"/>
    </row>
    <row r="228" spans="11:11" x14ac:dyDescent="0.25">
      <c r="K228"/>
    </row>
    <row r="229" spans="11:11" x14ac:dyDescent="0.25">
      <c r="K229"/>
    </row>
    <row r="230" spans="11:11" x14ac:dyDescent="0.25">
      <c r="K230"/>
    </row>
    <row r="231" spans="11:11" x14ac:dyDescent="0.25">
      <c r="K231"/>
    </row>
    <row r="232" spans="11:11" x14ac:dyDescent="0.25">
      <c r="K232"/>
    </row>
    <row r="233" spans="11:11" x14ac:dyDescent="0.25">
      <c r="K233"/>
    </row>
    <row r="234" spans="11:11" x14ac:dyDescent="0.25">
      <c r="K234"/>
    </row>
    <row r="235" spans="11:11" x14ac:dyDescent="0.25">
      <c r="K235"/>
    </row>
    <row r="236" spans="11:11" x14ac:dyDescent="0.25">
      <c r="K236"/>
    </row>
    <row r="237" spans="11:11" x14ac:dyDescent="0.25">
      <c r="K237"/>
    </row>
    <row r="238" spans="11:11" x14ac:dyDescent="0.25">
      <c r="K238"/>
    </row>
    <row r="239" spans="11:11" x14ac:dyDescent="0.25">
      <c r="K239"/>
    </row>
    <row r="240" spans="11:11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sortState xmlns:xlrd2="http://schemas.microsoft.com/office/spreadsheetml/2017/richdata2" ref="C4:AD42">
    <sortCondition descending="1" ref="Q4:Q42"/>
  </sortState>
  <mergeCells count="14">
    <mergeCell ref="A1:E1"/>
    <mergeCell ref="P1:Q1"/>
    <mergeCell ref="P71:P72"/>
    <mergeCell ref="Q71:R71"/>
    <mergeCell ref="Q72:R72"/>
    <mergeCell ref="W46:Y46"/>
    <mergeCell ref="F1:G1"/>
    <mergeCell ref="T1:U1"/>
    <mergeCell ref="U71:U72"/>
    <mergeCell ref="V71:W71"/>
    <mergeCell ref="V72:W72"/>
    <mergeCell ref="K58:L58"/>
    <mergeCell ref="T45:U45"/>
    <mergeCell ref="P45:Q45"/>
  </mergeCells>
  <conditionalFormatting sqref="C4:C42">
    <cfRule type="colorScale" priority="1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:E42">
    <cfRule type="colorScale" priority="1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:Q42">
    <cfRule type="colorScale" priority="1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4:U43">
    <cfRule type="colorScale" priority="1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4:AD42"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447F-85DB-4021-83B1-CA399981B3EF}">
  <sheetPr codeName="Sheet5"/>
  <dimension ref="A1:W52"/>
  <sheetViews>
    <sheetView zoomScale="80" zoomScaleNormal="80" workbookViewId="0">
      <selection activeCell="E26" sqref="E26"/>
    </sheetView>
  </sheetViews>
  <sheetFormatPr defaultRowHeight="15" x14ac:dyDescent="0.25"/>
  <cols>
    <col min="4" max="4" width="12.140625" customWidth="1"/>
    <col min="5" max="5" width="14.85546875" customWidth="1"/>
    <col min="6" max="6" width="12" customWidth="1"/>
    <col min="7" max="7" width="12.140625" customWidth="1"/>
    <col min="8" max="8" width="10.28515625" customWidth="1"/>
    <col min="9" max="9" width="20.28515625" customWidth="1"/>
    <col min="10" max="10" width="4.42578125" customWidth="1"/>
    <col min="11" max="11" width="10.7109375" customWidth="1"/>
    <col min="12" max="12" width="6.5703125" customWidth="1"/>
    <col min="13" max="13" width="19.5703125" bestFit="1" customWidth="1"/>
    <col min="14" max="14" width="5" customWidth="1"/>
    <col min="15" max="15" width="20" customWidth="1"/>
    <col min="16" max="16" width="16.7109375" customWidth="1"/>
    <col min="17" max="17" width="6.7109375" customWidth="1"/>
    <col min="18" max="18" width="17.7109375" customWidth="1"/>
    <col min="19" max="19" width="13.7109375" customWidth="1"/>
    <col min="23" max="23" width="20.28515625" customWidth="1"/>
  </cols>
  <sheetData>
    <row r="1" spans="1:20" ht="15" customHeight="1" x14ac:dyDescent="0.25">
      <c r="A1" s="931" t="s">
        <v>242</v>
      </c>
      <c r="B1" s="932"/>
      <c r="C1" s="932"/>
      <c r="D1" s="932"/>
      <c r="E1" s="932"/>
      <c r="F1" s="933"/>
      <c r="I1" s="832" t="s">
        <v>795</v>
      </c>
    </row>
    <row r="2" spans="1:20" ht="15" customHeight="1" x14ac:dyDescent="0.25">
      <c r="A2" s="934"/>
      <c r="B2" s="935"/>
      <c r="C2" s="935"/>
      <c r="D2" s="935"/>
      <c r="E2" s="935"/>
      <c r="F2" s="936"/>
      <c r="M2" s="5">
        <v>1388474.4000000001</v>
      </c>
    </row>
    <row r="3" spans="1:20" x14ac:dyDescent="0.25">
      <c r="E3" s="96" t="s">
        <v>77</v>
      </c>
      <c r="F3" s="96" t="s">
        <v>87</v>
      </c>
      <c r="G3" s="142" t="s">
        <v>88</v>
      </c>
      <c r="J3" s="148"/>
      <c r="K3" s="34"/>
      <c r="L3" s="34"/>
      <c r="M3" s="34"/>
      <c r="N3" s="34"/>
      <c r="O3" s="34"/>
      <c r="P3" s="34"/>
      <c r="Q3" s="34"/>
      <c r="R3" s="34"/>
      <c r="S3" s="34"/>
    </row>
    <row r="4" spans="1:20" x14ac:dyDescent="0.25">
      <c r="C4" s="71"/>
      <c r="D4" s="72"/>
      <c r="E4" s="72"/>
      <c r="F4" s="72"/>
      <c r="G4" s="73"/>
      <c r="H4" s="131"/>
      <c r="I4" s="35" t="s">
        <v>96</v>
      </c>
      <c r="J4" s="149"/>
      <c r="K4" s="80" t="s">
        <v>102</v>
      </c>
      <c r="L4" s="52"/>
      <c r="M4" s="80" t="s">
        <v>97</v>
      </c>
      <c r="N4" s="52"/>
      <c r="O4" s="80" t="s">
        <v>99</v>
      </c>
      <c r="P4" s="80" t="s">
        <v>98</v>
      </c>
      <c r="Q4" s="52"/>
      <c r="R4" s="150" t="s">
        <v>101</v>
      </c>
      <c r="S4" s="80" t="s">
        <v>103</v>
      </c>
      <c r="T4" s="80" t="s">
        <v>125</v>
      </c>
    </row>
    <row r="5" spans="1:20" x14ac:dyDescent="0.25">
      <c r="B5">
        <f>356/2</f>
        <v>178</v>
      </c>
      <c r="C5" s="12"/>
      <c r="D5" s="52"/>
      <c r="E5" s="139" t="s">
        <v>2</v>
      </c>
      <c r="F5" s="138" t="s">
        <v>89</v>
      </c>
      <c r="G5" s="128" t="s">
        <v>90</v>
      </c>
      <c r="H5" s="132"/>
      <c r="I5" s="13"/>
      <c r="S5" s="28"/>
      <c r="T5" s="51"/>
    </row>
    <row r="6" spans="1:20" x14ac:dyDescent="0.25">
      <c r="C6" s="3" t="s">
        <v>15</v>
      </c>
      <c r="D6" s="101">
        <v>110000</v>
      </c>
      <c r="E6" s="9">
        <f>_xll.BDP(C6&amp;" EQUITY",$E$3)</f>
        <v>198.03</v>
      </c>
      <c r="F6" s="111">
        <f>_xll.BDP(C6&amp;" EQUITY",$F$3)</f>
        <v>-0.85</v>
      </c>
      <c r="G6" s="129">
        <f>_xll.BDP(C6&amp;" EQUITY",$G$3)*0.01</f>
        <v>-4.2739340000000001E-3</v>
      </c>
      <c r="H6" s="126"/>
      <c r="I6" s="30">
        <f t="shared" ref="I6:I45" si="0">+E6*D6</f>
        <v>21783300</v>
      </c>
      <c r="J6" s="77"/>
      <c r="K6" s="153">
        <f t="shared" ref="K6:K45" si="1">+I6/M6</f>
        <v>3.397073476865506</v>
      </c>
      <c r="M6" s="432">
        <f>1600329.8+1871343.06+1137444+1803255.48</f>
        <v>6412372.3399999999</v>
      </c>
      <c r="O6" s="10">
        <f t="shared" ref="O6:O45" si="2">+M6/D6</f>
        <v>58.294294000000001</v>
      </c>
      <c r="P6" s="6">
        <f t="shared" ref="P6:P45" si="3">+(E6/O6)-1</f>
        <v>2.397073476865506</v>
      </c>
      <c r="R6" s="10">
        <f t="shared" ref="R6:R45" si="4">+I6-M6</f>
        <v>15370927.66</v>
      </c>
      <c r="S6" s="151">
        <f t="shared" ref="S6:S45" si="5">+R6/I6</f>
        <v>0.70562897540776648</v>
      </c>
      <c r="T6" s="446">
        <f t="shared" ref="T6:T45" si="6">+RANK(S6,$S$6:$S$46)</f>
        <v>3</v>
      </c>
    </row>
    <row r="7" spans="1:20" x14ac:dyDescent="0.25">
      <c r="A7" s="937">
        <f>3614585.56+979487.54+38089.74</f>
        <v>4632162.84</v>
      </c>
      <c r="B7" s="938"/>
      <c r="C7" s="3" t="s">
        <v>13</v>
      </c>
      <c r="D7" s="29">
        <v>40000</v>
      </c>
      <c r="E7" s="9">
        <f>_xll.BDP(C7&amp;" EQUITY",$E$3)</f>
        <v>335.75</v>
      </c>
      <c r="F7" s="111">
        <f>_xll.BDP(C7&amp;" EQUITY",$F$3)</f>
        <v>-15.13</v>
      </c>
      <c r="G7" s="129">
        <f>_xll.BDP(C7&amp;" EQUITY",$G$3)*0.01</f>
        <v>-4.3120159999999998E-2</v>
      </c>
      <c r="H7" s="126"/>
      <c r="I7" s="30">
        <f t="shared" si="0"/>
        <v>13430000</v>
      </c>
      <c r="J7" s="77"/>
      <c r="K7" s="86">
        <f t="shared" si="1"/>
        <v>3.6989949497453942</v>
      </c>
      <c r="M7" s="432">
        <f>2834969.07+29874.31+765872.58</f>
        <v>3630715.96</v>
      </c>
      <c r="O7" s="10">
        <f t="shared" si="2"/>
        <v>90.767899</v>
      </c>
      <c r="P7" s="8">
        <f t="shared" si="3"/>
        <v>2.6989949497453942</v>
      </c>
      <c r="R7" s="10">
        <f t="shared" si="4"/>
        <v>9799284.0399999991</v>
      </c>
      <c r="S7" s="151">
        <f t="shared" si="5"/>
        <v>0.72965629486224859</v>
      </c>
      <c r="T7" s="126">
        <f t="shared" si="6"/>
        <v>2</v>
      </c>
    </row>
    <row r="8" spans="1:20" x14ac:dyDescent="0.25">
      <c r="A8">
        <v>2020</v>
      </c>
      <c r="B8">
        <f>+O8*0.7</f>
        <v>23.603026448484844</v>
      </c>
      <c r="C8" s="3" t="s">
        <v>11</v>
      </c>
      <c r="D8" s="29">
        <v>330000</v>
      </c>
      <c r="E8" s="9">
        <f>_xll.BDP(C8&amp;" EQUITY",$E$3)</f>
        <v>39.515000000000001</v>
      </c>
      <c r="F8" s="112">
        <f>_xll.BDP(C8&amp;" EQUITY",$F$3)</f>
        <v>-0.505</v>
      </c>
      <c r="G8" s="127">
        <f>_xll.BDP(C8&amp;" EQUITY",$G$3)*0.01</f>
        <v>-1.261869E-2</v>
      </c>
      <c r="H8" s="126"/>
      <c r="I8" s="30">
        <f t="shared" si="0"/>
        <v>13039950</v>
      </c>
      <c r="J8" s="77"/>
      <c r="K8" s="86">
        <f t="shared" si="1"/>
        <v>1.1719048004445893</v>
      </c>
      <c r="M8" s="432">
        <f>5478386+917346+1951900.29+2779508.75</f>
        <v>11127141.039999999</v>
      </c>
      <c r="O8" s="10">
        <f t="shared" si="2"/>
        <v>33.718609212121208</v>
      </c>
      <c r="P8" s="8">
        <f t="shared" si="3"/>
        <v>0.17190480044458956</v>
      </c>
      <c r="R8" s="10">
        <f t="shared" si="4"/>
        <v>1912808.9600000009</v>
      </c>
      <c r="S8" s="151">
        <f t="shared" si="5"/>
        <v>0.14668836613637329</v>
      </c>
      <c r="T8" s="126">
        <f t="shared" si="6"/>
        <v>18</v>
      </c>
    </row>
    <row r="9" spans="1:20" x14ac:dyDescent="0.25">
      <c r="C9" s="3" t="s">
        <v>40</v>
      </c>
      <c r="D9" s="101">
        <v>60600</v>
      </c>
      <c r="E9" s="9">
        <f>_xll.BDP(C9&amp;" EQUITY",$E$3)</f>
        <v>192.86</v>
      </c>
      <c r="F9" s="112">
        <f>_xll.BDP(C9&amp;" EQUITY",$F$3)</f>
        <v>-3.53</v>
      </c>
      <c r="G9" s="127">
        <f>_xll.BDP(C9&amp;" EQUITY",$G$3)*0.01</f>
        <v>-1.7974440000000001E-2</v>
      </c>
      <c r="H9" s="126"/>
      <c r="I9" s="30">
        <f t="shared" si="0"/>
        <v>11687316</v>
      </c>
      <c r="J9" s="77"/>
      <c r="K9" s="153">
        <f t="shared" si="1"/>
        <v>1.7542841644658402</v>
      </c>
      <c r="M9" s="432">
        <f>701308.34+1991127.55+534434.02+2005688.79+988635.8+440962.2</f>
        <v>6662156.7000000002</v>
      </c>
      <c r="O9" s="10">
        <f t="shared" si="2"/>
        <v>109.9365792079208</v>
      </c>
      <c r="P9" s="6">
        <f t="shared" si="3"/>
        <v>0.75428416446584023</v>
      </c>
      <c r="R9" s="10">
        <f t="shared" si="4"/>
        <v>5025159.3</v>
      </c>
      <c r="S9" s="151">
        <f t="shared" si="5"/>
        <v>0.42996692311562379</v>
      </c>
      <c r="T9" s="126">
        <f t="shared" si="6"/>
        <v>7</v>
      </c>
    </row>
    <row r="10" spans="1:20" x14ac:dyDescent="0.25">
      <c r="A10" s="78"/>
      <c r="B10">
        <f>+O10*0.7</f>
        <v>41.883232626666661</v>
      </c>
      <c r="C10" s="3" t="s">
        <v>7</v>
      </c>
      <c r="D10" s="101">
        <v>75000</v>
      </c>
      <c r="E10" s="9">
        <f>_xll.BDP(C10&amp;" EQUITY",$E$3)</f>
        <v>158.01</v>
      </c>
      <c r="F10" s="112">
        <f>_xll.BDP(C10&amp;" EQUITY",$F$3)</f>
        <v>-1.3</v>
      </c>
      <c r="G10" s="127">
        <f>_xll.BDP(C10&amp;" EQUITY",$G$3)*0.01</f>
        <v>-8.1601910000000007E-3</v>
      </c>
      <c r="H10" s="126"/>
      <c r="I10" s="30">
        <f t="shared" si="0"/>
        <v>11850750</v>
      </c>
      <c r="J10" s="77"/>
      <c r="K10" s="153">
        <f t="shared" si="1"/>
        <v>2.64084200438668</v>
      </c>
      <c r="M10" s="833">
        <f>620940.62+3323626.25+542922.34</f>
        <v>4487489.21</v>
      </c>
      <c r="O10" s="10">
        <f t="shared" si="2"/>
        <v>59.833189466666667</v>
      </c>
      <c r="P10" s="515">
        <f t="shared" si="3"/>
        <v>1.64084200438668</v>
      </c>
      <c r="R10" s="10">
        <f t="shared" si="4"/>
        <v>7363260.79</v>
      </c>
      <c r="S10" s="151">
        <f t="shared" si="5"/>
        <v>0.62133289369871103</v>
      </c>
      <c r="T10" s="126">
        <f t="shared" si="6"/>
        <v>5</v>
      </c>
    </row>
    <row r="11" spans="1:20" x14ac:dyDescent="0.25">
      <c r="A11" s="78"/>
      <c r="C11" s="3" t="s">
        <v>202</v>
      </c>
      <c r="D11" s="29">
        <v>66900</v>
      </c>
      <c r="E11" s="9">
        <f>_xll.BDP(C11&amp;" EQUITY",$E$3)</f>
        <v>170.85</v>
      </c>
      <c r="F11" s="111">
        <f>_xll.BDP(C11&amp;" EQUITY",$F$3)</f>
        <v>-1.89</v>
      </c>
      <c r="G11" s="129">
        <f>_xll.BDP(C11&amp;" EQUITY",$G$3)*0.01</f>
        <v>-1.0941300000000001E-2</v>
      </c>
      <c r="H11" s="126"/>
      <c r="I11" s="30">
        <f t="shared" si="0"/>
        <v>11429865</v>
      </c>
      <c r="J11" s="77"/>
      <c r="K11" s="86">
        <f t="shared" si="1"/>
        <v>1.5893608656863365</v>
      </c>
      <c r="M11" s="432">
        <f>3586827.33+1435206.28+2169451.5</f>
        <v>7191485.1100000003</v>
      </c>
      <c r="O11" s="10">
        <f t="shared" si="2"/>
        <v>107.49604050822123</v>
      </c>
      <c r="P11" s="8">
        <f t="shared" si="3"/>
        <v>0.5893608656863365</v>
      </c>
      <c r="R11" s="10">
        <f t="shared" si="4"/>
        <v>4238379.8899999997</v>
      </c>
      <c r="S11" s="151">
        <f t="shared" si="5"/>
        <v>0.37081626860859684</v>
      </c>
      <c r="T11" s="126">
        <f t="shared" si="6"/>
        <v>10</v>
      </c>
    </row>
    <row r="12" spans="1:20" x14ac:dyDescent="0.25">
      <c r="A12" s="78"/>
      <c r="C12" s="3" t="s">
        <v>204</v>
      </c>
      <c r="D12" s="29">
        <v>488000</v>
      </c>
      <c r="E12" s="9">
        <f>_xll.BDP(C12&amp;" EQUITY",$E$3)</f>
        <v>20.145</v>
      </c>
      <c r="F12" s="112">
        <f>_xll.BDP(C12&amp;" EQUITY",$F$3)</f>
        <v>3.5000000000000003E-2</v>
      </c>
      <c r="G12" s="127">
        <f>_xll.BDP(C12&amp;" EQUITY",$G$3)*0.01</f>
        <v>1.740428E-3</v>
      </c>
      <c r="H12" s="126"/>
      <c r="I12" s="30">
        <f t="shared" si="0"/>
        <v>9830760</v>
      </c>
      <c r="J12" s="77"/>
      <c r="K12" s="153">
        <f t="shared" si="1"/>
        <v>1.1652936054992875</v>
      </c>
      <c r="M12" s="432">
        <f>4408056+2010859.47+2017379</f>
        <v>8436294.4699999988</v>
      </c>
      <c r="O12" s="10">
        <f t="shared" si="2"/>
        <v>17.287488668032786</v>
      </c>
      <c r="P12" s="8">
        <f t="shared" si="3"/>
        <v>0.16529360549928751</v>
      </c>
      <c r="R12" s="10">
        <f t="shared" si="4"/>
        <v>1394465.5300000012</v>
      </c>
      <c r="S12" s="151">
        <f t="shared" si="5"/>
        <v>0.14184717458263665</v>
      </c>
      <c r="T12" s="126">
        <f t="shared" si="6"/>
        <v>19</v>
      </c>
    </row>
    <row r="13" spans="1:20" x14ac:dyDescent="0.25">
      <c r="A13" s="78"/>
      <c r="C13" s="3" t="s">
        <v>201</v>
      </c>
      <c r="D13" s="101">
        <v>172000</v>
      </c>
      <c r="E13" s="9">
        <f>_xll.BDP(C13&amp;" EQUITY",$E$3)</f>
        <v>53.22</v>
      </c>
      <c r="F13" s="112">
        <f>_xll.BDP(C13&amp;" EQUITY",$F$3)</f>
        <v>-1.4</v>
      </c>
      <c r="G13" s="127">
        <f>_xll.BDP(C13&amp;" EQUITY",$G$3)*0.01</f>
        <v>-2.5631640000000001E-2</v>
      </c>
      <c r="H13" s="126"/>
      <c r="I13" s="30">
        <f t="shared" si="0"/>
        <v>9153840</v>
      </c>
      <c r="J13" s="77"/>
      <c r="K13" s="153">
        <f t="shared" si="1"/>
        <v>0.91103724089549465</v>
      </c>
      <c r="M13" s="432">
        <f>2019290+4005913.6+1992389+2030119.6</f>
        <v>10047712.199999999</v>
      </c>
      <c r="O13" s="10">
        <f t="shared" si="2"/>
        <v>58.416931395348833</v>
      </c>
      <c r="P13" s="359">
        <f t="shared" si="3"/>
        <v>-8.8962759104505351E-2</v>
      </c>
      <c r="R13" s="10">
        <f t="shared" si="4"/>
        <v>-893872.19999999925</v>
      </c>
      <c r="S13" s="151">
        <f t="shared" si="5"/>
        <v>-9.764996984871914E-2</v>
      </c>
      <c r="T13" s="126">
        <f t="shared" si="6"/>
        <v>32</v>
      </c>
    </row>
    <row r="14" spans="1:20" x14ac:dyDescent="0.25">
      <c r="A14" s="78"/>
      <c r="C14" s="3" t="s">
        <v>25</v>
      </c>
      <c r="D14" s="101">
        <v>20000</v>
      </c>
      <c r="E14" s="9">
        <f>_xll.BDP(C14&amp;" EQUITY",$E$3)</f>
        <v>467.35500000000002</v>
      </c>
      <c r="F14" s="112">
        <f>_xll.BDP(C14&amp;" EQUITY",$F$3)</f>
        <v>-4.1550000000000002</v>
      </c>
      <c r="G14" s="127">
        <f>_xll.BDP(C14&amp;" EQUITY",$G$3)*0.01</f>
        <v>-8.8121139999999994E-3</v>
      </c>
      <c r="H14" s="126"/>
      <c r="I14" s="30">
        <f t="shared" si="0"/>
        <v>9347100</v>
      </c>
      <c r="J14" s="77"/>
      <c r="K14" s="86">
        <f t="shared" si="1"/>
        <v>1.6544030873270346</v>
      </c>
      <c r="M14" s="833">
        <f>1015012.53+454338.67+771960.06+1286971.85+1061449.39+1060099.8</f>
        <v>5649832.2999999998</v>
      </c>
      <c r="O14" s="10">
        <f t="shared" si="2"/>
        <v>282.49161499999997</v>
      </c>
      <c r="P14" s="6">
        <f t="shared" si="3"/>
        <v>0.65440308732703478</v>
      </c>
      <c r="R14" s="10">
        <f t="shared" si="4"/>
        <v>3697267.7</v>
      </c>
      <c r="S14" s="151">
        <f t="shared" si="5"/>
        <v>0.39555238523178315</v>
      </c>
      <c r="T14" s="126">
        <f t="shared" si="6"/>
        <v>8</v>
      </c>
    </row>
    <row r="15" spans="1:20" x14ac:dyDescent="0.25">
      <c r="A15" s="78"/>
      <c r="C15" s="795" t="s">
        <v>200</v>
      </c>
      <c r="D15" s="29">
        <v>62000</v>
      </c>
      <c r="E15" s="9">
        <f>_xll.BDP(C15&amp;" EQUITY",$E$3)</f>
        <v>147.59</v>
      </c>
      <c r="F15" s="112">
        <f>_xll.BDP(C15&amp;" EQUITY",$F$3)</f>
        <v>-1.53</v>
      </c>
      <c r="G15" s="127">
        <f>_xll.BDP(C15&amp;" EQUITY",$G$3)*0.01</f>
        <v>-1.0260190000000001E-2</v>
      </c>
      <c r="H15" s="126"/>
      <c r="I15" s="30">
        <f t="shared" si="0"/>
        <v>9150580</v>
      </c>
      <c r="J15" s="77"/>
      <c r="K15" s="794">
        <f t="shared" si="1"/>
        <v>0.9095893848919403</v>
      </c>
      <c r="M15" s="432">
        <f>4975101+2840302.8+2244718</f>
        <v>10060121.800000001</v>
      </c>
      <c r="O15" s="10">
        <f t="shared" si="2"/>
        <v>162.26002903225807</v>
      </c>
      <c r="P15" s="368">
        <f t="shared" si="3"/>
        <v>-9.04106151080597E-2</v>
      </c>
      <c r="R15" s="10">
        <f t="shared" si="4"/>
        <v>-909541.80000000075</v>
      </c>
      <c r="S15" s="151">
        <f t="shared" si="5"/>
        <v>-9.939717482389103E-2</v>
      </c>
      <c r="T15" s="126">
        <f t="shared" si="6"/>
        <v>33</v>
      </c>
    </row>
    <row r="16" spans="1:20" x14ac:dyDescent="0.25">
      <c r="A16" s="78"/>
      <c r="C16" s="3" t="s">
        <v>8</v>
      </c>
      <c r="D16" s="29">
        <v>80000</v>
      </c>
      <c r="E16" s="9">
        <f>_xll.BDP(C16&amp;" EQUITY",$E$3)</f>
        <v>113.77</v>
      </c>
      <c r="F16" s="112">
        <f>_xll.BDP(C16&amp;" EQUITY",$F$3)</f>
        <v>-0.28000000000000003</v>
      </c>
      <c r="G16" s="127">
        <f>_xll.BDP(C16&amp;" EQUITY",$G$3)*0.01</f>
        <v>-2.4550640000000003E-3</v>
      </c>
      <c r="H16" s="126"/>
      <c r="I16" s="30">
        <f t="shared" si="0"/>
        <v>9101600</v>
      </c>
      <c r="J16" s="77"/>
      <c r="K16" s="86">
        <f t="shared" si="1"/>
        <v>4.1107636726318528</v>
      </c>
      <c r="M16" s="432">
        <f>1840609.11+373480.71</f>
        <v>2214089.8200000003</v>
      </c>
      <c r="O16" s="10">
        <f t="shared" si="2"/>
        <v>27.676122750000005</v>
      </c>
      <c r="P16" s="368">
        <f t="shared" si="3"/>
        <v>3.1107636726318528</v>
      </c>
      <c r="R16" s="10">
        <f t="shared" si="4"/>
        <v>6887510.1799999997</v>
      </c>
      <c r="S16" s="151">
        <f t="shared" si="5"/>
        <v>0.75673619803111536</v>
      </c>
      <c r="T16" s="126">
        <f t="shared" si="6"/>
        <v>1</v>
      </c>
    </row>
    <row r="17" spans="1:20" x14ac:dyDescent="0.25">
      <c r="A17" s="78"/>
      <c r="C17" s="3" t="s">
        <v>215</v>
      </c>
      <c r="D17" s="101">
        <v>83000</v>
      </c>
      <c r="E17" s="9">
        <f>_xll.BDP(C17&amp;" EQUITY",$E$3)</f>
        <v>97.54</v>
      </c>
      <c r="F17" s="112">
        <f>_xll.BDP(C17&amp;" EQUITY",$F$3)</f>
        <v>0.44</v>
      </c>
      <c r="G17" s="127">
        <f>_xll.BDP(C17&amp;" EQUITY",$G$3)*0.01</f>
        <v>4.5314109999999999E-3</v>
      </c>
      <c r="H17" s="126"/>
      <c r="I17" s="30">
        <f t="shared" si="0"/>
        <v>8095820.0000000009</v>
      </c>
      <c r="J17" s="77"/>
      <c r="K17" s="153">
        <f t="shared" si="1"/>
        <v>1.0536810089428219</v>
      </c>
      <c r="M17" s="432">
        <f>3986241+1987818+1709310</f>
        <v>7683369</v>
      </c>
      <c r="O17" s="10">
        <f t="shared" si="2"/>
        <v>92.57071084337349</v>
      </c>
      <c r="P17" s="860">
        <f t="shared" si="3"/>
        <v>5.3681008942821906E-2</v>
      </c>
      <c r="R17" s="10">
        <f t="shared" si="4"/>
        <v>412451.00000000093</v>
      </c>
      <c r="S17" s="151">
        <f t="shared" si="5"/>
        <v>5.0946167281387296E-2</v>
      </c>
      <c r="T17" s="126">
        <f t="shared" si="6"/>
        <v>23</v>
      </c>
    </row>
    <row r="18" spans="1:20" x14ac:dyDescent="0.25">
      <c r="A18" s="78"/>
      <c r="C18" s="31" t="s">
        <v>212</v>
      </c>
      <c r="D18" s="116">
        <v>135000</v>
      </c>
      <c r="E18" s="33">
        <f>_xll.BDP(C18&amp;" EQUITY",$E$3)</f>
        <v>58.7</v>
      </c>
      <c r="F18" s="114">
        <f>_xll.BDP(C18&amp;" EQUITY",$F$3)</f>
        <v>-0.78</v>
      </c>
      <c r="G18" s="130">
        <f>_xll.BDP(C18&amp;" EQUITY",$G$3)*0.01</f>
        <v>-1.3113649999999999E-2</v>
      </c>
      <c r="H18" s="126"/>
      <c r="I18" s="75">
        <f t="shared" si="0"/>
        <v>7924500</v>
      </c>
      <c r="J18" s="77"/>
      <c r="K18" s="93">
        <f t="shared" si="1"/>
        <v>1.3100679049962924</v>
      </c>
      <c r="M18" s="432">
        <f>4024627.5+2024295.59</f>
        <v>6048923.0899999999</v>
      </c>
      <c r="O18" s="10">
        <f t="shared" si="2"/>
        <v>44.8068377037037</v>
      </c>
      <c r="P18" s="368">
        <f t="shared" si="3"/>
        <v>0.31006790499629266</v>
      </c>
      <c r="R18" s="10">
        <f t="shared" si="4"/>
        <v>1875576.9100000001</v>
      </c>
      <c r="S18" s="151">
        <f t="shared" si="5"/>
        <v>0.23668078869329298</v>
      </c>
      <c r="T18" s="126">
        <f t="shared" si="6"/>
        <v>12</v>
      </c>
    </row>
    <row r="19" spans="1:20" x14ac:dyDescent="0.25">
      <c r="A19" s="78"/>
      <c r="C19" s="3" t="s">
        <v>207</v>
      </c>
      <c r="D19" s="29">
        <v>88800</v>
      </c>
      <c r="E19" s="9">
        <f>_xll.BDP(C19&amp;" EQUITY",$E$3)</f>
        <v>87.04</v>
      </c>
      <c r="F19" s="112">
        <f>_xll.BDP(C19&amp;" EQUITY",$F$3)</f>
        <v>-1.1000000000000001</v>
      </c>
      <c r="G19" s="127">
        <f>_xll.BDP(C19&amp;" EQUITY",$G$3)*0.01</f>
        <v>-1.2480150000000001E-2</v>
      </c>
      <c r="H19" s="126"/>
      <c r="I19" s="30">
        <f t="shared" si="0"/>
        <v>7729152.0000000009</v>
      </c>
      <c r="J19" s="77"/>
      <c r="K19" s="93">
        <f t="shared" si="1"/>
        <v>1.1231843261016765</v>
      </c>
      <c r="M19" s="432">
        <f>1373416.25+5508047.3</f>
        <v>6881463.5499999998</v>
      </c>
      <c r="O19" s="10">
        <f t="shared" si="2"/>
        <v>77.493958896396393</v>
      </c>
      <c r="P19" s="368">
        <f t="shared" si="3"/>
        <v>0.12318432610167651</v>
      </c>
      <c r="R19" s="10">
        <f t="shared" si="4"/>
        <v>847688.45000000112</v>
      </c>
      <c r="S19" s="151">
        <f t="shared" si="5"/>
        <v>0.10967418547338711</v>
      </c>
      <c r="T19" s="126">
        <f t="shared" si="6"/>
        <v>21</v>
      </c>
    </row>
    <row r="20" spans="1:20" x14ac:dyDescent="0.25">
      <c r="A20" s="78"/>
      <c r="C20" s="3" t="s">
        <v>208</v>
      </c>
      <c r="D20" s="101">
        <v>76000</v>
      </c>
      <c r="E20" s="9">
        <f>_xll.BDP(C20&amp;" EQUITY",$E$3)</f>
        <v>100.16</v>
      </c>
      <c r="F20" s="112">
        <f>_xll.BDP(C20&amp;" EQUITY",$F$3)</f>
        <v>-1.35</v>
      </c>
      <c r="G20" s="127">
        <f>_xll.BDP(C20&amp;" EQUITY",$G$3)*0.01</f>
        <v>-1.3299179999999999E-2</v>
      </c>
      <c r="H20" s="126"/>
      <c r="I20" s="30">
        <f t="shared" si="0"/>
        <v>7612160</v>
      </c>
      <c r="J20" s="77"/>
      <c r="K20" s="93">
        <f t="shared" si="1"/>
        <v>1.1261657341972688</v>
      </c>
      <c r="M20" s="432">
        <f>1345304.46+5414055.88</f>
        <v>6759360.3399999999</v>
      </c>
      <c r="O20" s="10">
        <f t="shared" si="2"/>
        <v>88.938951842105254</v>
      </c>
      <c r="P20" s="368">
        <f t="shared" si="3"/>
        <v>0.12616573419726884</v>
      </c>
      <c r="R20" s="10">
        <f t="shared" si="4"/>
        <v>852799.66000000015</v>
      </c>
      <c r="S20" s="151">
        <f t="shared" si="5"/>
        <v>0.11203123160837399</v>
      </c>
      <c r="T20" s="126">
        <f t="shared" si="6"/>
        <v>20</v>
      </c>
    </row>
    <row r="21" spans="1:20" x14ac:dyDescent="0.25">
      <c r="A21" s="78"/>
      <c r="C21" s="3" t="s">
        <v>531</v>
      </c>
      <c r="D21" s="101">
        <v>55000</v>
      </c>
      <c r="E21" s="9">
        <f>_xll.BDP(C21&amp;" EQUITY",$E$3)</f>
        <v>137.97999999999999</v>
      </c>
      <c r="F21" s="112">
        <f>_xll.BDP(C21&amp;" EQUITY",$F$3)</f>
        <v>-1.91</v>
      </c>
      <c r="G21" s="127">
        <f>_xll.BDP(C21&amp;" EQUITY",$G$3)*0.01</f>
        <v>-1.365358E-2</v>
      </c>
      <c r="H21" s="126"/>
      <c r="I21" s="30">
        <f t="shared" si="0"/>
        <v>7588899.9999999991</v>
      </c>
      <c r="J21" s="77"/>
      <c r="K21" s="169">
        <f t="shared" si="1"/>
        <v>1.2820062270847976</v>
      </c>
      <c r="L21" s="10"/>
      <c r="M21" s="432">
        <f>2570852.15+1051214+2297483.88</f>
        <v>5919550.0299999993</v>
      </c>
      <c r="O21" s="10">
        <f t="shared" si="2"/>
        <v>107.62818236363636</v>
      </c>
      <c r="P21" s="860">
        <f t="shared" si="3"/>
        <v>0.28200622708479761</v>
      </c>
      <c r="R21" s="10">
        <f t="shared" si="4"/>
        <v>1669349.9699999997</v>
      </c>
      <c r="S21" s="151">
        <f t="shared" si="5"/>
        <v>0.21997258759504013</v>
      </c>
      <c r="T21" s="126">
        <f t="shared" si="6"/>
        <v>14</v>
      </c>
    </row>
    <row r="22" spans="1:20" x14ac:dyDescent="0.25">
      <c r="A22" s="78"/>
      <c r="C22" s="482" t="s">
        <v>203</v>
      </c>
      <c r="D22" s="29">
        <v>189000</v>
      </c>
      <c r="E22" s="9">
        <f>_xll.BDP(C22&amp;" EQUITY",$E$3)</f>
        <v>39.734999999999999</v>
      </c>
      <c r="F22" s="112">
        <f>_xll.BDP(C22&amp;" EQUITY",$F$3)</f>
        <v>-0.81499999999999995</v>
      </c>
      <c r="G22" s="127">
        <f>_xll.BDP(C22&amp;" EQUITY",$G$3)*0.01</f>
        <v>-2.0098639999999997E-2</v>
      </c>
      <c r="H22" s="126"/>
      <c r="I22" s="30">
        <f t="shared" si="0"/>
        <v>7509915</v>
      </c>
      <c r="J22" s="77"/>
      <c r="K22" s="170">
        <f t="shared" si="1"/>
        <v>0.74900135845051552</v>
      </c>
      <c r="M22" s="432">
        <f>2006387.9+4002305.2+1990646+2027231.5</f>
        <v>10026570.6</v>
      </c>
      <c r="O22" s="10">
        <f t="shared" si="2"/>
        <v>53.050638095238092</v>
      </c>
      <c r="P22" s="850">
        <f t="shared" si="3"/>
        <v>-0.25099864154948448</v>
      </c>
      <c r="R22" s="10">
        <f t="shared" si="4"/>
        <v>-2516655.5999999996</v>
      </c>
      <c r="S22" s="151">
        <f t="shared" si="5"/>
        <v>-0.3351110631744833</v>
      </c>
      <c r="T22" s="126">
        <f t="shared" si="6"/>
        <v>38</v>
      </c>
    </row>
    <row r="23" spans="1:20" x14ac:dyDescent="0.25">
      <c r="A23" s="78"/>
      <c r="C23" s="482" t="s">
        <v>199</v>
      </c>
      <c r="D23" s="101">
        <v>178000</v>
      </c>
      <c r="E23" s="9">
        <f>_xll.BDP(C23&amp;" EQUITY",$E$3)</f>
        <v>40.935000000000002</v>
      </c>
      <c r="F23" s="112">
        <f>_xll.BDP(C23&amp;" EQUITY",$F$3)</f>
        <v>-0.23499999999999999</v>
      </c>
      <c r="G23" s="127">
        <f>_xll.BDP(C23&amp;" EQUITY",$G$3)*0.01</f>
        <v>-5.7080400000000002E-3</v>
      </c>
      <c r="H23" s="126"/>
      <c r="I23" s="30">
        <f t="shared" si="0"/>
        <v>7286430</v>
      </c>
      <c r="J23" s="77"/>
      <c r="K23" s="170">
        <f t="shared" si="1"/>
        <v>0.72469606247060414</v>
      </c>
      <c r="M23" s="432">
        <f>5026700+2513233+2514530.35</f>
        <v>10054463.35</v>
      </c>
      <c r="O23" s="10">
        <f t="shared" si="2"/>
        <v>56.485749157303367</v>
      </c>
      <c r="P23" s="862">
        <f t="shared" si="3"/>
        <v>-0.27530393752939575</v>
      </c>
      <c r="R23" s="10">
        <f t="shared" si="4"/>
        <v>-2768033.3499999996</v>
      </c>
      <c r="S23" s="151">
        <f t="shared" si="5"/>
        <v>-0.37988882758772125</v>
      </c>
      <c r="T23" s="126">
        <f t="shared" si="6"/>
        <v>39</v>
      </c>
    </row>
    <row r="24" spans="1:20" x14ac:dyDescent="0.25">
      <c r="A24" s="78"/>
      <c r="C24" s="795" t="s">
        <v>211</v>
      </c>
      <c r="D24" s="29">
        <v>135000</v>
      </c>
      <c r="E24" s="9">
        <f>_xll.BDP(C24&amp;" EQUITY",$E$3)</f>
        <v>51.81</v>
      </c>
      <c r="F24" s="112">
        <f>_xll.BDP(C24&amp;" EQUITY",$F$3)</f>
        <v>-0.6</v>
      </c>
      <c r="G24" s="127">
        <f>_xll.BDP(C24&amp;" EQUITY",$G$3)*0.01</f>
        <v>-1.14482E-2</v>
      </c>
      <c r="H24" s="126"/>
      <c r="I24" s="30">
        <f t="shared" si="0"/>
        <v>6994350</v>
      </c>
      <c r="J24" s="77"/>
      <c r="K24" s="861">
        <f t="shared" si="1"/>
        <v>0.81769654625138499</v>
      </c>
      <c r="M24" s="432">
        <f>4033668+1970976.6+2549078.7</f>
        <v>8553723.3000000007</v>
      </c>
      <c r="O24" s="10">
        <f t="shared" si="2"/>
        <v>63.360913333333336</v>
      </c>
      <c r="P24" s="849">
        <f t="shared" si="3"/>
        <v>-0.1823034537486149</v>
      </c>
      <c r="R24" s="10">
        <f t="shared" si="4"/>
        <v>-1559373.3000000007</v>
      </c>
      <c r="S24" s="151">
        <f t="shared" si="5"/>
        <v>-0.22294756482017639</v>
      </c>
      <c r="T24" s="126">
        <f t="shared" si="6"/>
        <v>35</v>
      </c>
    </row>
    <row r="25" spans="1:20" x14ac:dyDescent="0.25">
      <c r="A25" s="78"/>
      <c r="C25" s="3" t="s">
        <v>34</v>
      </c>
      <c r="D25" s="101">
        <v>185000</v>
      </c>
      <c r="E25" s="9">
        <f>_xll.BDP(C25&amp;" EQUITY",$E$3)</f>
        <v>38.085000000000001</v>
      </c>
      <c r="F25" s="112">
        <f>_xll.BDP(C25&amp;" EQUITY",$F$3)</f>
        <v>-0.39500000000000002</v>
      </c>
      <c r="G25" s="127">
        <f>_xll.BDP(C25&amp;" EQUITY",$G$3)*0.01</f>
        <v>-1.0265070000000001E-2</v>
      </c>
      <c r="H25" s="126"/>
      <c r="I25" s="30">
        <f t="shared" si="0"/>
        <v>7045725</v>
      </c>
      <c r="J25" s="77"/>
      <c r="K25" s="169">
        <f t="shared" si="1"/>
        <v>1.3276974028237756</v>
      </c>
      <c r="M25" s="432">
        <v>5306725</v>
      </c>
      <c r="O25" s="10">
        <f t="shared" si="2"/>
        <v>28.684999999999999</v>
      </c>
      <c r="P25" s="368">
        <f t="shared" si="3"/>
        <v>0.32769740282377557</v>
      </c>
      <c r="R25" s="10">
        <f t="shared" si="4"/>
        <v>1739000</v>
      </c>
      <c r="S25" s="151">
        <f t="shared" si="5"/>
        <v>0.24681633188919522</v>
      </c>
      <c r="T25" s="126">
        <f t="shared" si="6"/>
        <v>11</v>
      </c>
    </row>
    <row r="26" spans="1:20" x14ac:dyDescent="0.25">
      <c r="A26" s="78"/>
      <c r="C26" s="795" t="s">
        <v>209</v>
      </c>
      <c r="D26" s="101">
        <v>150000</v>
      </c>
      <c r="E26" s="9">
        <f>_xll.BDP(C26&amp;" EQUITY",$E$3)</f>
        <v>47.43</v>
      </c>
      <c r="F26" s="112">
        <f>_xll.BDP(C26&amp;" EQUITY",$F$3)</f>
        <v>0.15</v>
      </c>
      <c r="G26" s="127">
        <f>_xll.BDP(C26&amp;" EQUITY",$G$3)*0.01</f>
        <v>3.172589E-3</v>
      </c>
      <c r="H26" s="126"/>
      <c r="I26" s="30">
        <f t="shared" si="0"/>
        <v>7114500</v>
      </c>
      <c r="J26" s="77"/>
      <c r="K26" s="861">
        <f t="shared" si="1"/>
        <v>0.8662602503216581</v>
      </c>
      <c r="M26" s="432">
        <f>2124197.1+4020976.8+2067715.93</f>
        <v>8212889.8300000001</v>
      </c>
      <c r="O26" s="10">
        <f t="shared" si="2"/>
        <v>54.752598866666666</v>
      </c>
      <c r="P26" s="850">
        <f t="shared" si="3"/>
        <v>-0.1337397496783419</v>
      </c>
      <c r="R26" s="10">
        <f t="shared" si="4"/>
        <v>-1098389.83</v>
      </c>
      <c r="S26" s="151">
        <f t="shared" si="5"/>
        <v>-0.15438749455337691</v>
      </c>
      <c r="T26" s="126">
        <f t="shared" si="6"/>
        <v>34</v>
      </c>
    </row>
    <row r="27" spans="1:20" x14ac:dyDescent="0.25">
      <c r="A27" s="78"/>
      <c r="C27" s="3" t="s">
        <v>223</v>
      </c>
      <c r="D27" s="101">
        <v>4000</v>
      </c>
      <c r="E27" s="9">
        <f>_xll.BDP(C27&amp;" EQUITY",$E$3)</f>
        <v>1564.65</v>
      </c>
      <c r="F27" s="112">
        <f>_xll.BDP(C27&amp;" EQUITY",$F$3)</f>
        <v>-27.56</v>
      </c>
      <c r="G27" s="127">
        <f>_xll.BDP(C27&amp;" EQUITY",$G$3)*0.01</f>
        <v>-1.7309270000000002E-2</v>
      </c>
      <c r="H27" s="126"/>
      <c r="I27" s="30">
        <f t="shared" si="0"/>
        <v>6258600</v>
      </c>
      <c r="J27" s="77"/>
      <c r="K27" s="93">
        <f t="shared" si="1"/>
        <v>3.1144781827558741</v>
      </c>
      <c r="M27" s="432">
        <v>2009518.01</v>
      </c>
      <c r="O27" s="10">
        <f t="shared" si="2"/>
        <v>502.3795025</v>
      </c>
      <c r="P27" s="368">
        <f t="shared" si="3"/>
        <v>2.1144781827558741</v>
      </c>
      <c r="R27" s="10">
        <f t="shared" si="4"/>
        <v>4249081.99</v>
      </c>
      <c r="S27" s="151">
        <f t="shared" si="5"/>
        <v>0.67891892595788195</v>
      </c>
      <c r="T27" s="126">
        <f t="shared" si="6"/>
        <v>4</v>
      </c>
    </row>
    <row r="28" spans="1:20" x14ac:dyDescent="0.25">
      <c r="A28" s="78"/>
      <c r="C28" s="3" t="s">
        <v>378</v>
      </c>
      <c r="D28" s="101">
        <v>50000</v>
      </c>
      <c r="E28" s="9">
        <f>_xll.BDP(C28&amp;" EQUITY",$E$3)</f>
        <v>133.69499999999999</v>
      </c>
      <c r="F28" s="112">
        <f>_xll.BDP(C28&amp;" EQUITY",$F$3)</f>
        <v>-0.155</v>
      </c>
      <c r="G28" s="127">
        <f>_xll.BDP(C28&amp;" EQUITY",$G$3)*0.01</f>
        <v>-1.1580130000000001E-3</v>
      </c>
      <c r="H28" s="126"/>
      <c r="I28" s="30">
        <f t="shared" si="0"/>
        <v>6684750</v>
      </c>
      <c r="J28" s="77"/>
      <c r="K28" s="169">
        <f t="shared" si="1"/>
        <v>1.2370171055367478</v>
      </c>
      <c r="M28" s="432">
        <f>1621144+2357103.08+1425679.81</f>
        <v>5403926.8900000006</v>
      </c>
      <c r="O28" s="10">
        <f t="shared" si="2"/>
        <v>108.07853780000001</v>
      </c>
      <c r="P28" s="368">
        <f t="shared" si="3"/>
        <v>0.23701710553674782</v>
      </c>
      <c r="R28" s="10">
        <f t="shared" si="4"/>
        <v>1280823.1099999994</v>
      </c>
      <c r="S28" s="151">
        <f t="shared" si="5"/>
        <v>0.19160374135158373</v>
      </c>
      <c r="T28" s="126">
        <f t="shared" si="6"/>
        <v>16</v>
      </c>
    </row>
    <row r="29" spans="1:20" x14ac:dyDescent="0.25">
      <c r="A29" s="78"/>
      <c r="C29" s="3" t="s">
        <v>133</v>
      </c>
      <c r="D29" s="101">
        <v>30000</v>
      </c>
      <c r="E29" s="9">
        <f>_xll.BDP(C29&amp;" EQUITY",$E$3)</f>
        <v>223.20500000000001</v>
      </c>
      <c r="F29" s="112">
        <f>_xll.BDP(C29&amp;" EQUITY",$F$3)</f>
        <v>-2.2850000000000001</v>
      </c>
      <c r="G29" s="127">
        <f>_xll.BDP(C29&amp;" EQUITY",$G$3)*0.01</f>
        <v>-1.013349E-2</v>
      </c>
      <c r="H29" s="126"/>
      <c r="I29" s="61">
        <f t="shared" si="0"/>
        <v>6696150</v>
      </c>
      <c r="J29" s="84"/>
      <c r="K29" s="169">
        <f t="shared" si="1"/>
        <v>1.089294860589185</v>
      </c>
      <c r="M29" s="432">
        <f>3480034.2+2667199.43</f>
        <v>6147233.6300000008</v>
      </c>
      <c r="O29" s="10">
        <f t="shared" si="2"/>
        <v>204.90778766666671</v>
      </c>
      <c r="P29" s="37">
        <f t="shared" si="3"/>
        <v>8.929486058918501E-2</v>
      </c>
      <c r="R29" s="10">
        <f t="shared" si="4"/>
        <v>548916.36999999918</v>
      </c>
      <c r="S29" s="151">
        <f t="shared" si="5"/>
        <v>8.1974921410063864E-2</v>
      </c>
      <c r="T29" s="126">
        <f t="shared" si="6"/>
        <v>22</v>
      </c>
    </row>
    <row r="30" spans="1:20" x14ac:dyDescent="0.25">
      <c r="A30" s="78"/>
      <c r="C30" s="3" t="s">
        <v>377</v>
      </c>
      <c r="D30" s="101">
        <v>350000</v>
      </c>
      <c r="E30" s="9">
        <f>_xll.BDP(C30&amp;" EQUITY",$E$3)</f>
        <v>17.475000000000001</v>
      </c>
      <c r="F30" s="112">
        <f>_xll.BDP(C30&amp;" EQUITY",$F$3)</f>
        <v>-0.185</v>
      </c>
      <c r="G30" s="127">
        <f>_xll.BDP(C30&amp;" EQUITY",$G$3)*0.01</f>
        <v>-1.0475650000000001E-2</v>
      </c>
      <c r="H30" s="126"/>
      <c r="I30" s="30">
        <f t="shared" si="0"/>
        <v>6116250.0000000009</v>
      </c>
      <c r="J30" s="77"/>
      <c r="K30" s="169">
        <f t="shared" si="1"/>
        <v>1.6098177815240984</v>
      </c>
      <c r="M30" s="432">
        <f>2042300+1757043.05</f>
        <v>3799343.05</v>
      </c>
      <c r="O30" s="10">
        <f t="shared" si="2"/>
        <v>10.855265857142857</v>
      </c>
      <c r="P30" s="368">
        <f t="shared" si="3"/>
        <v>0.60981778152409816</v>
      </c>
      <c r="R30" s="10">
        <f t="shared" si="4"/>
        <v>2316906.9500000011</v>
      </c>
      <c r="S30" s="151">
        <f t="shared" si="5"/>
        <v>0.3788116819946864</v>
      </c>
      <c r="T30" s="126">
        <f t="shared" si="6"/>
        <v>9</v>
      </c>
    </row>
    <row r="31" spans="1:20" x14ac:dyDescent="0.25">
      <c r="A31" s="78"/>
      <c r="C31" s="3" t="s">
        <v>218</v>
      </c>
      <c r="D31" s="101">
        <v>46400</v>
      </c>
      <c r="E31" s="9">
        <f>_xll.BDP(C31&amp;" EQUITY",$E$3)</f>
        <v>132.77000000000001</v>
      </c>
      <c r="F31" s="112">
        <f>_xll.BDP(C31&amp;" EQUITY",$F$3)</f>
        <v>-0.19</v>
      </c>
      <c r="G31" s="127">
        <f>_xll.BDP(C31&amp;" EQUITY",$G$3)*0.01</f>
        <v>-1.4290010000000001E-3</v>
      </c>
      <c r="H31" s="126"/>
      <c r="I31" s="30">
        <f t="shared" si="0"/>
        <v>6160528.0000000009</v>
      </c>
      <c r="J31" s="77"/>
      <c r="K31" s="93">
        <f t="shared" si="1"/>
        <v>1.8194892626329184</v>
      </c>
      <c r="M31" s="432">
        <f>1024046.01+1607632.33+74074.41+680102.9</f>
        <v>3385855.65</v>
      </c>
      <c r="O31" s="10">
        <f t="shared" si="2"/>
        <v>72.971026939655175</v>
      </c>
      <c r="P31" s="368">
        <f t="shared" si="3"/>
        <v>0.81948926263291821</v>
      </c>
      <c r="R31" s="10">
        <f t="shared" si="4"/>
        <v>2774672.350000001</v>
      </c>
      <c r="S31" s="151">
        <f t="shared" si="5"/>
        <v>0.4503952177475698</v>
      </c>
      <c r="T31" s="126">
        <f t="shared" si="6"/>
        <v>6</v>
      </c>
    </row>
    <row r="32" spans="1:20" x14ac:dyDescent="0.25">
      <c r="A32" s="78"/>
      <c r="C32" s="3" t="s">
        <v>219</v>
      </c>
      <c r="D32" s="101">
        <v>75300</v>
      </c>
      <c r="E32" s="9">
        <f>_xll.BDP(C32&amp;" EQUITY",$E$3)</f>
        <v>78.14</v>
      </c>
      <c r="F32" s="112">
        <f>_xll.BDP(C32&amp;" EQUITY",$F$3)</f>
        <v>-1.2</v>
      </c>
      <c r="G32" s="127">
        <f>_xll.BDP(C32&amp;" EQUITY",$G$3)*0.01</f>
        <v>-1.5124780000000001E-2</v>
      </c>
      <c r="H32" s="126"/>
      <c r="I32" s="30">
        <f t="shared" si="0"/>
        <v>5883942</v>
      </c>
      <c r="J32" s="77"/>
      <c r="K32" s="93">
        <f t="shared" si="1"/>
        <v>1.239017355298166</v>
      </c>
      <c r="M32" s="432">
        <f>1477880.15+3270997.64</f>
        <v>4748877.79</v>
      </c>
      <c r="O32" s="10">
        <f t="shared" si="2"/>
        <v>63.066106108897742</v>
      </c>
      <c r="P32" s="368">
        <f t="shared" si="3"/>
        <v>0.23901735529816626</v>
      </c>
      <c r="R32" s="10">
        <f t="shared" si="4"/>
        <v>1135064.21</v>
      </c>
      <c r="S32" s="151">
        <f t="shared" si="5"/>
        <v>0.19290880331587223</v>
      </c>
      <c r="T32" s="126">
        <f t="shared" si="6"/>
        <v>15</v>
      </c>
    </row>
    <row r="33" spans="1:23" x14ac:dyDescent="0.25">
      <c r="A33" s="78"/>
      <c r="C33" s="482" t="s">
        <v>205</v>
      </c>
      <c r="D33" s="29">
        <f>115500+25500</f>
        <v>141000</v>
      </c>
      <c r="E33" s="9">
        <f>_xll.BDP(C33&amp;" EQUITY",$E$3)</f>
        <v>41.906399999999998</v>
      </c>
      <c r="F33" s="112">
        <f>_xll.BDP(C33&amp;" EQUITY",$F$3)</f>
        <v>-0.3236</v>
      </c>
      <c r="G33" s="127">
        <f>_xll.BDP(C33&amp;" EQUITY",$G$3)*0.01</f>
        <v>-7.6627990000000005E-3</v>
      </c>
      <c r="H33" s="126"/>
      <c r="I33" s="30">
        <f t="shared" si="0"/>
        <v>5908802.3999999994</v>
      </c>
      <c r="J33" s="77"/>
      <c r="K33" s="170">
        <f t="shared" si="1"/>
        <v>0.7176672646050688</v>
      </c>
      <c r="M33" s="432">
        <f>1376138.21+4174983.91+1372464.13+1309759.05</f>
        <v>8233345.2999999998</v>
      </c>
      <c r="O33" s="10">
        <f t="shared" si="2"/>
        <v>58.392519858156028</v>
      </c>
      <c r="P33" s="849">
        <f t="shared" si="3"/>
        <v>-0.2823327353949312</v>
      </c>
      <c r="R33" s="10">
        <f t="shared" si="4"/>
        <v>-2324542.9000000004</v>
      </c>
      <c r="S33" s="151">
        <f t="shared" si="5"/>
        <v>-0.39340339084617226</v>
      </c>
      <c r="T33" s="126">
        <f t="shared" si="6"/>
        <v>40</v>
      </c>
      <c r="W33" s="831">
        <v>8553723.3000000007</v>
      </c>
    </row>
    <row r="34" spans="1:23" x14ac:dyDescent="0.25">
      <c r="A34" s="78"/>
      <c r="C34" s="3" t="s">
        <v>220</v>
      </c>
      <c r="D34" s="101">
        <v>97000</v>
      </c>
      <c r="E34" s="9">
        <f>_xll.BDP(C34&amp;" EQUITY",$E$3)</f>
        <v>61.405000000000001</v>
      </c>
      <c r="F34" s="112">
        <f>_xll.BDP(C34&amp;" EQUITY",$F$3)</f>
        <v>6.5000000000000002E-2</v>
      </c>
      <c r="G34" s="127">
        <f>_xll.BDP(C34&amp;" EQUITY",$G$3)*0.01</f>
        <v>1.059667E-3</v>
      </c>
      <c r="H34" s="126"/>
      <c r="I34" s="61">
        <f t="shared" si="0"/>
        <v>5956285</v>
      </c>
      <c r="J34" s="84"/>
      <c r="K34" s="153">
        <f t="shared" si="1"/>
        <v>0.99547011239991101</v>
      </c>
      <c r="M34" s="432">
        <f>2027993.68+3955395.4</f>
        <v>5983389.0800000001</v>
      </c>
      <c r="O34" s="10">
        <f t="shared" si="2"/>
        <v>61.684423505154641</v>
      </c>
      <c r="P34" s="859">
        <f t="shared" si="3"/>
        <v>-4.5298876000889887E-3</v>
      </c>
      <c r="R34" s="10">
        <f t="shared" si="4"/>
        <v>-27104.080000000075</v>
      </c>
      <c r="S34" s="151">
        <f t="shared" si="5"/>
        <v>-4.5505008574975971E-3</v>
      </c>
      <c r="T34" s="126">
        <f t="shared" si="6"/>
        <v>26</v>
      </c>
    </row>
    <row r="35" spans="1:23" x14ac:dyDescent="0.25">
      <c r="A35" s="78"/>
      <c r="C35" s="3" t="s">
        <v>1012</v>
      </c>
      <c r="D35" s="101">
        <v>70000</v>
      </c>
      <c r="E35" s="9">
        <f>_xll.BDP(C35&amp;" EQUITY",$E$3)</f>
        <v>79.16</v>
      </c>
      <c r="F35" s="112">
        <f>_xll.BDP(C35&amp;" EQUITY",$F$3)</f>
        <v>-0.56999999999999995</v>
      </c>
      <c r="G35" s="127">
        <f>_xll.BDP(C35&amp;" EQUITY",$G$3)*0.01</f>
        <v>-7.1491280000000003E-3</v>
      </c>
      <c r="H35" s="126"/>
      <c r="I35" s="30">
        <f t="shared" si="0"/>
        <v>5541200</v>
      </c>
      <c r="J35" s="77"/>
      <c r="K35" s="86">
        <f t="shared" si="1"/>
        <v>1.0273914820991701</v>
      </c>
      <c r="M35" s="432">
        <v>5393465</v>
      </c>
      <c r="O35" s="10">
        <f t="shared" si="2"/>
        <v>77.049499999999995</v>
      </c>
      <c r="P35" s="368">
        <f t="shared" si="3"/>
        <v>2.7391482099170084E-2</v>
      </c>
      <c r="R35" s="10">
        <f t="shared" si="4"/>
        <v>147735</v>
      </c>
      <c r="S35" s="151">
        <f t="shared" si="5"/>
        <v>2.6661192521475491E-2</v>
      </c>
      <c r="T35" s="126">
        <f t="shared" si="6"/>
        <v>24</v>
      </c>
    </row>
    <row r="36" spans="1:23" x14ac:dyDescent="0.25">
      <c r="A36" s="78"/>
      <c r="C36" s="3" t="s">
        <v>222</v>
      </c>
      <c r="D36" s="101">
        <v>6500</v>
      </c>
      <c r="E36" s="9">
        <f>_xll.BDP(C36&amp;" EQUITY",$E$3)</f>
        <v>790.37199999999996</v>
      </c>
      <c r="F36" s="112">
        <f>_xll.BDP(C36&amp;" EQUITY",$F$3)</f>
        <v>-8.5776000000000003</v>
      </c>
      <c r="G36" s="127">
        <f>_xll.BDP(C36&amp;" EQUITY",$G$3)*0.01</f>
        <v>-1.073609E-2</v>
      </c>
      <c r="H36" s="126"/>
      <c r="I36" s="30">
        <f t="shared" si="0"/>
        <v>5137418</v>
      </c>
      <c r="J36" s="77"/>
      <c r="K36" s="86">
        <f t="shared" si="1"/>
        <v>1.2930802052248573</v>
      </c>
      <c r="M36" s="432">
        <v>3973008</v>
      </c>
      <c r="O36" s="10">
        <f t="shared" si="2"/>
        <v>611.23199999999997</v>
      </c>
      <c r="P36" s="368">
        <f t="shared" si="3"/>
        <v>0.29308020522485734</v>
      </c>
      <c r="R36" s="10">
        <f t="shared" si="4"/>
        <v>1164410</v>
      </c>
      <c r="S36" s="151">
        <f t="shared" si="5"/>
        <v>0.22665276603928278</v>
      </c>
      <c r="T36" s="126">
        <f t="shared" si="6"/>
        <v>13</v>
      </c>
    </row>
    <row r="37" spans="1:23" x14ac:dyDescent="0.25">
      <c r="A37" s="78"/>
      <c r="C37" s="482" t="s">
        <v>214</v>
      </c>
      <c r="D37" s="29">
        <v>90000</v>
      </c>
      <c r="E37" s="9">
        <f>_xll.BDP(C37&amp;" EQUITY",$E$3)</f>
        <v>52.89</v>
      </c>
      <c r="F37" s="112">
        <f>_xll.BDP(C37&amp;" EQUITY",$F$3)</f>
        <v>-0.75</v>
      </c>
      <c r="G37" s="127">
        <f>_xll.BDP(C37&amp;" EQUITY",$G$3)*0.01</f>
        <v>-1.3982099999999999E-2</v>
      </c>
      <c r="H37" s="126"/>
      <c r="I37" s="30">
        <f t="shared" si="0"/>
        <v>4760100</v>
      </c>
      <c r="J37" s="77"/>
      <c r="K37" s="794">
        <f t="shared" si="1"/>
        <v>0.80057726462824919</v>
      </c>
      <c r="M37" s="432">
        <f>2943930.5+3001904.1</f>
        <v>5945834.5999999996</v>
      </c>
      <c r="O37" s="10">
        <f t="shared" si="2"/>
        <v>66.064828888888883</v>
      </c>
      <c r="P37" s="848">
        <f t="shared" si="3"/>
        <v>-0.1994227353717507</v>
      </c>
      <c r="R37" s="10">
        <f t="shared" si="4"/>
        <v>-1185734.5999999996</v>
      </c>
      <c r="S37" s="151">
        <f t="shared" si="5"/>
        <v>-0.24909867439759661</v>
      </c>
      <c r="T37" s="126">
        <f t="shared" si="6"/>
        <v>37</v>
      </c>
    </row>
    <row r="38" spans="1:23" x14ac:dyDescent="0.25">
      <c r="A38" s="78"/>
      <c r="C38" s="3" t="s">
        <v>225</v>
      </c>
      <c r="D38" s="101">
        <v>74000</v>
      </c>
      <c r="E38" s="9">
        <f>_xll.BDP(C38&amp;" EQUITY",$E$3)</f>
        <v>63.74</v>
      </c>
      <c r="F38" s="112">
        <f>_xll.BDP(C38&amp;" EQUITY",$F$3)</f>
        <v>-0.23</v>
      </c>
      <c r="G38" s="127">
        <f>_xll.BDP(C38&amp;" EQUITY",$G$3)*0.01</f>
        <v>-3.5954350000000001E-3</v>
      </c>
      <c r="H38" s="126"/>
      <c r="I38" s="30">
        <f t="shared" si="0"/>
        <v>4716760</v>
      </c>
      <c r="J38" s="77"/>
      <c r="K38" s="86">
        <f t="shared" si="1"/>
        <v>1.1740197929348837</v>
      </c>
      <c r="M38" s="432">
        <v>4017615.4</v>
      </c>
      <c r="O38" s="10">
        <f t="shared" si="2"/>
        <v>54.292099999999998</v>
      </c>
      <c r="P38" s="368">
        <f t="shared" si="3"/>
        <v>0.1740197929348839</v>
      </c>
      <c r="R38" s="10">
        <f t="shared" si="4"/>
        <v>699144.60000000009</v>
      </c>
      <c r="S38" s="151">
        <f t="shared" si="5"/>
        <v>0.14822560401631629</v>
      </c>
      <c r="T38" s="126">
        <f t="shared" si="6"/>
        <v>17</v>
      </c>
    </row>
    <row r="39" spans="1:23" x14ac:dyDescent="0.25">
      <c r="A39" s="78"/>
      <c r="C39" s="3" t="s">
        <v>217</v>
      </c>
      <c r="D39" s="101">
        <v>130000</v>
      </c>
      <c r="E39" s="9">
        <f>_xll.BDP(C39&amp;" EQUITY",$E$3)</f>
        <v>32.884999999999998</v>
      </c>
      <c r="F39" s="112">
        <f>_xll.BDP(C39&amp;" EQUITY",$F$3)</f>
        <v>-0.32500000000000001</v>
      </c>
      <c r="G39" s="127">
        <f>_xll.BDP(C39&amp;" EQUITY",$G$3)*0.01</f>
        <v>-9.7862090000000006E-3</v>
      </c>
      <c r="H39" s="126"/>
      <c r="I39" s="30">
        <f t="shared" si="0"/>
        <v>4275050</v>
      </c>
      <c r="J39" s="77"/>
      <c r="K39" s="153">
        <f t="shared" si="1"/>
        <v>0.92389601385199349</v>
      </c>
      <c r="M39" s="432">
        <f>2295495.35+1159762.32+1171940.56</f>
        <v>4627198.2300000004</v>
      </c>
      <c r="O39" s="10">
        <f t="shared" si="2"/>
        <v>35.593832538461541</v>
      </c>
      <c r="P39" s="368">
        <f t="shared" si="3"/>
        <v>-7.6103986148006619E-2</v>
      </c>
      <c r="R39" s="10">
        <f t="shared" si="4"/>
        <v>-352148.23000000045</v>
      </c>
      <c r="S39" s="151">
        <f t="shared" si="5"/>
        <v>-8.2372891545128238E-2</v>
      </c>
      <c r="T39" s="126">
        <f t="shared" si="6"/>
        <v>31</v>
      </c>
    </row>
    <row r="40" spans="1:23" x14ac:dyDescent="0.25">
      <c r="A40" s="78"/>
      <c r="C40" s="3" t="s">
        <v>226</v>
      </c>
      <c r="D40" s="101">
        <v>107200</v>
      </c>
      <c r="E40" s="9">
        <f>_xll.BDP(C40&amp;" EQUITY",$E$3)</f>
        <v>38.305</v>
      </c>
      <c r="F40" s="112">
        <f>_xll.BDP(C40&amp;" EQUITY",$F$3)</f>
        <v>-0.19500000000000001</v>
      </c>
      <c r="G40" s="127">
        <f>_xll.BDP(C40&amp;" EQUITY",$G$3)*0.01</f>
        <v>-5.0649350000000004E-3</v>
      </c>
      <c r="H40" s="126"/>
      <c r="I40" s="30">
        <f t="shared" si="0"/>
        <v>4106296</v>
      </c>
      <c r="J40" s="77"/>
      <c r="K40" s="153">
        <f t="shared" si="1"/>
        <v>0.98283218855598975</v>
      </c>
      <c r="M40" s="432">
        <v>4178023.52</v>
      </c>
      <c r="O40" s="10">
        <f t="shared" si="2"/>
        <v>38.9741</v>
      </c>
      <c r="P40" s="368">
        <f t="shared" si="3"/>
        <v>-1.716781144401025E-2</v>
      </c>
      <c r="R40" s="10">
        <f t="shared" si="4"/>
        <v>-71727.520000000019</v>
      </c>
      <c r="S40" s="151">
        <f t="shared" si="5"/>
        <v>-1.746769351259627E-2</v>
      </c>
      <c r="T40" s="126">
        <f t="shared" si="6"/>
        <v>28</v>
      </c>
      <c r="W40" s="84"/>
    </row>
    <row r="41" spans="1:23" x14ac:dyDescent="0.25">
      <c r="A41" s="78"/>
      <c r="C41" s="3" t="s">
        <v>230</v>
      </c>
      <c r="D41" s="101">
        <v>18000</v>
      </c>
      <c r="E41" s="9">
        <f>_xll.BDP(C41&amp;" EQUITY",$E$3)</f>
        <v>219.905</v>
      </c>
      <c r="F41" s="112">
        <f>_xll.BDP(C41&amp;" EQUITY",$F$3)</f>
        <v>-6.4550000000000001</v>
      </c>
      <c r="G41" s="127">
        <f>_xll.BDP(C41&amp;" EQUITY",$G$3)*0.01</f>
        <v>-2.851652E-2</v>
      </c>
      <c r="H41" s="126"/>
      <c r="I41" s="30">
        <f t="shared" si="0"/>
        <v>3958290</v>
      </c>
      <c r="J41" s="77"/>
      <c r="K41" s="153">
        <f t="shared" si="1"/>
        <v>1.0201378708875322</v>
      </c>
      <c r="M41" s="432">
        <v>3880152</v>
      </c>
      <c r="O41" s="10">
        <f t="shared" si="2"/>
        <v>215.56399999999999</v>
      </c>
      <c r="P41" s="860">
        <f t="shared" si="3"/>
        <v>2.0137870887532383E-2</v>
      </c>
      <c r="R41" s="10">
        <f t="shared" si="4"/>
        <v>78138</v>
      </c>
      <c r="S41" s="151">
        <f t="shared" si="5"/>
        <v>1.9740342420590709E-2</v>
      </c>
      <c r="T41" s="126">
        <f t="shared" si="6"/>
        <v>25</v>
      </c>
    </row>
    <row r="42" spans="1:23" x14ac:dyDescent="0.25">
      <c r="A42" s="78"/>
      <c r="C42" s="3" t="s">
        <v>356</v>
      </c>
      <c r="D42" s="101">
        <v>100000</v>
      </c>
      <c r="E42" s="9">
        <f>_xll.BDP(C42&amp;" EQUITY",$E$3)</f>
        <v>40.64</v>
      </c>
      <c r="F42" s="112">
        <f>_xll.BDP(C42&amp;" EQUITY",$F$3)</f>
        <v>-0.52</v>
      </c>
      <c r="G42" s="127">
        <f>_xll.BDP(C42&amp;" EQUITY",$G$3)*0.01</f>
        <v>-1.2633620000000002E-2</v>
      </c>
      <c r="H42" s="126"/>
      <c r="I42" s="30">
        <f t="shared" si="0"/>
        <v>4064000</v>
      </c>
      <c r="J42" s="77"/>
      <c r="K42" s="794">
        <f t="shared" si="1"/>
        <v>0.98924103013485221</v>
      </c>
      <c r="M42" s="432">
        <v>4108200</v>
      </c>
      <c r="O42" s="10">
        <f t="shared" si="2"/>
        <v>41.082000000000001</v>
      </c>
      <c r="P42" s="368">
        <f t="shared" si="3"/>
        <v>-1.0758969865147794E-2</v>
      </c>
      <c r="R42" s="10">
        <f t="shared" si="4"/>
        <v>-44200</v>
      </c>
      <c r="S42" s="151">
        <f t="shared" si="5"/>
        <v>-1.0875984251968503E-2</v>
      </c>
      <c r="T42" s="126">
        <f t="shared" si="6"/>
        <v>27</v>
      </c>
    </row>
    <row r="43" spans="1:23" x14ac:dyDescent="0.25">
      <c r="A43" s="78"/>
      <c r="C43" s="3" t="s">
        <v>392</v>
      </c>
      <c r="D43" s="101">
        <v>35000</v>
      </c>
      <c r="E43" s="9">
        <f>_xll.BDP(C43&amp;" EQUITY",$E$3)</f>
        <v>110.01</v>
      </c>
      <c r="F43" s="112">
        <f>_xll.BDP(C43&amp;" EQUITY",$F$3)</f>
        <v>-1.62</v>
      </c>
      <c r="G43" s="127">
        <f>_xll.BDP(C43&amp;" EQUITY",$G$3)*0.01</f>
        <v>-1.4512229999999999E-2</v>
      </c>
      <c r="H43" s="126"/>
      <c r="I43" s="30">
        <f t="shared" si="0"/>
        <v>3850350</v>
      </c>
      <c r="J43" s="77"/>
      <c r="K43" s="794">
        <f t="shared" si="1"/>
        <v>0.94923230924816382</v>
      </c>
      <c r="M43" s="432">
        <f>1013965.36+3042312.5</f>
        <v>4056277.86</v>
      </c>
      <c r="O43" s="10">
        <f t="shared" si="2"/>
        <v>115.89365314285713</v>
      </c>
      <c r="P43" s="37">
        <f t="shared" si="3"/>
        <v>-5.076769075183607E-2</v>
      </c>
      <c r="R43" s="10">
        <f t="shared" si="4"/>
        <v>-205927.85999999987</v>
      </c>
      <c r="S43" s="151">
        <f t="shared" si="5"/>
        <v>-5.3482893762904639E-2</v>
      </c>
      <c r="T43" s="126">
        <f t="shared" si="6"/>
        <v>30</v>
      </c>
    </row>
    <row r="44" spans="1:23" x14ac:dyDescent="0.25">
      <c r="A44" s="78"/>
      <c r="C44" s="3" t="s">
        <v>545</v>
      </c>
      <c r="D44" s="101">
        <v>5000</v>
      </c>
      <c r="E44" s="9">
        <f>_xll.BDP(C44&amp;" EQUITY",$E$3)</f>
        <v>738.4</v>
      </c>
      <c r="F44" s="112">
        <f>_xll.BDP(C44&amp;" EQUITY",$F$3)</f>
        <v>-13.8</v>
      </c>
      <c r="G44" s="127">
        <f>_xll.BDP(C44&amp;" EQUITY",$G$3)*0.01</f>
        <v>-1.834618E-2</v>
      </c>
      <c r="H44" s="126"/>
      <c r="I44" s="30">
        <f t="shared" si="0"/>
        <v>3692000</v>
      </c>
      <c r="J44" s="77"/>
      <c r="K44" s="794">
        <f t="shared" si="1"/>
        <v>0.95118211106754103</v>
      </c>
      <c r="L44" s="10"/>
      <c r="M44" s="432">
        <f>2393576.41+1487909.54</f>
        <v>3881485.95</v>
      </c>
      <c r="O44" s="10">
        <f t="shared" si="2"/>
        <v>776.29719</v>
      </c>
      <c r="P44" s="860">
        <f t="shared" si="3"/>
        <v>-4.8817888932458975E-2</v>
      </c>
      <c r="R44" s="10">
        <f t="shared" si="4"/>
        <v>-189485.95000000019</v>
      </c>
      <c r="S44" s="151">
        <f t="shared" si="5"/>
        <v>-5.1323388407367332E-2</v>
      </c>
      <c r="T44" s="126">
        <f t="shared" si="6"/>
        <v>29</v>
      </c>
    </row>
    <row r="45" spans="1:23" x14ac:dyDescent="0.25">
      <c r="A45" s="118"/>
      <c r="C45" s="482" t="s">
        <v>403</v>
      </c>
      <c r="D45" s="101">
        <v>23000</v>
      </c>
      <c r="E45" s="9">
        <f>_xll.BDP(C45&amp;" EQUITY",$E$3)</f>
        <v>134.26</v>
      </c>
      <c r="F45" s="112">
        <f>_xll.BDP(C45&amp;" EQUITY",$F$3)</f>
        <v>-4.34</v>
      </c>
      <c r="G45" s="127">
        <f>_xll.BDP(C45&amp;" EQUITY",$G$3)*0.01</f>
        <v>-3.1313130000000002E-2</v>
      </c>
      <c r="H45" s="126"/>
      <c r="I45" s="30">
        <f t="shared" si="0"/>
        <v>3087980</v>
      </c>
      <c r="J45" s="77"/>
      <c r="K45" s="794">
        <f t="shared" si="1"/>
        <v>0.80645328516227133</v>
      </c>
      <c r="M45" s="432">
        <f>2568604.06+1260483.2</f>
        <v>3829087.26</v>
      </c>
      <c r="O45" s="10">
        <f t="shared" si="2"/>
        <v>166.48205478260869</v>
      </c>
      <c r="P45" s="849">
        <f t="shared" si="3"/>
        <v>-0.19354671483772867</v>
      </c>
      <c r="R45" s="10">
        <f t="shared" si="4"/>
        <v>-741107.25999999978</v>
      </c>
      <c r="S45" s="151">
        <f t="shared" si="5"/>
        <v>-0.23999742873982338</v>
      </c>
      <c r="T45" s="126">
        <f t="shared" si="6"/>
        <v>36</v>
      </c>
    </row>
    <row r="46" spans="1:23" x14ac:dyDescent="0.25">
      <c r="C46" s="3"/>
      <c r="D46" s="101"/>
      <c r="E46" s="9"/>
      <c r="F46" s="112"/>
      <c r="G46" s="127"/>
      <c r="H46" s="126"/>
      <c r="I46" s="30"/>
      <c r="J46" s="77"/>
      <c r="K46" s="153"/>
      <c r="M46" s="77"/>
      <c r="O46" s="10"/>
      <c r="S46" s="28"/>
      <c r="T46" s="126"/>
    </row>
    <row r="47" spans="1:23" x14ac:dyDescent="0.25">
      <c r="C47" s="3"/>
      <c r="D47" s="29">
        <f>2000*740.59</f>
        <v>1481180</v>
      </c>
      <c r="E47" s="9"/>
      <c r="F47" s="9"/>
      <c r="H47" s="135"/>
      <c r="I47" s="28"/>
      <c r="M47" s="77"/>
      <c r="S47" s="28"/>
      <c r="T47" s="132"/>
    </row>
    <row r="48" spans="1:23" ht="15.75" x14ac:dyDescent="0.25">
      <c r="C48" s="31"/>
      <c r="D48" s="32"/>
      <c r="E48" s="33"/>
      <c r="F48" s="33"/>
      <c r="G48" s="34"/>
      <c r="H48" s="137"/>
      <c r="I48" s="140">
        <f>SUM(I6:I47)</f>
        <v>301561264.39999998</v>
      </c>
      <c r="J48" s="143"/>
      <c r="K48" s="144"/>
      <c r="L48" s="145"/>
      <c r="M48" s="141">
        <f>SUM(M6:M47)</f>
        <v>238968286.26000002</v>
      </c>
      <c r="N48" s="146"/>
      <c r="O48" s="144"/>
      <c r="P48" s="144"/>
      <c r="Q48" s="144"/>
      <c r="R48" s="141">
        <f>SUM(R6:R47)</f>
        <v>62592978.140000015</v>
      </c>
      <c r="S48" s="152">
        <f>+R48/I48</f>
        <v>0.20756305775722839</v>
      </c>
      <c r="T48" s="125"/>
    </row>
    <row r="49" spans="8:19" x14ac:dyDescent="0.25">
      <c r="I49" s="80" t="s">
        <v>96</v>
      </c>
      <c r="J49" s="133"/>
      <c r="M49" s="80" t="s">
        <v>97</v>
      </c>
      <c r="R49" s="80" t="s">
        <v>101</v>
      </c>
      <c r="S49" s="80" t="s">
        <v>104</v>
      </c>
    </row>
    <row r="50" spans="8:19" x14ac:dyDescent="0.25">
      <c r="I50" s="60"/>
      <c r="M50" s="77"/>
    </row>
    <row r="51" spans="8:19" x14ac:dyDescent="0.25">
      <c r="H51" s="64" t="s">
        <v>169</v>
      </c>
      <c r="I51" s="92"/>
    </row>
    <row r="52" spans="8:19" x14ac:dyDescent="0.25">
      <c r="H52" s="97"/>
      <c r="I52" s="250">
        <f>+I51/I48</f>
        <v>0</v>
      </c>
    </row>
  </sheetData>
  <sortState xmlns:xlrd2="http://schemas.microsoft.com/office/spreadsheetml/2017/richdata2" ref="C6:T46">
    <sortCondition descending="1" ref="I6:I46"/>
  </sortState>
  <mergeCells count="2">
    <mergeCell ref="A1:F2"/>
    <mergeCell ref="A7:B7"/>
  </mergeCells>
  <conditionalFormatting sqref="P6:P45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204" verticalDpi="1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876A-1938-4D23-A742-9E78DA083D46}">
  <sheetPr codeName="Sheet14"/>
  <dimension ref="A1:BH251"/>
  <sheetViews>
    <sheetView zoomScale="80" zoomScaleNormal="80" workbookViewId="0">
      <selection activeCell="T36" sqref="T36"/>
    </sheetView>
  </sheetViews>
  <sheetFormatPr defaultRowHeight="15" x14ac:dyDescent="0.25"/>
  <cols>
    <col min="2" max="2" width="10.5703125" customWidth="1"/>
    <col min="5" max="5" width="10.28515625" customWidth="1"/>
    <col min="7" max="7" width="10.5703125" bestFit="1" customWidth="1"/>
    <col min="8" max="8" width="17.28515625" customWidth="1"/>
    <col min="9" max="9" width="18.140625" customWidth="1"/>
    <col min="10" max="10" width="13.42578125" customWidth="1"/>
    <col min="11" max="11" width="13.140625" style="47" customWidth="1"/>
    <col min="12" max="12" width="13.28515625" customWidth="1"/>
    <col min="13" max="13" width="9" customWidth="1"/>
    <col min="14" max="14" width="23.85546875" customWidth="1"/>
    <col min="15" max="15" width="5.5703125" customWidth="1"/>
    <col min="16" max="17" width="12.5703125" customWidth="1"/>
    <col min="18" max="18" width="9.5703125" customWidth="1"/>
    <col min="19" max="19" width="5.5703125" customWidth="1"/>
    <col min="20" max="20" width="13.5703125" customWidth="1"/>
    <col min="21" max="21" width="12.5703125" customWidth="1"/>
    <col min="22" max="22" width="6.28515625" customWidth="1"/>
    <col min="23" max="23" width="4.7109375" customWidth="1"/>
    <col min="24" max="24" width="16.42578125" bestFit="1" customWidth="1"/>
    <col min="25" max="25" width="13.85546875" bestFit="1" customWidth="1"/>
    <col min="26" max="26" width="7.28515625" bestFit="1" customWidth="1"/>
    <col min="27" max="27" width="8.42578125" customWidth="1"/>
    <col min="28" max="28" width="14.28515625" customWidth="1"/>
    <col min="29" max="29" width="13.42578125" customWidth="1"/>
    <col min="30" max="30" width="11.5703125" customWidth="1"/>
    <col min="31" max="32" width="11.28515625" customWidth="1"/>
    <col min="33" max="33" width="8.140625" customWidth="1"/>
    <col min="34" max="34" width="13.140625" customWidth="1"/>
    <col min="35" max="35" width="12.5703125" customWidth="1"/>
    <col min="37" max="37" width="11.28515625" customWidth="1"/>
    <col min="38" max="38" width="4.85546875" customWidth="1"/>
    <col min="39" max="39" width="17.140625" customWidth="1"/>
    <col min="40" max="40" width="13.7109375" customWidth="1"/>
    <col min="42" max="42" width="10.5703125" customWidth="1"/>
    <col min="43" max="43" width="5.85546875" customWidth="1"/>
    <col min="44" max="44" width="17.140625" customWidth="1"/>
    <col min="45" max="45" width="14.42578125" customWidth="1"/>
    <col min="46" max="46" width="11.5703125" customWidth="1"/>
    <col min="48" max="48" width="6.85546875" customWidth="1"/>
    <col min="49" max="49" width="15" customWidth="1"/>
    <col min="50" max="50" width="15.42578125" customWidth="1"/>
    <col min="54" max="54" width="9.140625" style="22"/>
    <col min="55" max="55" width="8.42578125" customWidth="1"/>
    <col min="56" max="56" width="9.140625" style="96"/>
    <col min="57" max="58" width="8.7109375" customWidth="1"/>
    <col min="59" max="59" width="10.140625" bestFit="1" customWidth="1"/>
    <col min="65" max="65" width="16.28515625" bestFit="1" customWidth="1"/>
  </cols>
  <sheetData>
    <row r="1" spans="1:56" ht="35.25" customHeight="1" thickBot="1" x14ac:dyDescent="0.3">
      <c r="A1" s="926" t="s">
        <v>241</v>
      </c>
      <c r="B1" s="927"/>
      <c r="C1" s="927"/>
      <c r="D1" s="927"/>
      <c r="E1" s="928"/>
      <c r="F1" s="913">
        <v>2023</v>
      </c>
      <c r="G1" s="914"/>
      <c r="H1" s="172" t="s">
        <v>77</v>
      </c>
      <c r="I1" s="172" t="s">
        <v>87</v>
      </c>
      <c r="J1" s="172" t="s">
        <v>88</v>
      </c>
      <c r="L1" s="47"/>
      <c r="M1" s="47"/>
      <c r="N1" s="110"/>
      <c r="O1" s="47"/>
      <c r="P1" s="47"/>
      <c r="Q1" s="47"/>
      <c r="R1" s="47"/>
      <c r="S1" s="47"/>
      <c r="T1" s="47"/>
      <c r="U1" s="47"/>
      <c r="V1" s="47"/>
      <c r="W1" s="47"/>
      <c r="X1" s="121" t="s">
        <v>81</v>
      </c>
      <c r="Y1" s="121" t="s">
        <v>80</v>
      </c>
      <c r="Z1" s="47"/>
      <c r="AA1" s="47"/>
      <c r="AB1" s="47"/>
      <c r="BB1"/>
      <c r="BD1"/>
    </row>
    <row r="2" spans="1:56" ht="21.75" thickBot="1" x14ac:dyDescent="0.3">
      <c r="A2" s="47"/>
      <c r="B2" s="68"/>
      <c r="C2" s="47"/>
      <c r="D2" s="47"/>
      <c r="E2" s="47"/>
      <c r="F2" s="516">
        <v>38</v>
      </c>
      <c r="G2" s="195"/>
      <c r="H2" s="72"/>
      <c r="I2" s="72"/>
      <c r="J2" s="73"/>
      <c r="K2" s="156"/>
      <c r="L2" s="160" t="s">
        <v>113</v>
      </c>
      <c r="M2" s="189"/>
      <c r="N2" s="154" t="s">
        <v>0</v>
      </c>
      <c r="O2" s="755"/>
      <c r="P2" s="1">
        <v>44926</v>
      </c>
      <c r="Q2" s="49" t="s">
        <v>1</v>
      </c>
      <c r="R2" s="197" t="s">
        <v>58</v>
      </c>
      <c r="S2" s="189"/>
      <c r="T2" s="104">
        <v>44561</v>
      </c>
      <c r="U2" s="80" t="s">
        <v>544</v>
      </c>
      <c r="W2" s="47"/>
      <c r="X2" s="80" t="s">
        <v>83</v>
      </c>
      <c r="Y2" s="104" t="s">
        <v>82</v>
      </c>
      <c r="Z2" s="49"/>
      <c r="AA2" s="80" t="s">
        <v>57</v>
      </c>
      <c r="AB2" s="47"/>
      <c r="BB2"/>
      <c r="BD2"/>
    </row>
    <row r="3" spans="1:56" x14ac:dyDescent="0.25">
      <c r="B3" s="23" t="s">
        <v>65</v>
      </c>
      <c r="C3" s="69" t="s">
        <v>64</v>
      </c>
      <c r="D3" s="69" t="s">
        <v>63</v>
      </c>
      <c r="E3" s="70" t="s">
        <v>62</v>
      </c>
      <c r="F3" s="97"/>
      <c r="G3" s="52"/>
      <c r="H3" s="74" t="s">
        <v>2</v>
      </c>
      <c r="I3" s="115" t="s">
        <v>89</v>
      </c>
      <c r="J3" s="128" t="s">
        <v>90</v>
      </c>
      <c r="K3" s="2"/>
      <c r="L3" s="132"/>
      <c r="N3" s="51"/>
      <c r="O3" s="2"/>
      <c r="P3" s="2"/>
      <c r="R3" s="758"/>
      <c r="T3" s="2"/>
      <c r="U3" s="28"/>
      <c r="X3" s="2"/>
      <c r="AA3" s="28"/>
      <c r="AB3" s="47"/>
      <c r="BB3"/>
      <c r="BD3"/>
    </row>
    <row r="4" spans="1:56" x14ac:dyDescent="0.25">
      <c r="B4" s="17">
        <f t="shared" ref="B4:B41" si="0">+RANK(C4,$C$4:$C$42)</f>
        <v>5</v>
      </c>
      <c r="C4" s="24">
        <f t="shared" ref="C4:C41" si="1">+E4-D4</f>
        <v>2.764649101151891E-2</v>
      </c>
      <c r="D4" s="340">
        <v>3.3E-3</v>
      </c>
      <c r="E4" s="85">
        <f t="shared" ref="E4:E22" si="2">+N4/$N$44</f>
        <v>3.094649101151891E-2</v>
      </c>
      <c r="F4" s="3" t="s">
        <v>223</v>
      </c>
      <c r="G4" s="101">
        <v>8000</v>
      </c>
      <c r="H4" s="173">
        <v>1116.25</v>
      </c>
      <c r="I4" s="111">
        <f>_xll.BDP(F4&amp;" EQUITY",$I$1)</f>
        <v>-12.24</v>
      </c>
      <c r="J4" s="129">
        <f>_xll.BDP(F4&amp;" EQUITY",$J$1)*0.01</f>
        <v>-7.6874279999999996E-3</v>
      </c>
      <c r="K4" s="157">
        <f t="shared" ref="K4:K41" si="3">+RANK(J4,$J$4:$J$42)</f>
        <v>22</v>
      </c>
      <c r="L4" s="161">
        <f t="shared" ref="L4:L41" si="4">+I4*G4</f>
        <v>-97920</v>
      </c>
      <c r="M4" s="99"/>
      <c r="N4" s="62">
        <f t="shared" ref="N4:N41" si="5">+H4*G4</f>
        <v>8930000</v>
      </c>
      <c r="O4" s="36"/>
      <c r="P4" s="173">
        <v>559.13</v>
      </c>
      <c r="Q4" s="37">
        <f t="shared" ref="Q4:Q41" si="6">+H4/P4-1</f>
        <v>0.99640512939745673</v>
      </c>
      <c r="R4" s="758" t="s">
        <v>61</v>
      </c>
      <c r="S4" s="99"/>
      <c r="T4" s="173">
        <v>559.13</v>
      </c>
      <c r="U4" s="591">
        <f t="shared" ref="U4:U41" si="7">+H4/T4-1</f>
        <v>0.99640512939745673</v>
      </c>
      <c r="W4" s="309"/>
      <c r="X4" s="105" t="str">
        <f>_xll.BDP(F4&amp;" EQUITY",$X$1)</f>
        <v>6/18/2024</v>
      </c>
      <c r="Y4" s="84">
        <f>_xll.BDP(F4&amp;" EQUITY",$Y$1)</f>
        <v>1851.6199951171875</v>
      </c>
      <c r="Z4" s="37">
        <f t="shared" ref="Z4:Z41" si="8">+H4/Y4-1</f>
        <v>-0.3971495215305485</v>
      </c>
      <c r="AA4" s="106">
        <f t="shared" ref="AA4:AA41" si="9">+RANK(Z4,$Z$4:$Z$42)</f>
        <v>37</v>
      </c>
      <c r="AB4" s="47"/>
      <c r="BB4"/>
      <c r="BD4"/>
    </row>
    <row r="5" spans="1:56" x14ac:dyDescent="0.25">
      <c r="B5" s="17">
        <f t="shared" si="0"/>
        <v>33</v>
      </c>
      <c r="C5" s="24">
        <f t="shared" si="1"/>
        <v>5.8422322756771089E-3</v>
      </c>
      <c r="D5" s="340">
        <v>2.3999999999999998E-3</v>
      </c>
      <c r="E5" s="85">
        <f t="shared" si="2"/>
        <v>8.2422322756771083E-3</v>
      </c>
      <c r="F5" s="3" t="s">
        <v>378</v>
      </c>
      <c r="G5" s="101">
        <v>20000</v>
      </c>
      <c r="H5" s="173">
        <v>118.92</v>
      </c>
      <c r="I5" s="112">
        <f>_xll.BDP(F5&amp;" EQUITY",$I$1)</f>
        <v>-0.39</v>
      </c>
      <c r="J5" s="127">
        <f>_xll.BDP(F5&amp;" EQUITY",$J$1)*0.01</f>
        <v>-2.913709E-3</v>
      </c>
      <c r="K5" s="157">
        <f t="shared" si="3"/>
        <v>11</v>
      </c>
      <c r="L5" s="161">
        <f t="shared" si="4"/>
        <v>-7800</v>
      </c>
      <c r="M5" s="99"/>
      <c r="N5" s="62">
        <f t="shared" si="5"/>
        <v>2378400</v>
      </c>
      <c r="O5" s="36"/>
      <c r="P5" s="173">
        <v>68.44</v>
      </c>
      <c r="Q5" s="37">
        <f t="shared" si="6"/>
        <v>0.73758036236119229</v>
      </c>
      <c r="R5" s="758" t="s">
        <v>61</v>
      </c>
      <c r="S5" s="99"/>
      <c r="T5" s="173">
        <v>68.44</v>
      </c>
      <c r="U5" s="591">
        <f t="shared" si="7"/>
        <v>0.73758036236119229</v>
      </c>
      <c r="W5" s="309"/>
      <c r="X5" s="105" t="str">
        <f>_xll.BDP(F5&amp;" EQUITY",$X$1)</f>
        <v>5/16/2024</v>
      </c>
      <c r="Y5" s="84">
        <f>_xll.BDP(F5&amp;" EQUITY",$Y$1)</f>
        <v>150.12</v>
      </c>
      <c r="Z5" s="37">
        <f t="shared" si="8"/>
        <v>-0.20783373301358909</v>
      </c>
      <c r="AA5" s="39">
        <f t="shared" si="9"/>
        <v>32</v>
      </c>
      <c r="AB5" s="47"/>
      <c r="BB5"/>
      <c r="BD5"/>
    </row>
    <row r="6" spans="1:56" x14ac:dyDescent="0.25">
      <c r="B6" s="17">
        <f t="shared" si="0"/>
        <v>18</v>
      </c>
      <c r="C6" s="24">
        <f t="shared" si="1"/>
        <v>1.5672334896424538E-2</v>
      </c>
      <c r="D6" s="340">
        <v>2.3999999999999998E-3</v>
      </c>
      <c r="E6" s="85">
        <f t="shared" si="2"/>
        <v>1.8072334896424538E-2</v>
      </c>
      <c r="F6" s="3" t="s">
        <v>377</v>
      </c>
      <c r="G6" s="101">
        <v>350000</v>
      </c>
      <c r="H6" s="173">
        <v>14.9</v>
      </c>
      <c r="I6" s="112">
        <f>_xll.BDP(F6&amp;" EQUITY",$I$1)</f>
        <v>0.01</v>
      </c>
      <c r="J6" s="127">
        <f>_xll.BDP(F6&amp;" EQUITY",$J$1)*0.01</f>
        <v>5.6625139999999996E-4</v>
      </c>
      <c r="K6" s="157">
        <f t="shared" si="3"/>
        <v>6</v>
      </c>
      <c r="L6" s="161">
        <f t="shared" si="4"/>
        <v>3500</v>
      </c>
      <c r="M6" s="99"/>
      <c r="N6" s="62">
        <f t="shared" si="5"/>
        <v>5215000</v>
      </c>
      <c r="O6" s="36"/>
      <c r="P6" s="173">
        <v>10.6</v>
      </c>
      <c r="Q6" s="37">
        <f t="shared" si="6"/>
        <v>0.40566037735849059</v>
      </c>
      <c r="R6" s="758" t="s">
        <v>61</v>
      </c>
      <c r="S6" s="99"/>
      <c r="T6" s="173">
        <v>10.6</v>
      </c>
      <c r="U6" s="591">
        <f t="shared" si="7"/>
        <v>0.40566037735849059</v>
      </c>
      <c r="W6" s="309"/>
      <c r="X6" s="105" t="str">
        <f>_xll.BDP(F6&amp;" EQUITY",$X$1)</f>
        <v>4/3/2024</v>
      </c>
      <c r="Y6" s="84">
        <f>_xll.BDP(F6&amp;" EQUITY",$Y$1)</f>
        <v>19.87</v>
      </c>
      <c r="Z6" s="37">
        <f t="shared" si="8"/>
        <v>-0.25012581781580279</v>
      </c>
      <c r="AA6" s="39">
        <f t="shared" si="9"/>
        <v>35</v>
      </c>
      <c r="AB6" s="47"/>
      <c r="BB6"/>
      <c r="BD6"/>
    </row>
    <row r="7" spans="1:56" x14ac:dyDescent="0.25">
      <c r="B7" s="17">
        <f t="shared" si="0"/>
        <v>10</v>
      </c>
      <c r="C7" s="24">
        <f t="shared" si="1"/>
        <v>2.2149573323955632E-2</v>
      </c>
      <c r="D7" s="340">
        <v>2.0999999999999999E-3</v>
      </c>
      <c r="E7" s="85">
        <f t="shared" si="2"/>
        <v>2.4249573323955633E-2</v>
      </c>
      <c r="F7" s="3" t="s">
        <v>211</v>
      </c>
      <c r="G7" s="29">
        <v>92000</v>
      </c>
      <c r="H7" s="173">
        <v>76.06</v>
      </c>
      <c r="I7" s="112">
        <f>_xll.BDP(F7&amp;" EQUITY",$I$1)</f>
        <v>-0.48</v>
      </c>
      <c r="J7" s="127">
        <f>_xll.BDP(F7&amp;" EQUITY",$J$1)*0.01</f>
        <v>-9.1585580000000007E-3</v>
      </c>
      <c r="K7" s="157">
        <f t="shared" si="3"/>
        <v>27</v>
      </c>
      <c r="L7" s="161">
        <f t="shared" si="4"/>
        <v>-44160</v>
      </c>
      <c r="M7" s="99"/>
      <c r="N7" s="62">
        <f t="shared" si="5"/>
        <v>6997520</v>
      </c>
      <c r="O7" s="36"/>
      <c r="P7" s="173">
        <v>57.08</v>
      </c>
      <c r="Q7" s="37">
        <f t="shared" si="6"/>
        <v>0.33251576734407862</v>
      </c>
      <c r="R7" s="758" t="s">
        <v>61</v>
      </c>
      <c r="S7" s="10"/>
      <c r="T7" s="173">
        <v>57.08</v>
      </c>
      <c r="U7" s="591">
        <f t="shared" si="7"/>
        <v>0.33251576734407862</v>
      </c>
      <c r="W7" s="309"/>
      <c r="X7" s="105" t="str">
        <f>_xll.BDP(F7&amp;" EQUITY",$X$1)</f>
        <v>2/29/2024</v>
      </c>
      <c r="Y7" s="84">
        <f>_xll.BDP(F7&amp;" EQUITY",$Y$1)</f>
        <v>86</v>
      </c>
      <c r="Z7" s="37">
        <f t="shared" si="8"/>
        <v>-0.11558139534883716</v>
      </c>
      <c r="AA7" s="106">
        <f t="shared" si="9"/>
        <v>18</v>
      </c>
      <c r="AB7" s="47"/>
      <c r="BB7"/>
      <c r="BD7"/>
    </row>
    <row r="8" spans="1:56" x14ac:dyDescent="0.25">
      <c r="B8" s="17">
        <f t="shared" si="0"/>
        <v>31</v>
      </c>
      <c r="C8" s="24">
        <f t="shared" si="1"/>
        <v>8.4876930746982503E-3</v>
      </c>
      <c r="D8" s="340">
        <v>4.3E-3</v>
      </c>
      <c r="E8" s="85">
        <f t="shared" si="2"/>
        <v>1.278769307469825E-2</v>
      </c>
      <c r="F8" s="3" t="s">
        <v>531</v>
      </c>
      <c r="G8" s="101">
        <v>35000</v>
      </c>
      <c r="H8" s="173">
        <v>105.43</v>
      </c>
      <c r="I8" s="112">
        <f>_xll.BDP(F8&amp;" EQUITY",$I$1)</f>
        <v>-1.3774</v>
      </c>
      <c r="J8" s="127">
        <f>_xll.BDP(F8&amp;" EQUITY",$J$1)*0.01</f>
        <v>-9.8463079999999998E-3</v>
      </c>
      <c r="K8" s="157">
        <f t="shared" si="3"/>
        <v>28</v>
      </c>
      <c r="L8" s="161">
        <f t="shared" si="4"/>
        <v>-48209</v>
      </c>
      <c r="M8" s="99"/>
      <c r="N8" s="62">
        <f t="shared" si="5"/>
        <v>3690050.0000000005</v>
      </c>
      <c r="O8" s="36"/>
      <c r="P8" s="173">
        <v>81.739999999999995</v>
      </c>
      <c r="Q8" s="37">
        <f t="shared" si="6"/>
        <v>0.28982138487888442</v>
      </c>
      <c r="R8" s="758" t="s">
        <v>61</v>
      </c>
      <c r="S8" s="99"/>
      <c r="T8" s="173">
        <v>81.739999999999995</v>
      </c>
      <c r="U8" s="591">
        <f t="shared" si="7"/>
        <v>0.28982138487888442</v>
      </c>
      <c r="W8" s="309"/>
      <c r="X8" s="105" t="str">
        <f>_xll.BDP(F8&amp;" EQUITY",$X$1)</f>
        <v>6/20/2024</v>
      </c>
      <c r="Y8" s="84">
        <f>_xll.BDP(F8&amp;" EQUITY",$Y$1)</f>
        <v>145.32</v>
      </c>
      <c r="Z8" s="37">
        <f t="shared" si="8"/>
        <v>-0.27449766033581058</v>
      </c>
      <c r="AA8" s="39">
        <f t="shared" si="9"/>
        <v>36</v>
      </c>
      <c r="AB8" s="47"/>
      <c r="BB8"/>
      <c r="BD8"/>
    </row>
    <row r="9" spans="1:56" x14ac:dyDescent="0.25">
      <c r="B9" s="17">
        <f t="shared" si="0"/>
        <v>1</v>
      </c>
      <c r="C9" s="24">
        <f t="shared" si="1"/>
        <v>5.4542082118312463E-2</v>
      </c>
      <c r="D9" s="340">
        <v>1.03E-2</v>
      </c>
      <c r="E9" s="85">
        <f t="shared" si="2"/>
        <v>6.4842082118312466E-2</v>
      </c>
      <c r="F9" s="3" t="s">
        <v>15</v>
      </c>
      <c r="G9" s="29">
        <v>110000</v>
      </c>
      <c r="H9" s="173">
        <v>170.1</v>
      </c>
      <c r="I9" s="112">
        <f>_xll.BDP(F9&amp;" EQUITY",$I$1)</f>
        <v>0.42009999999999997</v>
      </c>
      <c r="J9" s="127">
        <f>_xll.BDP(F9&amp;" EQUITY",$J$1)*0.01</f>
        <v>2.112329E-3</v>
      </c>
      <c r="K9" s="157">
        <f t="shared" si="3"/>
        <v>5</v>
      </c>
      <c r="L9" s="161">
        <f t="shared" si="4"/>
        <v>46211</v>
      </c>
      <c r="M9" s="99"/>
      <c r="N9" s="62">
        <f t="shared" si="5"/>
        <v>18711000</v>
      </c>
      <c r="O9" s="36"/>
      <c r="P9" s="173">
        <v>134.1</v>
      </c>
      <c r="Q9" s="37">
        <f t="shared" si="6"/>
        <v>0.26845637583892623</v>
      </c>
      <c r="R9" s="758" t="s">
        <v>61</v>
      </c>
      <c r="S9" s="99"/>
      <c r="T9" s="173">
        <v>134.1</v>
      </c>
      <c r="U9" s="591">
        <f t="shared" si="7"/>
        <v>0.26845637583892623</v>
      </c>
      <c r="W9" s="309"/>
      <c r="X9" s="105" t="str">
        <f>_xll.BDP(F9&amp;" EQUITY",$X$1)</f>
        <v>5/20/2024</v>
      </c>
      <c r="Y9" s="84">
        <f>_xll.BDP(F9&amp;" EQUITY",$Y$1)</f>
        <v>205.88</v>
      </c>
      <c r="Z9" s="37">
        <f t="shared" si="8"/>
        <v>-0.17379055760637263</v>
      </c>
      <c r="AA9" s="106">
        <f t="shared" si="9"/>
        <v>29</v>
      </c>
      <c r="AB9" s="47"/>
      <c r="BB9"/>
      <c r="BD9"/>
    </row>
    <row r="10" spans="1:56" x14ac:dyDescent="0.25">
      <c r="B10" s="17">
        <f t="shared" si="0"/>
        <v>6</v>
      </c>
      <c r="C10" s="24">
        <f t="shared" si="1"/>
        <v>2.6712617212563752E-2</v>
      </c>
      <c r="D10" s="340">
        <v>1.4E-3</v>
      </c>
      <c r="E10" s="85">
        <f t="shared" si="2"/>
        <v>2.8112617212563751E-2</v>
      </c>
      <c r="F10" s="3" t="s">
        <v>34</v>
      </c>
      <c r="G10" s="101">
        <v>185000</v>
      </c>
      <c r="H10" s="173">
        <v>43.85</v>
      </c>
      <c r="I10" s="112">
        <f>_xll.BDP(F10&amp;" EQUITY",$I$1)</f>
        <v>-0.53</v>
      </c>
      <c r="J10" s="127">
        <f>_xll.BDP(F10&amp;" EQUITY",$J$1)*0.01</f>
        <v>-1.3773390000000002E-2</v>
      </c>
      <c r="K10" s="157">
        <f t="shared" si="3"/>
        <v>33</v>
      </c>
      <c r="L10" s="161">
        <f t="shared" si="4"/>
        <v>-98050</v>
      </c>
      <c r="M10" s="99"/>
      <c r="N10" s="62">
        <f t="shared" si="5"/>
        <v>8112250</v>
      </c>
      <c r="O10" s="36"/>
      <c r="P10" s="173">
        <v>34.97</v>
      </c>
      <c r="Q10" s="37">
        <f t="shared" si="6"/>
        <v>0.25393194166428379</v>
      </c>
      <c r="R10" s="758" t="s">
        <v>61</v>
      </c>
      <c r="S10" s="99"/>
      <c r="T10" s="173">
        <v>34.97</v>
      </c>
      <c r="U10" s="591">
        <f t="shared" si="7"/>
        <v>0.25393194166428379</v>
      </c>
      <c r="W10" s="309"/>
      <c r="X10" s="105" t="str">
        <f>_xll.BDP(F10&amp;" EQUITY",$X$1)</f>
        <v>8/16/2023</v>
      </c>
      <c r="Y10" s="84">
        <f>_xll.BDP(F10&amp;" EQUITY",$Y$1)</f>
        <v>47.454999999999998</v>
      </c>
      <c r="Z10" s="37">
        <f t="shared" si="8"/>
        <v>-7.5966705299757575E-2</v>
      </c>
      <c r="AA10" s="39">
        <f t="shared" si="9"/>
        <v>9</v>
      </c>
      <c r="AB10" s="47"/>
      <c r="BB10"/>
      <c r="BD10"/>
    </row>
    <row r="11" spans="1:56" x14ac:dyDescent="0.25">
      <c r="B11" s="17">
        <f t="shared" si="0"/>
        <v>28</v>
      </c>
      <c r="C11" s="24">
        <f t="shared" si="1"/>
        <v>9.8213200672437797E-3</v>
      </c>
      <c r="D11" s="340">
        <v>5.4999999999999997E-3</v>
      </c>
      <c r="E11" s="85">
        <f t="shared" si="2"/>
        <v>1.5321320067243779E-2</v>
      </c>
      <c r="F11" s="3" t="s">
        <v>230</v>
      </c>
      <c r="G11" s="101">
        <v>18000</v>
      </c>
      <c r="H11" s="173">
        <v>245.62</v>
      </c>
      <c r="I11" s="112">
        <f>_xll.BDP(F11&amp;" EQUITY",$I$1)</f>
        <v>-4.3600000000000003</v>
      </c>
      <c r="J11" s="127">
        <f>_xll.BDP(F11&amp;" EQUITY",$J$1)*0.01</f>
        <v>-1.926135E-2</v>
      </c>
      <c r="K11" s="157">
        <f t="shared" si="3"/>
        <v>36</v>
      </c>
      <c r="L11" s="161">
        <f t="shared" si="4"/>
        <v>-78480</v>
      </c>
      <c r="M11" s="99"/>
      <c r="N11" s="62">
        <f t="shared" si="5"/>
        <v>4421160</v>
      </c>
      <c r="O11" s="77"/>
      <c r="P11" s="173">
        <v>207.07</v>
      </c>
      <c r="Q11" s="37">
        <f t="shared" si="6"/>
        <v>0.18616892838170673</v>
      </c>
      <c r="R11" s="758" t="s">
        <v>61</v>
      </c>
      <c r="S11" s="99"/>
      <c r="T11" s="173">
        <v>207.07</v>
      </c>
      <c r="U11" s="591">
        <f t="shared" si="7"/>
        <v>0.18616892838170673</v>
      </c>
      <c r="W11" s="309"/>
      <c r="X11" s="105" t="str">
        <f>_xll.BDP(F11&amp;" EQUITY",$X$1)</f>
        <v>2/26/2024</v>
      </c>
      <c r="Y11" s="84">
        <f>_xll.BDP(F11&amp;" EQUITY",$Y$1)</f>
        <v>258.66000000000003</v>
      </c>
      <c r="Z11" s="37">
        <f t="shared" si="8"/>
        <v>-5.041367045542422E-2</v>
      </c>
      <c r="AA11" s="40">
        <f t="shared" si="9"/>
        <v>4</v>
      </c>
      <c r="AB11" s="47"/>
      <c r="BB11"/>
      <c r="BD11"/>
    </row>
    <row r="12" spans="1:56" x14ac:dyDescent="0.25">
      <c r="B12" s="17">
        <f t="shared" si="0"/>
        <v>24</v>
      </c>
      <c r="C12" s="24">
        <f t="shared" si="1"/>
        <v>1.2168068736197253E-2</v>
      </c>
      <c r="D12" s="340">
        <v>4.0000000000000001E-3</v>
      </c>
      <c r="E12" s="85">
        <f t="shared" si="2"/>
        <v>1.6168068736197253E-2</v>
      </c>
      <c r="F12" s="3" t="s">
        <v>392</v>
      </c>
      <c r="G12" s="101">
        <v>35000</v>
      </c>
      <c r="H12" s="173">
        <v>133.30000000000001</v>
      </c>
      <c r="I12" s="112">
        <f>_xll.BDP(F12&amp;" EQUITY",$I$1)</f>
        <v>-1.5049999999999999</v>
      </c>
      <c r="J12" s="113">
        <f>_xll.BDP(F12&amp;" EQUITY",$J$1)*0.01</f>
        <v>-1.3482040000000001E-2</v>
      </c>
      <c r="K12" s="17">
        <f t="shared" si="3"/>
        <v>32</v>
      </c>
      <c r="L12" s="161">
        <f t="shared" si="4"/>
        <v>-52674.999999999993</v>
      </c>
      <c r="M12" s="99"/>
      <c r="N12" s="62">
        <f t="shared" si="5"/>
        <v>4665500</v>
      </c>
      <c r="O12" s="77"/>
      <c r="P12" s="173">
        <v>112.73</v>
      </c>
      <c r="Q12" s="37">
        <f t="shared" si="6"/>
        <v>0.18247139182116578</v>
      </c>
      <c r="R12" s="758" t="s">
        <v>61</v>
      </c>
      <c r="S12" s="99"/>
      <c r="T12" s="173">
        <v>112.73</v>
      </c>
      <c r="U12" s="591">
        <f t="shared" si="7"/>
        <v>0.18247139182116578</v>
      </c>
      <c r="W12" s="309"/>
      <c r="X12" s="105" t="str">
        <f>_xll.BDP(F12&amp;" EQUITY",$X$1)</f>
        <v>12/14/2023</v>
      </c>
      <c r="Y12" s="84">
        <f>_xll.BDP(F12&amp;" EQUITY",$Y$1)</f>
        <v>137.52000000000001</v>
      </c>
      <c r="Z12" s="37">
        <f t="shared" si="8"/>
        <v>-3.0686445607911561E-2</v>
      </c>
      <c r="AA12" s="39">
        <f t="shared" si="9"/>
        <v>2</v>
      </c>
      <c r="AB12" s="47"/>
      <c r="BB12"/>
      <c r="BD12"/>
    </row>
    <row r="13" spans="1:56" x14ac:dyDescent="0.25">
      <c r="B13" s="17">
        <f t="shared" si="0"/>
        <v>17</v>
      </c>
      <c r="C13" s="24">
        <f t="shared" si="1"/>
        <v>1.5686153316963249E-2</v>
      </c>
      <c r="D13" s="340">
        <v>2.5999999999999999E-3</v>
      </c>
      <c r="E13" s="85">
        <f t="shared" si="2"/>
        <v>1.828615331696325E-2</v>
      </c>
      <c r="F13" s="3" t="s">
        <v>222</v>
      </c>
      <c r="G13" s="804">
        <v>6500</v>
      </c>
      <c r="H13" s="9">
        <v>811.8</v>
      </c>
      <c r="I13" s="112">
        <f>_xll.BDP(F13&amp;" EQUITY",$I$1)</f>
        <v>-5.9649999999999999</v>
      </c>
      <c r="J13" s="113">
        <f>_xll.BDP(F13&amp;" EQUITY",$J$1)*0.01</f>
        <v>-7.4660490000000006E-3</v>
      </c>
      <c r="K13" s="17">
        <f t="shared" si="3"/>
        <v>21</v>
      </c>
      <c r="L13" s="161">
        <f t="shared" si="4"/>
        <v>-38772.5</v>
      </c>
      <c r="M13" s="99"/>
      <c r="N13" s="62">
        <f t="shared" si="5"/>
        <v>5276700</v>
      </c>
      <c r="O13" s="77"/>
      <c r="P13" s="173">
        <v>708.63</v>
      </c>
      <c r="Q13" s="37">
        <f t="shared" si="6"/>
        <v>0.14559078785826163</v>
      </c>
      <c r="R13" s="758" t="s">
        <v>61</v>
      </c>
      <c r="S13" s="99"/>
      <c r="T13" s="173">
        <v>708.63</v>
      </c>
      <c r="U13" s="591">
        <f t="shared" si="7"/>
        <v>0.14559078785826163</v>
      </c>
      <c r="W13" s="309"/>
      <c r="X13" s="105" t="str">
        <f>_xll.BDP(F13&amp;" EQUITY",$X$1)</f>
        <v>3/8/2024</v>
      </c>
      <c r="Y13" s="84">
        <f>_xll.BDP(F13&amp;" EQUITY",$Y$1)</f>
        <v>845</v>
      </c>
      <c r="Z13" s="37">
        <f t="shared" si="8"/>
        <v>-3.9289940828402425E-2</v>
      </c>
      <c r="AA13" s="39">
        <f t="shared" si="9"/>
        <v>3</v>
      </c>
      <c r="AB13" s="47"/>
      <c r="BB13"/>
      <c r="BD13"/>
    </row>
    <row r="14" spans="1:56" x14ac:dyDescent="0.25">
      <c r="B14" s="17">
        <f t="shared" si="0"/>
        <v>12</v>
      </c>
      <c r="C14" s="24">
        <f t="shared" si="1"/>
        <v>2.0350868501141154E-2</v>
      </c>
      <c r="D14" s="340">
        <v>4.0000000000000001E-3</v>
      </c>
      <c r="E14" s="85">
        <f t="shared" si="2"/>
        <v>2.4350868501141154E-2</v>
      </c>
      <c r="F14" s="3" t="s">
        <v>212</v>
      </c>
      <c r="G14" s="804">
        <v>135000</v>
      </c>
      <c r="H14" s="9">
        <v>52.05</v>
      </c>
      <c r="I14" s="112">
        <f>_xll.BDP(F14&amp;" EQUITY",$I$1)</f>
        <v>-0.46500000000000002</v>
      </c>
      <c r="J14" s="113">
        <f>_xll.BDP(F14&amp;" EQUITY",$J$1)*0.01</f>
        <v>-7.8177539999999997E-3</v>
      </c>
      <c r="K14" s="17">
        <f t="shared" si="3"/>
        <v>23</v>
      </c>
      <c r="L14" s="161">
        <f t="shared" si="4"/>
        <v>-62775</v>
      </c>
      <c r="M14" s="99"/>
      <c r="N14" s="62">
        <f t="shared" si="5"/>
        <v>7026750</v>
      </c>
      <c r="O14" s="77"/>
      <c r="P14" s="173">
        <v>45.52</v>
      </c>
      <c r="Q14" s="37">
        <f t="shared" si="6"/>
        <v>0.14345342706502628</v>
      </c>
      <c r="R14" s="758" t="s">
        <v>61</v>
      </c>
      <c r="S14" s="99"/>
      <c r="T14" s="173">
        <v>45.52</v>
      </c>
      <c r="U14" s="591">
        <f t="shared" si="7"/>
        <v>0.14345342706502628</v>
      </c>
      <c r="W14" s="309"/>
      <c r="X14" s="105" t="str">
        <f>_xll.BDP(F14&amp;" EQUITY",$X$1)</f>
        <v>6/10/2024</v>
      </c>
      <c r="Y14" s="84">
        <f>_xll.BDP(F14&amp;" EQUITY",$Y$1)</f>
        <v>60.865000000000002</v>
      </c>
      <c r="Z14" s="37">
        <f t="shared" si="8"/>
        <v>-0.14482871929680452</v>
      </c>
      <c r="AA14" s="39">
        <f t="shared" si="9"/>
        <v>26</v>
      </c>
      <c r="AB14" s="47"/>
      <c r="AC14" s="78" t="s">
        <v>213</v>
      </c>
      <c r="AD14" s="78" t="s">
        <v>213</v>
      </c>
      <c r="BB14"/>
      <c r="BD14"/>
    </row>
    <row r="15" spans="1:56" x14ac:dyDescent="0.25">
      <c r="B15" s="17">
        <f t="shared" si="0"/>
        <v>15</v>
      </c>
      <c r="C15" s="24">
        <f t="shared" si="1"/>
        <v>1.6891499134418328E-2</v>
      </c>
      <c r="D15" s="340">
        <v>4.0000000000000002E-4</v>
      </c>
      <c r="E15" s="85">
        <f t="shared" si="2"/>
        <v>1.7291499134418329E-2</v>
      </c>
      <c r="F15" s="3" t="s">
        <v>220</v>
      </c>
      <c r="G15" s="804">
        <v>97000</v>
      </c>
      <c r="H15" s="9">
        <v>51.44</v>
      </c>
      <c r="I15" s="112">
        <f>_xll.BDP(F15&amp;" EQUITY",$I$1)</f>
        <v>-0.02</v>
      </c>
      <c r="J15" s="113">
        <f>_xll.BDP(F15&amp;" EQUITY",$J$1)*0.01</f>
        <v>-3.2605150000000001E-4</v>
      </c>
      <c r="K15" s="17">
        <f t="shared" si="3"/>
        <v>7</v>
      </c>
      <c r="L15" s="161">
        <f t="shared" si="4"/>
        <v>-1940</v>
      </c>
      <c r="M15" s="99"/>
      <c r="N15" s="62">
        <f t="shared" si="5"/>
        <v>4989680</v>
      </c>
      <c r="O15" s="77"/>
      <c r="P15" s="173">
        <v>45.23</v>
      </c>
      <c r="Q15" s="37">
        <f t="shared" si="6"/>
        <v>0.13729825337165602</v>
      </c>
      <c r="R15" s="758" t="s">
        <v>61</v>
      </c>
      <c r="S15" s="99"/>
      <c r="T15" s="173">
        <v>45.23</v>
      </c>
      <c r="U15" s="591">
        <f t="shared" si="7"/>
        <v>0.13729825337165602</v>
      </c>
      <c r="W15" s="309"/>
      <c r="X15" s="105" t="str">
        <f>_xll.BDP(F15&amp;" EQUITY",$X$1)</f>
        <v>5/22/2024</v>
      </c>
      <c r="Y15" s="84">
        <f>_xll.BDP(F15&amp;" EQUITY",$Y$1)</f>
        <v>64.98</v>
      </c>
      <c r="Z15" s="37">
        <f t="shared" si="8"/>
        <v>-0.20837180670975697</v>
      </c>
      <c r="AA15" s="40">
        <f t="shared" si="9"/>
        <v>33</v>
      </c>
      <c r="AB15" s="47"/>
      <c r="AC15" s="78" t="s">
        <v>203</v>
      </c>
      <c r="AD15" s="78" t="s">
        <v>203</v>
      </c>
      <c r="BB15"/>
      <c r="BD15"/>
    </row>
    <row r="16" spans="1:56" x14ac:dyDescent="0.25">
      <c r="B16" s="17">
        <f t="shared" si="0"/>
        <v>4</v>
      </c>
      <c r="C16" s="24">
        <f t="shared" si="1"/>
        <v>4.1238102844532491E-2</v>
      </c>
      <c r="D16" s="340">
        <v>6.7999999999999996E-3</v>
      </c>
      <c r="E16" s="85">
        <f t="shared" si="2"/>
        <v>4.8038102844532492E-2</v>
      </c>
      <c r="F16" s="3" t="s">
        <v>13</v>
      </c>
      <c r="G16" s="101">
        <v>40000</v>
      </c>
      <c r="H16" s="173">
        <v>346.55</v>
      </c>
      <c r="I16" s="112">
        <f>_xll.BDP(F16&amp;" EQUITY",$I$1)</f>
        <v>-12.58</v>
      </c>
      <c r="J16" s="113">
        <f>_xll.BDP(F16&amp;" EQUITY",$J$1)*0.01</f>
        <v>-3.5852710000000003E-2</v>
      </c>
      <c r="K16" s="17">
        <f t="shared" si="3"/>
        <v>38</v>
      </c>
      <c r="L16" s="161">
        <f t="shared" si="4"/>
        <v>-503200</v>
      </c>
      <c r="M16" s="99"/>
      <c r="N16" s="62">
        <f t="shared" si="5"/>
        <v>13862000</v>
      </c>
      <c r="O16" s="36"/>
      <c r="P16" s="173">
        <v>315.86</v>
      </c>
      <c r="Q16" s="37">
        <f t="shared" si="6"/>
        <v>9.7163300196289493E-2</v>
      </c>
      <c r="R16" s="758" t="s">
        <v>61</v>
      </c>
      <c r="S16" s="99"/>
      <c r="T16" s="173">
        <v>315.86</v>
      </c>
      <c r="U16" s="591">
        <f t="shared" si="7"/>
        <v>9.7163300196289493E-2</v>
      </c>
      <c r="W16" s="309"/>
      <c r="X16" s="105" t="str">
        <f>_xll.BDP(F16&amp;" EQUITY",$X$1)</f>
        <v>3/21/2024</v>
      </c>
      <c r="Y16" s="84">
        <f>_xll.BDP(F16&amp;" EQUITY",$Y$1)</f>
        <v>396.87299999999999</v>
      </c>
      <c r="Z16" s="37">
        <f t="shared" si="8"/>
        <v>-0.12679874922204326</v>
      </c>
      <c r="AA16" s="39">
        <f t="shared" si="9"/>
        <v>20</v>
      </c>
      <c r="AB16" s="47"/>
      <c r="AC16" s="78" t="s">
        <v>216</v>
      </c>
      <c r="AD16" s="78" t="s">
        <v>216</v>
      </c>
      <c r="BB16"/>
      <c r="BD16"/>
    </row>
    <row r="17" spans="2:56" x14ac:dyDescent="0.25">
      <c r="B17" s="17">
        <f t="shared" si="0"/>
        <v>7</v>
      </c>
      <c r="C17" s="24">
        <f t="shared" si="1"/>
        <v>2.61878115942141E-2</v>
      </c>
      <c r="D17" s="340">
        <v>6.4999999999999997E-3</v>
      </c>
      <c r="E17" s="85">
        <f t="shared" si="2"/>
        <v>3.2687811594214099E-2</v>
      </c>
      <c r="F17" s="3" t="s">
        <v>201</v>
      </c>
      <c r="G17" s="101">
        <v>172000</v>
      </c>
      <c r="H17" s="173">
        <v>54.84</v>
      </c>
      <c r="I17" s="112">
        <f>_xll.BDP(F17&amp;" EQUITY",$I$1)</f>
        <v>-0.82</v>
      </c>
      <c r="J17" s="113">
        <f>_xll.BDP(F17&amp;" EQUITY",$J$1)*0.01</f>
        <v>-1.501282E-2</v>
      </c>
      <c r="K17" s="17">
        <f t="shared" si="3"/>
        <v>34</v>
      </c>
      <c r="L17" s="161">
        <f t="shared" si="4"/>
        <v>-141040</v>
      </c>
      <c r="M17" s="99"/>
      <c r="N17" s="62">
        <f t="shared" si="5"/>
        <v>9432480</v>
      </c>
      <c r="O17" s="36"/>
      <c r="P17" s="173">
        <v>50.39</v>
      </c>
      <c r="Q17" s="37">
        <f t="shared" si="6"/>
        <v>8.831117285175627E-2</v>
      </c>
      <c r="R17" s="758" t="s">
        <v>61</v>
      </c>
      <c r="S17" s="99"/>
      <c r="T17" s="173">
        <v>50.39</v>
      </c>
      <c r="U17" s="591">
        <f t="shared" si="7"/>
        <v>8.831117285175627E-2</v>
      </c>
      <c r="W17" s="309"/>
      <c r="X17" s="105" t="str">
        <f>_xll.BDP(F17&amp;" EQUITY",$X$1)</f>
        <v>4/4/2024</v>
      </c>
      <c r="Y17" s="84">
        <f>_xll.BDP(F17&amp;" EQUITY",$Y$1)</f>
        <v>60.69</v>
      </c>
      <c r="Z17" s="37">
        <f t="shared" si="8"/>
        <v>-9.6391497775580759E-2</v>
      </c>
      <c r="AA17" s="39">
        <f t="shared" si="9"/>
        <v>12</v>
      </c>
      <c r="AB17" s="119"/>
      <c r="AC17" s="78" t="s">
        <v>224</v>
      </c>
      <c r="AD17" s="78" t="s">
        <v>224</v>
      </c>
      <c r="BB17"/>
      <c r="BD17"/>
    </row>
    <row r="18" spans="2:56" x14ac:dyDescent="0.25">
      <c r="B18" s="17">
        <f t="shared" si="0"/>
        <v>16</v>
      </c>
      <c r="C18" s="24">
        <f t="shared" si="1"/>
        <v>1.6634103589299822E-2</v>
      </c>
      <c r="D18" s="340">
        <v>9.9000000000000008E-3</v>
      </c>
      <c r="E18" s="85">
        <f t="shared" si="2"/>
        <v>2.6534103589299824E-2</v>
      </c>
      <c r="F18" s="3" t="s">
        <v>215</v>
      </c>
      <c r="G18" s="101">
        <v>83000</v>
      </c>
      <c r="H18" s="173">
        <v>92.25</v>
      </c>
      <c r="I18" s="112">
        <f>_xll.BDP(F18&amp;" EQUITY",$I$1)</f>
        <v>0.57050000000000001</v>
      </c>
      <c r="J18" s="127">
        <f>_xll.BDP(F18&amp;" EQUITY",$J$1)*0.01</f>
        <v>5.8753860000000007E-3</v>
      </c>
      <c r="K18" s="157">
        <f t="shared" si="3"/>
        <v>3</v>
      </c>
      <c r="L18" s="161">
        <f t="shared" si="4"/>
        <v>47351.5</v>
      </c>
      <c r="M18" s="99"/>
      <c r="N18" s="62">
        <f t="shared" si="5"/>
        <v>7656750</v>
      </c>
      <c r="O18" s="36"/>
      <c r="P18" s="173">
        <v>85.02</v>
      </c>
      <c r="Q18" s="37">
        <f t="shared" si="6"/>
        <v>8.5038814396612539E-2</v>
      </c>
      <c r="R18" s="758" t="s">
        <v>61</v>
      </c>
      <c r="S18" s="99"/>
      <c r="T18" s="173">
        <v>85.02</v>
      </c>
      <c r="U18" s="591">
        <f t="shared" si="7"/>
        <v>8.5038814396612539E-2</v>
      </c>
      <c r="W18" s="309"/>
      <c r="X18" s="105" t="str">
        <f>_xll.BDP(F18&amp;" EQUITY",$X$1)</f>
        <v>5/21/2024</v>
      </c>
      <c r="Y18" s="84">
        <f>_xll.BDP(F18&amp;" EQUITY",$Y$1)</f>
        <v>103.25</v>
      </c>
      <c r="Z18" s="37">
        <f t="shared" si="8"/>
        <v>-0.10653753026634383</v>
      </c>
      <c r="AA18" s="39">
        <f t="shared" si="9"/>
        <v>16</v>
      </c>
      <c r="AB18" s="47"/>
      <c r="AC18" s="78" t="s">
        <v>228</v>
      </c>
      <c r="AD18" s="78" t="s">
        <v>228</v>
      </c>
      <c r="BB18"/>
      <c r="BD18"/>
    </row>
    <row r="19" spans="2:56" x14ac:dyDescent="0.25">
      <c r="B19" s="17">
        <f t="shared" si="0"/>
        <v>11</v>
      </c>
      <c r="C19" s="24">
        <f t="shared" si="1"/>
        <v>2.1161199203279992E-2</v>
      </c>
      <c r="D19" s="340">
        <v>5.1000000000000004E-3</v>
      </c>
      <c r="E19" s="85">
        <f t="shared" si="2"/>
        <v>2.6261199203279992E-2</v>
      </c>
      <c r="F19" s="3" t="s">
        <v>209</v>
      </c>
      <c r="G19" s="29">
        <v>150000</v>
      </c>
      <c r="H19" s="173">
        <v>50.52</v>
      </c>
      <c r="I19" s="112">
        <f>_xll.BDP(F19&amp;" EQUITY",$I$1)</f>
        <v>0.28499999999999998</v>
      </c>
      <c r="J19" s="127">
        <f>_xll.BDP(F19&amp;" EQUITY",$J$1)*0.01</f>
        <v>6.0279190000000005E-3</v>
      </c>
      <c r="K19" s="157">
        <f t="shared" si="3"/>
        <v>2</v>
      </c>
      <c r="L19" s="161">
        <f t="shared" si="4"/>
        <v>42749.999999999993</v>
      </c>
      <c r="M19" s="99"/>
      <c r="N19" s="62">
        <f t="shared" si="5"/>
        <v>7578000.0000000009</v>
      </c>
      <c r="O19" s="36"/>
      <c r="P19" s="173">
        <v>47.64</v>
      </c>
      <c r="Q19" s="37">
        <f t="shared" si="6"/>
        <v>6.0453400503778454E-2</v>
      </c>
      <c r="R19" s="758" t="s">
        <v>61</v>
      </c>
      <c r="S19" s="99"/>
      <c r="T19" s="173">
        <v>47.64</v>
      </c>
      <c r="U19" s="591">
        <f t="shared" si="7"/>
        <v>6.0453400503778454E-2</v>
      </c>
      <c r="W19" s="309"/>
      <c r="X19" s="105" t="str">
        <f>_xll.BDP(F19&amp;" EQUITY",$X$1)</f>
        <v>9/1/2023</v>
      </c>
      <c r="Y19" s="84">
        <f>_xll.BDP(F19&amp;" EQUITY",$Y$1)</f>
        <v>58.185000000000002</v>
      </c>
      <c r="Z19" s="37">
        <f t="shared" si="8"/>
        <v>-0.13173498324310384</v>
      </c>
      <c r="AA19" s="106">
        <f t="shared" si="9"/>
        <v>22</v>
      </c>
      <c r="AB19" s="47"/>
      <c r="AC19" s="78" t="s">
        <v>231</v>
      </c>
      <c r="AD19" s="78" t="s">
        <v>231</v>
      </c>
      <c r="BB19"/>
      <c r="BD19"/>
    </row>
    <row r="20" spans="2:56" x14ac:dyDescent="0.25">
      <c r="B20" s="17">
        <f t="shared" si="0"/>
        <v>3</v>
      </c>
      <c r="C20" s="24">
        <f t="shared" si="1"/>
        <v>4.303618654666766E-2</v>
      </c>
      <c r="D20" s="340">
        <v>2.3E-3</v>
      </c>
      <c r="E20" s="85">
        <f t="shared" si="2"/>
        <v>4.5336186546667656E-2</v>
      </c>
      <c r="F20" s="3" t="s">
        <v>40</v>
      </c>
      <c r="G20" s="101">
        <v>60600</v>
      </c>
      <c r="H20" s="173">
        <v>215.88</v>
      </c>
      <c r="I20" s="112">
        <f>_xll.BDP(F20&amp;" EQUITY",$I$1)</f>
        <v>-2.59</v>
      </c>
      <c r="J20" s="127">
        <f>_xll.BDP(F20&amp;" EQUITY",$J$1)*0.01</f>
        <v>-1.3188040000000002E-2</v>
      </c>
      <c r="K20" s="157">
        <f t="shared" si="3"/>
        <v>31</v>
      </c>
      <c r="L20" s="161">
        <f t="shared" si="4"/>
        <v>-156954</v>
      </c>
      <c r="M20" s="99"/>
      <c r="N20" s="62">
        <f t="shared" si="5"/>
        <v>13082328</v>
      </c>
      <c r="O20" s="36"/>
      <c r="P20" s="173">
        <v>211.86</v>
      </c>
      <c r="Q20" s="37">
        <f t="shared" si="6"/>
        <v>1.8974794675729267E-2</v>
      </c>
      <c r="R20" s="758" t="s">
        <v>61</v>
      </c>
      <c r="S20" s="99"/>
      <c r="T20" s="173">
        <v>211.86</v>
      </c>
      <c r="U20" s="591">
        <f t="shared" si="7"/>
        <v>1.8974794675729267E-2</v>
      </c>
      <c r="W20" s="309"/>
      <c r="X20" s="105" t="str">
        <f>_xll.BDP(F20&amp;" EQUITY",$X$1)</f>
        <v>1/2/2024</v>
      </c>
      <c r="Y20" s="84">
        <f>_xll.BDP(F20&amp;" EQUITY",$Y$1)</f>
        <v>219.1</v>
      </c>
      <c r="Z20" s="37">
        <f t="shared" si="8"/>
        <v>-1.4696485623003186E-2</v>
      </c>
      <c r="AA20" s="39">
        <f t="shared" si="9"/>
        <v>1</v>
      </c>
      <c r="AB20" s="47"/>
      <c r="AC20" s="78" t="s">
        <v>40</v>
      </c>
      <c r="AD20" s="78" t="s">
        <v>40</v>
      </c>
      <c r="BB20"/>
      <c r="BD20"/>
    </row>
    <row r="21" spans="2:56" x14ac:dyDescent="0.25">
      <c r="B21" s="17">
        <f t="shared" si="0"/>
        <v>8</v>
      </c>
      <c r="C21" s="24">
        <f t="shared" si="1"/>
        <v>2.3404989504825058E-2</v>
      </c>
      <c r="D21" s="340">
        <v>1.5100000000000001E-2</v>
      </c>
      <c r="E21" s="85">
        <f t="shared" si="2"/>
        <v>3.850498950482506E-2</v>
      </c>
      <c r="F21" s="3" t="s">
        <v>11</v>
      </c>
      <c r="G21" s="101">
        <v>330000</v>
      </c>
      <c r="H21" s="173">
        <v>33.67</v>
      </c>
      <c r="I21" s="112">
        <f>_xll.BDP(F21&amp;" EQUITY",$I$1)</f>
        <v>-0.46500000000000002</v>
      </c>
      <c r="J21" s="127">
        <f>_xll.BDP(F21&amp;" EQUITY",$J$1)*0.01</f>
        <v>-1.161919E-2</v>
      </c>
      <c r="K21" s="157">
        <f t="shared" si="3"/>
        <v>29</v>
      </c>
      <c r="L21" s="161">
        <f t="shared" si="4"/>
        <v>-153450</v>
      </c>
      <c r="M21" s="99"/>
      <c r="N21" s="62">
        <f t="shared" si="5"/>
        <v>11111100</v>
      </c>
      <c r="O21" s="36"/>
      <c r="P21" s="173">
        <v>33.119999999999997</v>
      </c>
      <c r="Q21" s="37">
        <f t="shared" si="6"/>
        <v>1.6606280193236955E-2</v>
      </c>
      <c r="R21" s="758" t="s">
        <v>61</v>
      </c>
      <c r="S21" s="99"/>
      <c r="T21" s="173">
        <v>33.119999999999997</v>
      </c>
      <c r="U21" s="591">
        <f t="shared" si="7"/>
        <v>1.6606280193236955E-2</v>
      </c>
      <c r="W21" s="309"/>
      <c r="X21" s="105" t="str">
        <f>_xll.BDP(F21&amp;" EQUITY",$X$1)</f>
        <v>6/24/2024</v>
      </c>
      <c r="Y21" s="84">
        <f>_xll.BDP(F21&amp;" EQUITY",$Y$1)</f>
        <v>40.340000000000003</v>
      </c>
      <c r="Z21" s="37">
        <f t="shared" si="8"/>
        <v>-0.16534457114526524</v>
      </c>
      <c r="AA21" s="106">
        <f t="shared" si="9"/>
        <v>28</v>
      </c>
      <c r="AB21" s="47"/>
      <c r="AC21" s="78" t="s">
        <v>199</v>
      </c>
      <c r="AD21" s="78" t="s">
        <v>199</v>
      </c>
      <c r="BB21"/>
      <c r="BD21"/>
    </row>
    <row r="22" spans="2:56" x14ac:dyDescent="0.25">
      <c r="B22" s="17">
        <f t="shared" si="0"/>
        <v>37</v>
      </c>
      <c r="C22" s="24">
        <f t="shared" si="1"/>
        <v>-1.1403191701524814E-2</v>
      </c>
      <c r="D22" s="340">
        <f>0.0176+0.0157</f>
        <v>3.3299999999999996E-2</v>
      </c>
      <c r="E22" s="85">
        <f t="shared" si="2"/>
        <v>2.1896808298475182E-2</v>
      </c>
      <c r="F22" s="3" t="s">
        <v>133</v>
      </c>
      <c r="G22" s="29">
        <v>30000</v>
      </c>
      <c r="H22" s="173">
        <v>210.62</v>
      </c>
      <c r="I22" s="112">
        <f>_xll.BDP(F22&amp;" EQUITY",$I$1)</f>
        <v>-2.0299999999999998</v>
      </c>
      <c r="J22" s="127">
        <f>_xll.BDP(F22&amp;" EQUITY",$J$1)*0.01</f>
        <v>-9.002617000000001E-3</v>
      </c>
      <c r="K22" s="157">
        <f t="shared" si="3"/>
        <v>26</v>
      </c>
      <c r="L22" s="161">
        <f t="shared" si="4"/>
        <v>-60899.999999999993</v>
      </c>
      <c r="M22" s="99"/>
      <c r="N22" s="62">
        <f t="shared" si="5"/>
        <v>6318600</v>
      </c>
      <c r="O22" s="36"/>
      <c r="P22" s="173">
        <v>208.12</v>
      </c>
      <c r="Q22" s="37">
        <f t="shared" si="6"/>
        <v>1.2012300595810155E-2</v>
      </c>
      <c r="R22" s="758" t="s">
        <v>61</v>
      </c>
      <c r="S22" s="99"/>
      <c r="T22" s="173">
        <v>208.12</v>
      </c>
      <c r="U22" s="591">
        <f t="shared" si="7"/>
        <v>1.2012300595810155E-2</v>
      </c>
      <c r="W22" s="309"/>
      <c r="X22" s="105" t="str">
        <f>_xll.BDP(F22&amp;" EQUITY",$X$1)</f>
        <v>6/24/2024</v>
      </c>
      <c r="Y22" s="84">
        <f>_xll.BDP(F22&amp;" EQUITY",$Y$1)</f>
        <v>228.13</v>
      </c>
      <c r="Z22" s="37">
        <f t="shared" si="8"/>
        <v>-7.6754482093543075E-2</v>
      </c>
      <c r="AA22" s="107">
        <f t="shared" si="9"/>
        <v>10</v>
      </c>
      <c r="AB22" s="47"/>
      <c r="AC22" s="78"/>
      <c r="AD22" s="78"/>
      <c r="BB22"/>
      <c r="BD22"/>
    </row>
    <row r="23" spans="2:56" x14ac:dyDescent="0.25">
      <c r="B23" s="17">
        <f t="shared" si="0"/>
        <v>29</v>
      </c>
      <c r="C23" s="24">
        <f t="shared" si="1"/>
        <v>9.7000000000000003E-3</v>
      </c>
      <c r="D23" s="340">
        <v>3.0999999999999999E-3</v>
      </c>
      <c r="E23" s="85">
        <v>1.2800000000000001E-2</v>
      </c>
      <c r="F23" s="3" t="s">
        <v>403</v>
      </c>
      <c r="G23" s="101">
        <v>23000</v>
      </c>
      <c r="H23" s="173">
        <v>173.84</v>
      </c>
      <c r="I23" s="112">
        <f>_xll.BDP(F23&amp;" EQUITY",$I$1)</f>
        <v>-2.9649999999999999</v>
      </c>
      <c r="J23" s="127">
        <f>_xll.BDP(F23&amp;" EQUITY",$J$1)*0.01</f>
        <v>-2.1392500000000002E-2</v>
      </c>
      <c r="K23" s="157">
        <f t="shared" si="3"/>
        <v>37</v>
      </c>
      <c r="L23" s="161">
        <f t="shared" si="4"/>
        <v>-68195</v>
      </c>
      <c r="M23" s="99"/>
      <c r="N23" s="62">
        <f t="shared" si="5"/>
        <v>3998320</v>
      </c>
      <c r="O23" s="36"/>
      <c r="P23" s="173">
        <v>173.84</v>
      </c>
      <c r="Q23" s="37">
        <f t="shared" si="6"/>
        <v>0</v>
      </c>
      <c r="R23" s="758"/>
      <c r="S23" s="99"/>
      <c r="T23" s="173">
        <v>173.84</v>
      </c>
      <c r="U23" s="591">
        <f t="shared" si="7"/>
        <v>0</v>
      </c>
      <c r="W23" s="309"/>
      <c r="X23" s="105" t="str">
        <f>_xll.BDP(F23&amp;" EQUITY",$X$1)</f>
        <v>7/25/2023</v>
      </c>
      <c r="Y23" s="84">
        <f>_xll.BDP(F23&amp;" EQUITY",$Y$1)</f>
        <v>192.98</v>
      </c>
      <c r="Z23" s="37">
        <f t="shared" si="8"/>
        <v>-9.9181262306974771E-2</v>
      </c>
      <c r="AA23" s="106">
        <f t="shared" si="9"/>
        <v>14</v>
      </c>
      <c r="AB23" s="47"/>
      <c r="AC23" s="78"/>
      <c r="AD23" s="78"/>
      <c r="BB23"/>
      <c r="BD23"/>
    </row>
    <row r="24" spans="2:56" x14ac:dyDescent="0.25">
      <c r="B24" s="17">
        <f t="shared" si="0"/>
        <v>13</v>
      </c>
      <c r="C24" s="24">
        <f t="shared" si="1"/>
        <v>1.9947124384652161E-2</v>
      </c>
      <c r="D24" s="340">
        <v>8.3999999999999995E-3</v>
      </c>
      <c r="E24" s="25">
        <f>+N24/$N$44</f>
        <v>2.8347124384652159E-2</v>
      </c>
      <c r="F24" s="3" t="s">
        <v>203</v>
      </c>
      <c r="G24" s="29">
        <v>189000</v>
      </c>
      <c r="H24" s="173">
        <v>43.28</v>
      </c>
      <c r="I24" s="112">
        <f>_xll.BDP(F24&amp;" EQUITY",$I$1)</f>
        <v>-0.63</v>
      </c>
      <c r="J24" s="127">
        <f>_xll.BDP(F24&amp;" EQUITY",$J$1)*0.01</f>
        <v>-1.5536369999999999E-2</v>
      </c>
      <c r="K24" s="157">
        <f t="shared" si="3"/>
        <v>35</v>
      </c>
      <c r="L24" s="161">
        <f t="shared" si="4"/>
        <v>-119070</v>
      </c>
      <c r="M24" s="99"/>
      <c r="N24" s="62">
        <f t="shared" si="5"/>
        <v>8179920</v>
      </c>
      <c r="O24" s="36"/>
      <c r="P24" s="173">
        <v>43.61</v>
      </c>
      <c r="Q24" s="37">
        <f t="shared" si="6"/>
        <v>-7.5670717725292436E-3</v>
      </c>
      <c r="R24" s="758"/>
      <c r="S24" s="99"/>
      <c r="T24" s="173">
        <v>43.61</v>
      </c>
      <c r="U24" s="591">
        <f t="shared" si="7"/>
        <v>-7.5670717725292436E-3</v>
      </c>
      <c r="W24" s="309"/>
      <c r="X24" s="105" t="str">
        <f>_xll.BDP(F24&amp;" EQUITY",$X$1)</f>
        <v>12/14/2023</v>
      </c>
      <c r="Y24" s="84">
        <f>_xll.BDP(F24&amp;" EQUITY",$Y$1)</f>
        <v>45.85</v>
      </c>
      <c r="Z24" s="37">
        <f t="shared" si="8"/>
        <v>-5.6052344601962956E-2</v>
      </c>
      <c r="AA24" s="39">
        <f t="shared" si="9"/>
        <v>7</v>
      </c>
      <c r="AB24" s="119"/>
      <c r="BB24"/>
      <c r="BD24"/>
    </row>
    <row r="25" spans="2:56" x14ac:dyDescent="0.25">
      <c r="B25" s="17">
        <f t="shared" si="0"/>
        <v>27</v>
      </c>
      <c r="C25" s="24">
        <f t="shared" si="1"/>
        <v>1.0400000000000001E-2</v>
      </c>
      <c r="D25" s="340">
        <v>1E-4</v>
      </c>
      <c r="E25" s="85">
        <v>1.0500000000000001E-2</v>
      </c>
      <c r="F25" s="3" t="s">
        <v>218</v>
      </c>
      <c r="G25" s="101">
        <v>46400</v>
      </c>
      <c r="H25" s="173">
        <v>109.02</v>
      </c>
      <c r="I25" s="112">
        <f>_xll.BDP(F25&amp;" EQUITY",$I$1)</f>
        <v>0.47</v>
      </c>
      <c r="J25" s="127">
        <f>_xll.BDP(F25&amp;" EQUITY",$J$1)*0.01</f>
        <v>3.5348980000000003E-3</v>
      </c>
      <c r="K25" s="157">
        <f t="shared" si="3"/>
        <v>4</v>
      </c>
      <c r="L25" s="161">
        <f t="shared" si="4"/>
        <v>21808</v>
      </c>
      <c r="M25" s="99"/>
      <c r="N25" s="62">
        <f t="shared" si="5"/>
        <v>5058528</v>
      </c>
      <c r="O25" s="36"/>
      <c r="P25" s="173">
        <v>110.95</v>
      </c>
      <c r="Q25" s="37">
        <f t="shared" si="6"/>
        <v>-1.7395223073456534E-2</v>
      </c>
      <c r="R25" s="758"/>
      <c r="S25" s="99"/>
      <c r="T25" s="173">
        <v>110.95</v>
      </c>
      <c r="U25" s="591">
        <f t="shared" si="7"/>
        <v>-1.7395223073456534E-2</v>
      </c>
      <c r="W25" s="309"/>
      <c r="X25" s="105" t="str">
        <f>_xll.BDP(F25&amp;" EQUITY",$X$1)</f>
        <v>6/25/2024</v>
      </c>
      <c r="Y25" s="84">
        <f>_xll.BDP(F25&amp;" EQUITY",$Y$1)</f>
        <v>134.63</v>
      </c>
      <c r="Z25" s="37">
        <f t="shared" si="8"/>
        <v>-0.19022506127906114</v>
      </c>
      <c r="AA25" s="106">
        <f t="shared" si="9"/>
        <v>30</v>
      </c>
      <c r="AB25" s="119"/>
      <c r="BB25"/>
      <c r="BD25"/>
    </row>
    <row r="26" spans="2:56" x14ac:dyDescent="0.25">
      <c r="B26" s="17">
        <f t="shared" si="0"/>
        <v>35</v>
      </c>
      <c r="C26" s="24">
        <f t="shared" si="1"/>
        <v>4.4977140665729311E-3</v>
      </c>
      <c r="D26" s="340">
        <v>1.38E-2</v>
      </c>
      <c r="E26" s="85">
        <f t="shared" ref="E26:E31" si="10">+N26/$N$44</f>
        <v>1.8297714066572931E-2</v>
      </c>
      <c r="F26" s="3" t="s">
        <v>219</v>
      </c>
      <c r="G26" s="101">
        <v>75300</v>
      </c>
      <c r="H26" s="173">
        <v>70.12</v>
      </c>
      <c r="I26" s="112">
        <f>_xll.BDP(F26&amp;" EQUITY",$I$1)</f>
        <v>-0.93</v>
      </c>
      <c r="J26" s="127">
        <f>_xll.BDP(F26&amp;" EQUITY",$J$1)*0.01</f>
        <v>-1.17217E-2</v>
      </c>
      <c r="K26" s="157">
        <f t="shared" si="3"/>
        <v>30</v>
      </c>
      <c r="L26" s="161">
        <f t="shared" si="4"/>
        <v>-70029</v>
      </c>
      <c r="M26" s="99"/>
      <c r="N26" s="62">
        <f t="shared" si="5"/>
        <v>5280036</v>
      </c>
      <c r="O26" s="36"/>
      <c r="P26" s="173">
        <v>71.41</v>
      </c>
      <c r="Q26" s="37">
        <f t="shared" si="6"/>
        <v>-1.8064696821173398E-2</v>
      </c>
      <c r="R26" s="758"/>
      <c r="S26" s="99"/>
      <c r="T26" s="173">
        <v>71.41</v>
      </c>
      <c r="U26" s="591">
        <f t="shared" si="7"/>
        <v>-1.8064696821173398E-2</v>
      </c>
      <c r="W26" s="309"/>
      <c r="X26" s="105" t="str">
        <f>_xll.BDP(F26&amp;" EQUITY",$X$1)</f>
        <v>6/4/2024</v>
      </c>
      <c r="Y26" s="84">
        <f>_xll.BDP(F26&amp;" EQUITY",$Y$1)</f>
        <v>80.84</v>
      </c>
      <c r="Z26" s="37">
        <f t="shared" si="8"/>
        <v>-0.13260761999010384</v>
      </c>
      <c r="AA26" s="106">
        <f t="shared" si="9"/>
        <v>24</v>
      </c>
      <c r="AB26" s="47"/>
      <c r="BB26"/>
      <c r="BD26"/>
    </row>
    <row r="27" spans="2:56" x14ac:dyDescent="0.25">
      <c r="B27" s="17">
        <f t="shared" si="0"/>
        <v>22</v>
      </c>
      <c r="C27" s="24">
        <f t="shared" si="1"/>
        <v>1.306871957936975E-2</v>
      </c>
      <c r="D27" s="340">
        <v>1E-4</v>
      </c>
      <c r="E27" s="85">
        <f t="shared" si="10"/>
        <v>1.3168719579369749E-2</v>
      </c>
      <c r="F27" s="3" t="s">
        <v>356</v>
      </c>
      <c r="G27" s="29">
        <v>100000</v>
      </c>
      <c r="H27" s="173">
        <v>38</v>
      </c>
      <c r="I27" s="112">
        <f>_xll.BDP(F27&amp;" EQUITY",$I$1)</f>
        <v>-0.17</v>
      </c>
      <c r="J27" s="127">
        <f>_xll.BDP(F27&amp;" EQUITY",$J$1)*0.01</f>
        <v>-4.130224E-3</v>
      </c>
      <c r="K27" s="157">
        <f t="shared" si="3"/>
        <v>16</v>
      </c>
      <c r="L27" s="161">
        <f t="shared" si="4"/>
        <v>-17000</v>
      </c>
      <c r="M27" s="99"/>
      <c r="N27" s="62">
        <f t="shared" si="5"/>
        <v>3800000</v>
      </c>
      <c r="O27" s="36"/>
      <c r="P27" s="173">
        <v>38.729999999999997</v>
      </c>
      <c r="Q27" s="37">
        <f t="shared" si="6"/>
        <v>-1.8848437903433934E-2</v>
      </c>
      <c r="R27" s="758"/>
      <c r="S27" s="99"/>
      <c r="T27" s="173">
        <v>38.729999999999997</v>
      </c>
      <c r="U27" s="591">
        <f t="shared" si="7"/>
        <v>-1.8848437903433934E-2</v>
      </c>
      <c r="W27" s="309"/>
      <c r="X27" s="105" t="str">
        <f>_xll.BDP(F27&amp;" EQUITY",$X$1)</f>
        <v>7/12/2023</v>
      </c>
      <c r="Y27" s="84">
        <f>_xll.BDP(F27&amp;" EQUITY",$Y$1)</f>
        <v>44.02</v>
      </c>
      <c r="Z27" s="37">
        <f t="shared" si="8"/>
        <v>-0.13675601999091325</v>
      </c>
      <c r="AA27" s="39">
        <f t="shared" si="9"/>
        <v>25</v>
      </c>
      <c r="AB27" s="47"/>
      <c r="BB27"/>
      <c r="BD27"/>
    </row>
    <row r="28" spans="2:56" x14ac:dyDescent="0.25">
      <c r="B28" s="17">
        <f t="shared" si="0"/>
        <v>19</v>
      </c>
      <c r="C28" s="24">
        <f t="shared" si="1"/>
        <v>1.4731724244600052E-2</v>
      </c>
      <c r="D28" s="340">
        <v>1.5100000000000001E-2</v>
      </c>
      <c r="E28" s="85">
        <f t="shared" si="10"/>
        <v>2.9831724244600052E-2</v>
      </c>
      <c r="F28" s="3" t="s">
        <v>204</v>
      </c>
      <c r="G28" s="101">
        <v>488000</v>
      </c>
      <c r="H28" s="173">
        <v>17.64</v>
      </c>
      <c r="I28" s="112">
        <f>_xll.BDP(F28&amp;" EQUITY",$I$1)</f>
        <v>-0.06</v>
      </c>
      <c r="J28" s="127">
        <f>_xll.BDP(F28&amp;" EQUITY",$J$1)*0.01</f>
        <v>-2.9835899999999999E-3</v>
      </c>
      <c r="K28" s="157">
        <f t="shared" si="3"/>
        <v>12</v>
      </c>
      <c r="L28" s="161">
        <f t="shared" si="4"/>
        <v>-29280</v>
      </c>
      <c r="M28" s="99"/>
      <c r="N28" s="62">
        <f t="shared" si="5"/>
        <v>8608320</v>
      </c>
      <c r="O28" s="36"/>
      <c r="P28" s="173">
        <v>18.079999999999998</v>
      </c>
      <c r="Q28" s="37">
        <f t="shared" si="6"/>
        <v>-2.4336283185840579E-2</v>
      </c>
      <c r="R28" s="758"/>
      <c r="S28" s="99"/>
      <c r="T28" s="173">
        <v>18.079999999999998</v>
      </c>
      <c r="U28" s="591">
        <f t="shared" si="7"/>
        <v>-2.4336283185840579E-2</v>
      </c>
      <c r="W28" s="309"/>
      <c r="X28" s="105" t="str">
        <f>_xll.BDP(F28&amp;" EQUITY",$X$1)</f>
        <v>6/24/2024</v>
      </c>
      <c r="Y28" s="84">
        <f>_xll.BDP(F28&amp;" EQUITY",$Y$1)</f>
        <v>20.190000000000001</v>
      </c>
      <c r="Z28" s="37">
        <f t="shared" si="8"/>
        <v>-0.1263001485884101</v>
      </c>
      <c r="AA28" s="40">
        <f t="shared" si="9"/>
        <v>19</v>
      </c>
      <c r="AB28" s="47"/>
      <c r="BB28"/>
      <c r="BD28"/>
    </row>
    <row r="29" spans="2:56" x14ac:dyDescent="0.25">
      <c r="B29" s="17">
        <f t="shared" si="0"/>
        <v>32</v>
      </c>
      <c r="C29" s="24">
        <f t="shared" si="1"/>
        <v>8.0280547521260071E-3</v>
      </c>
      <c r="D29" s="340">
        <v>2.7900000000000001E-2</v>
      </c>
      <c r="E29" s="85">
        <f t="shared" si="10"/>
        <v>3.5928054752126008E-2</v>
      </c>
      <c r="F29" s="3" t="s">
        <v>202</v>
      </c>
      <c r="G29" s="29">
        <v>66900</v>
      </c>
      <c r="H29" s="173">
        <v>154.97</v>
      </c>
      <c r="I29" s="112">
        <f>_xll.BDP(F29&amp;" EQUITY",$I$1)</f>
        <v>-0.64</v>
      </c>
      <c r="J29" s="127">
        <f>_xll.BDP(F29&amp;" EQUITY",$J$1)*0.01</f>
        <v>-3.7049900000000005E-3</v>
      </c>
      <c r="K29" s="157">
        <f t="shared" si="3"/>
        <v>14</v>
      </c>
      <c r="L29" s="161">
        <f t="shared" si="4"/>
        <v>-42816</v>
      </c>
      <c r="M29" s="99"/>
      <c r="N29" s="62">
        <f t="shared" si="5"/>
        <v>10367493</v>
      </c>
      <c r="O29" s="36"/>
      <c r="P29" s="173">
        <v>161.61000000000001</v>
      </c>
      <c r="Q29" s="37">
        <f t="shared" si="6"/>
        <v>-4.1086566425345028E-2</v>
      </c>
      <c r="R29" s="758"/>
      <c r="S29" s="99"/>
      <c r="T29" s="173">
        <v>161.61000000000001</v>
      </c>
      <c r="U29" s="591">
        <f t="shared" si="7"/>
        <v>-4.1086566425345028E-2</v>
      </c>
      <c r="W29" s="309"/>
      <c r="X29" s="105" t="str">
        <f>_xll.BDP(F29&amp;" EQUITY",$X$1)</f>
        <v>3/12/2024</v>
      </c>
      <c r="Y29" s="84">
        <f>_xll.BDP(F29&amp;" EQUITY",$Y$1)</f>
        <v>182.89</v>
      </c>
      <c r="Z29" s="37">
        <f t="shared" si="8"/>
        <v>-0.15266006889387063</v>
      </c>
      <c r="AA29" s="39">
        <f t="shared" si="9"/>
        <v>27</v>
      </c>
      <c r="AB29" s="47"/>
      <c r="BB29"/>
      <c r="BD29"/>
    </row>
    <row r="30" spans="2:56" x14ac:dyDescent="0.25">
      <c r="B30" s="17">
        <f t="shared" si="0"/>
        <v>38</v>
      </c>
      <c r="C30" s="24">
        <f t="shared" si="1"/>
        <v>-2.4689468626674392E-2</v>
      </c>
      <c r="D30" s="340">
        <v>7.1199999999999999E-2</v>
      </c>
      <c r="E30" s="85">
        <f t="shared" si="10"/>
        <v>4.6510531373325607E-2</v>
      </c>
      <c r="F30" s="482" t="s">
        <v>199</v>
      </c>
      <c r="G30" s="29">
        <v>356000</v>
      </c>
      <c r="H30" s="173">
        <v>37.700000000000003</v>
      </c>
      <c r="I30" s="112">
        <f>_xll.BDP(F30&amp;" EQUITY",$I$1)</f>
        <v>0.33</v>
      </c>
      <c r="J30" s="127">
        <f>_xll.BDP(F30&amp;" EQUITY",$J$1)*0.01</f>
        <v>8.0155449999999989E-3</v>
      </c>
      <c r="K30" s="157">
        <f t="shared" si="3"/>
        <v>1</v>
      </c>
      <c r="L30" s="161">
        <f t="shared" si="4"/>
        <v>117480</v>
      </c>
      <c r="M30" s="99"/>
      <c r="N30" s="62">
        <f t="shared" si="5"/>
        <v>13421200.000000002</v>
      </c>
      <c r="O30" s="36"/>
      <c r="P30" s="173">
        <v>39.4</v>
      </c>
      <c r="Q30" s="37">
        <f t="shared" si="6"/>
        <v>-4.3147208121827263E-2</v>
      </c>
      <c r="R30" s="758"/>
      <c r="S30" s="99"/>
      <c r="T30" s="173">
        <v>39.4</v>
      </c>
      <c r="U30" s="591">
        <f t="shared" si="7"/>
        <v>-4.3147208121827263E-2</v>
      </c>
      <c r="W30" s="309"/>
      <c r="X30" s="105" t="str">
        <f>_xll.BDP(F30&amp;" EQUITY",$X$1)</f>
        <v>4/4/2024</v>
      </c>
      <c r="Y30" s="84">
        <f>_xll.BDP(F30&amp;" EQUITY",$Y$1)</f>
        <v>43.42</v>
      </c>
      <c r="Z30" s="37">
        <f t="shared" si="8"/>
        <v>-0.13173652694610771</v>
      </c>
      <c r="AA30" s="107">
        <f t="shared" si="9"/>
        <v>23</v>
      </c>
      <c r="AB30" s="47"/>
      <c r="BB30"/>
      <c r="BD30"/>
    </row>
    <row r="31" spans="2:56" x14ac:dyDescent="0.25">
      <c r="B31" s="17">
        <f t="shared" si="0"/>
        <v>9</v>
      </c>
      <c r="C31" s="24">
        <f t="shared" si="1"/>
        <v>2.3057850959640813E-2</v>
      </c>
      <c r="D31" s="340">
        <v>2.5000000000000001E-3</v>
      </c>
      <c r="E31" s="85">
        <f t="shared" si="10"/>
        <v>2.5557850959640811E-2</v>
      </c>
      <c r="F31" s="3" t="s">
        <v>208</v>
      </c>
      <c r="G31" s="101">
        <v>76000</v>
      </c>
      <c r="H31" s="173">
        <v>97.04</v>
      </c>
      <c r="I31" s="112">
        <f>_xll.BDP(F31&amp;" EQUITY",$I$1)</f>
        <v>-0.56499999999999995</v>
      </c>
      <c r="J31" s="127">
        <f>_xll.BDP(F31&amp;" EQUITY",$J$1)*0.01</f>
        <v>-5.5659539999999997E-3</v>
      </c>
      <c r="K31" s="157">
        <f t="shared" si="3"/>
        <v>18</v>
      </c>
      <c r="L31" s="161">
        <f t="shared" si="4"/>
        <v>-42939.999999999993</v>
      </c>
      <c r="M31" s="99"/>
      <c r="N31" s="62">
        <f t="shared" si="5"/>
        <v>7375040.0000000009</v>
      </c>
      <c r="O31" s="36"/>
      <c r="P31" s="173">
        <v>102.99</v>
      </c>
      <c r="Q31" s="37">
        <f t="shared" si="6"/>
        <v>-5.7772599281483483E-2</v>
      </c>
      <c r="R31" s="758"/>
      <c r="S31" s="99"/>
      <c r="T31" s="173">
        <v>102.99</v>
      </c>
      <c r="U31" s="591">
        <f t="shared" si="7"/>
        <v>-5.7772599281483483E-2</v>
      </c>
      <c r="W31" s="309"/>
      <c r="X31" s="105" t="str">
        <f>_xll.BDP(F31&amp;" EQUITY",$X$1)</f>
        <v>6/4/2024</v>
      </c>
      <c r="Y31" s="84">
        <f>_xll.BDP(F31&amp;" EQUITY",$Y$1)</f>
        <v>104.8693</v>
      </c>
      <c r="Z31" s="37">
        <f t="shared" si="8"/>
        <v>-7.4657692956851873E-2</v>
      </c>
      <c r="AA31" s="39">
        <f t="shared" si="9"/>
        <v>8</v>
      </c>
      <c r="AB31" s="47"/>
      <c r="BB31"/>
      <c r="BD31"/>
    </row>
    <row r="32" spans="2:56" x14ac:dyDescent="0.25">
      <c r="B32" s="17">
        <f t="shared" si="0"/>
        <v>26</v>
      </c>
      <c r="C32" s="24">
        <f t="shared" si="1"/>
        <v>1.061E-2</v>
      </c>
      <c r="D32" s="340">
        <v>5.9999999999999995E-4</v>
      </c>
      <c r="E32" s="85">
        <v>1.1209999999999999E-2</v>
      </c>
      <c r="F32" s="3" t="s">
        <v>25</v>
      </c>
      <c r="G32" s="101">
        <v>20000</v>
      </c>
      <c r="H32" s="173">
        <v>453.24</v>
      </c>
      <c r="I32" s="112">
        <f>_xll.BDP(F32&amp;" EQUITY",$I$1)</f>
        <v>-3.7040000000000002</v>
      </c>
      <c r="J32" s="127">
        <f>_xll.BDP(F32&amp;" EQUITY",$J$1)*0.01</f>
        <v>-7.8556130000000009E-3</v>
      </c>
      <c r="K32" s="157">
        <f t="shared" si="3"/>
        <v>24</v>
      </c>
      <c r="L32" s="161">
        <f t="shared" si="4"/>
        <v>-74080</v>
      </c>
      <c r="M32" s="99"/>
      <c r="N32" s="62">
        <f t="shared" si="5"/>
        <v>9064800</v>
      </c>
      <c r="O32" s="36"/>
      <c r="P32" s="173">
        <v>486.49</v>
      </c>
      <c r="Q32" s="37">
        <f t="shared" si="6"/>
        <v>-6.8346728606960006E-2</v>
      </c>
      <c r="R32" s="758"/>
      <c r="S32" s="99"/>
      <c r="T32" s="173">
        <v>486.49</v>
      </c>
      <c r="U32" s="591">
        <f t="shared" si="7"/>
        <v>-6.8346728606960006E-2</v>
      </c>
      <c r="W32" s="309"/>
      <c r="X32" s="105" t="str">
        <f>_xll.BDP(F32&amp;" EQUITY",$X$1)</f>
        <v>7/18/2023</v>
      </c>
      <c r="Y32" s="84">
        <f>_xll.BDP(F32&amp;" EQUITY",$Y$1)</f>
        <v>479.5</v>
      </c>
      <c r="Z32" s="37">
        <f t="shared" si="8"/>
        <v>-5.4765380604796632E-2</v>
      </c>
      <c r="AA32" s="39">
        <f t="shared" si="9"/>
        <v>6</v>
      </c>
      <c r="AB32" s="47"/>
      <c r="BB32"/>
      <c r="BD32"/>
    </row>
    <row r="33" spans="1:56" x14ac:dyDescent="0.25">
      <c r="B33" s="17">
        <f t="shared" si="0"/>
        <v>25</v>
      </c>
      <c r="C33" s="24">
        <f t="shared" si="1"/>
        <v>1.1212214662133471E-2</v>
      </c>
      <c r="D33" s="340">
        <v>3.8999999999999998E-3</v>
      </c>
      <c r="E33" s="85">
        <f>+N33/$N$44</f>
        <v>1.5112214662133472E-2</v>
      </c>
      <c r="F33" s="3" t="s">
        <v>225</v>
      </c>
      <c r="G33" s="101">
        <v>74000</v>
      </c>
      <c r="H33" s="173">
        <v>58.93</v>
      </c>
      <c r="I33" s="112">
        <f>_xll.BDP(F33&amp;" EQUITY",$I$1)</f>
        <v>-0.255</v>
      </c>
      <c r="J33" s="127">
        <f>_xll.BDP(F33&amp;" EQUITY",$J$1)*0.01</f>
        <v>-3.9862439999999999E-3</v>
      </c>
      <c r="K33" s="157">
        <f t="shared" si="3"/>
        <v>15</v>
      </c>
      <c r="L33" s="161">
        <f t="shared" si="4"/>
        <v>-18870</v>
      </c>
      <c r="M33" s="99"/>
      <c r="N33" s="62">
        <f t="shared" si="5"/>
        <v>4360820</v>
      </c>
      <c r="O33" s="36"/>
      <c r="P33" s="173">
        <v>63.61</v>
      </c>
      <c r="Q33" s="37">
        <f t="shared" si="6"/>
        <v>-7.357333752554629E-2</v>
      </c>
      <c r="R33" s="758"/>
      <c r="S33" s="99"/>
      <c r="T33" s="173">
        <v>63.61</v>
      </c>
      <c r="U33" s="591">
        <f t="shared" si="7"/>
        <v>-7.357333752554629E-2</v>
      </c>
      <c r="W33" s="309"/>
      <c r="X33" s="105" t="str">
        <f>_xll.BDP(F33&amp;" EQUITY",$X$1)</f>
        <v>6/6/2024</v>
      </c>
      <c r="Y33" s="84">
        <f>_xll.BDP(F33&amp;" EQUITY",$Y$1)</f>
        <v>64.36</v>
      </c>
      <c r="Z33" s="37">
        <f t="shared" si="8"/>
        <v>-8.4369173399627129E-2</v>
      </c>
      <c r="AA33" s="39">
        <f t="shared" si="9"/>
        <v>11</v>
      </c>
      <c r="AB33" s="47"/>
      <c r="BB33"/>
      <c r="BD33"/>
    </row>
    <row r="34" spans="1:56" x14ac:dyDescent="0.25">
      <c r="B34" s="17">
        <f t="shared" si="0"/>
        <v>29</v>
      </c>
      <c r="C34" s="24">
        <f t="shared" si="1"/>
        <v>9.7000000000000003E-3</v>
      </c>
      <c r="D34" s="340">
        <v>3.0999999999999999E-3</v>
      </c>
      <c r="E34" s="85">
        <v>1.2800000000000001E-2</v>
      </c>
      <c r="F34" s="3" t="s">
        <v>217</v>
      </c>
      <c r="G34" s="101">
        <v>130000</v>
      </c>
      <c r="H34" s="173">
        <v>36.979999999999997</v>
      </c>
      <c r="I34" s="112">
        <f>_xll.BDP(F34&amp;" EQUITY",$I$1)</f>
        <v>-0.08</v>
      </c>
      <c r="J34" s="127">
        <f>_xll.BDP(F34&amp;" EQUITY",$J$1)*0.01</f>
        <v>-2.4089129999999999E-3</v>
      </c>
      <c r="K34" s="157">
        <f t="shared" si="3"/>
        <v>10</v>
      </c>
      <c r="L34" s="161">
        <f t="shared" si="4"/>
        <v>-10400</v>
      </c>
      <c r="M34" s="99"/>
      <c r="N34" s="62">
        <f t="shared" si="5"/>
        <v>4807400</v>
      </c>
      <c r="O34" s="36"/>
      <c r="P34" s="173">
        <v>40.71</v>
      </c>
      <c r="Q34" s="37">
        <f t="shared" si="6"/>
        <v>-9.162367968558105E-2</v>
      </c>
      <c r="R34" s="758"/>
      <c r="S34" s="99"/>
      <c r="T34" s="173">
        <v>40.71</v>
      </c>
      <c r="U34" s="591">
        <f t="shared" si="7"/>
        <v>-9.162367968558105E-2</v>
      </c>
      <c r="W34" s="309"/>
      <c r="X34" s="105" t="str">
        <f>_xll.BDP(F34&amp;" EQUITY",$X$1)</f>
        <v>4/25/2024</v>
      </c>
      <c r="Y34" s="84">
        <f>_xll.BDP(F34&amp;" EQUITY",$Y$1)</f>
        <v>38.96</v>
      </c>
      <c r="Z34" s="37">
        <f t="shared" si="8"/>
        <v>-5.0821355236139731E-2</v>
      </c>
      <c r="AA34" s="106">
        <f t="shared" si="9"/>
        <v>5</v>
      </c>
      <c r="AB34" s="47"/>
      <c r="BB34"/>
      <c r="BD34"/>
    </row>
    <row r="35" spans="1:56" x14ac:dyDescent="0.25">
      <c r="B35" s="17">
        <f t="shared" si="0"/>
        <v>14</v>
      </c>
      <c r="C35" s="24">
        <f t="shared" si="1"/>
        <v>1.9664551386099051E-2</v>
      </c>
      <c r="D35" s="340">
        <v>8.3999999999999995E-3</v>
      </c>
      <c r="E35" s="25">
        <f>+N35/$N$44</f>
        <v>2.8064551386099052E-2</v>
      </c>
      <c r="F35" s="3" t="s">
        <v>8</v>
      </c>
      <c r="G35" s="101">
        <v>81000</v>
      </c>
      <c r="H35" s="173">
        <v>99.98</v>
      </c>
      <c r="I35" s="112">
        <f>_xll.BDP(F35&amp;" EQUITY",$I$1)</f>
        <v>-0.05</v>
      </c>
      <c r="J35" s="127">
        <f>_xll.BDP(F35&amp;" EQUITY",$J$1)*0.01</f>
        <v>-4.384042E-4</v>
      </c>
      <c r="K35" s="157">
        <f t="shared" si="3"/>
        <v>8</v>
      </c>
      <c r="L35" s="161">
        <f t="shared" si="4"/>
        <v>-4050</v>
      </c>
      <c r="M35" s="99"/>
      <c r="N35" s="62">
        <f t="shared" si="5"/>
        <v>8098380</v>
      </c>
      <c r="O35" s="36"/>
      <c r="P35" s="173">
        <v>110.3</v>
      </c>
      <c r="Q35" s="37">
        <f t="shared" si="6"/>
        <v>-9.3563009972801425E-2</v>
      </c>
      <c r="R35" s="758"/>
      <c r="S35" s="99"/>
      <c r="T35" s="173">
        <v>110.3</v>
      </c>
      <c r="U35" s="591">
        <f t="shared" si="7"/>
        <v>-9.3563009972801425E-2</v>
      </c>
      <c r="W35" s="309"/>
      <c r="X35" s="105" t="str">
        <f>_xll.BDP(F35&amp;" EQUITY",$X$1)</f>
        <v>4/12/2024</v>
      </c>
      <c r="Y35" s="84">
        <f>_xll.BDP(F35&amp;" EQUITY",$Y$1)</f>
        <v>123.75</v>
      </c>
      <c r="Z35" s="37">
        <f t="shared" si="8"/>
        <v>-0.19208080808080807</v>
      </c>
      <c r="AA35" s="106">
        <f t="shared" si="9"/>
        <v>31</v>
      </c>
      <c r="AB35" s="119"/>
      <c r="BB35"/>
      <c r="BD35"/>
    </row>
    <row r="36" spans="1:56" x14ac:dyDescent="0.25">
      <c r="B36" s="17">
        <f t="shared" si="0"/>
        <v>23</v>
      </c>
      <c r="C36" s="24">
        <f t="shared" si="1"/>
        <v>1.280876553743868E-2</v>
      </c>
      <c r="D36" s="340">
        <v>5.1000000000000004E-3</v>
      </c>
      <c r="E36" s="85">
        <f>+N36/$N$44</f>
        <v>1.790876553743868E-2</v>
      </c>
      <c r="F36" s="3" t="s">
        <v>214</v>
      </c>
      <c r="G36" s="101">
        <v>90000</v>
      </c>
      <c r="H36" s="173">
        <v>57.42</v>
      </c>
      <c r="I36" s="112">
        <f>_xll.BDP(F36&amp;" EQUITY",$I$1)</f>
        <v>-0.17</v>
      </c>
      <c r="J36" s="127">
        <f>_xll.BDP(F36&amp;" EQUITY",$J$1)*0.01</f>
        <v>-3.1692769999999999E-3</v>
      </c>
      <c r="K36" s="157">
        <f t="shared" si="3"/>
        <v>13</v>
      </c>
      <c r="L36" s="161">
        <f t="shared" si="4"/>
        <v>-15300.000000000002</v>
      </c>
      <c r="M36" s="99"/>
      <c r="N36" s="62">
        <f t="shared" si="5"/>
        <v>5167800</v>
      </c>
      <c r="O36" s="36"/>
      <c r="P36" s="173">
        <v>63.43</v>
      </c>
      <c r="Q36" s="37">
        <f t="shared" si="6"/>
        <v>-9.4750118240580106E-2</v>
      </c>
      <c r="R36" s="758"/>
      <c r="S36" s="99"/>
      <c r="T36" s="173">
        <v>63.43</v>
      </c>
      <c r="U36" s="591">
        <f t="shared" si="7"/>
        <v>-9.4750118240580106E-2</v>
      </c>
      <c r="W36" s="309"/>
      <c r="X36" s="105" t="str">
        <f>_xll.BDP(F36&amp;" EQUITY",$X$1)</f>
        <v>7/27/2023</v>
      </c>
      <c r="Y36" s="84">
        <f>_xll.BDP(F36&amp;" EQUITY",$Y$1)</f>
        <v>64.180000000000007</v>
      </c>
      <c r="Z36" s="37">
        <f t="shared" si="8"/>
        <v>-0.1053287628544719</v>
      </c>
      <c r="AA36" s="39">
        <f t="shared" si="9"/>
        <v>15</v>
      </c>
      <c r="AB36" s="47"/>
      <c r="BB36"/>
      <c r="BD36"/>
    </row>
    <row r="37" spans="1:56" x14ac:dyDescent="0.25">
      <c r="B37" s="17">
        <f t="shared" si="0"/>
        <v>36</v>
      </c>
      <c r="C37" s="24">
        <f t="shared" si="1"/>
        <v>3.7685174367518837E-4</v>
      </c>
      <c r="D37" s="340">
        <f>0.0176+0.0157</f>
        <v>3.3299999999999996E-2</v>
      </c>
      <c r="E37" s="85">
        <f>+N37/$N$44</f>
        <v>3.3676851743675185E-2</v>
      </c>
      <c r="F37" s="3" t="s">
        <v>200</v>
      </c>
      <c r="G37" s="29">
        <v>62000</v>
      </c>
      <c r="H37" s="173">
        <v>156.74</v>
      </c>
      <c r="I37" s="112">
        <f>_xll.BDP(F37&amp;" EQUITY",$I$1)</f>
        <v>-0.75</v>
      </c>
      <c r="J37" s="127">
        <f>_xll.BDP(F37&amp;" EQUITY",$J$1)*0.01</f>
        <v>-5.0295060000000004E-3</v>
      </c>
      <c r="K37" s="157">
        <f t="shared" si="3"/>
        <v>17</v>
      </c>
      <c r="L37" s="161">
        <f t="shared" si="4"/>
        <v>-46500</v>
      </c>
      <c r="M37" s="99"/>
      <c r="N37" s="62">
        <f t="shared" si="5"/>
        <v>9717880</v>
      </c>
      <c r="O37" s="36"/>
      <c r="P37" s="173">
        <v>176.65</v>
      </c>
      <c r="Q37" s="37">
        <f t="shared" si="6"/>
        <v>-0.11270874610812343</v>
      </c>
      <c r="R37" s="758"/>
      <c r="S37" s="99"/>
      <c r="T37" s="173">
        <v>176.65</v>
      </c>
      <c r="U37" s="591">
        <f t="shared" si="7"/>
        <v>-0.11270874610812343</v>
      </c>
      <c r="W37" s="309"/>
      <c r="X37" s="105" t="str">
        <f>_xll.BDP(F37&amp;" EQUITY",$X$1)</f>
        <v>8/10/2023</v>
      </c>
      <c r="Y37" s="84">
        <f>_xll.BDP(F37&amp;" EQUITY",$Y$1)</f>
        <v>175.97</v>
      </c>
      <c r="Z37" s="37">
        <f t="shared" si="8"/>
        <v>-0.10927999090754104</v>
      </c>
      <c r="AA37" s="39">
        <f t="shared" si="9"/>
        <v>17</v>
      </c>
      <c r="AB37" s="47"/>
      <c r="BB37"/>
      <c r="BD37"/>
    </row>
    <row r="38" spans="1:56" x14ac:dyDescent="0.25">
      <c r="B38" s="17">
        <f t="shared" si="0"/>
        <v>34</v>
      </c>
      <c r="C38" s="24">
        <f t="shared" si="1"/>
        <v>4.7999999999999996E-3</v>
      </c>
      <c r="D38" s="340">
        <v>4.7000000000000002E-3</v>
      </c>
      <c r="E38" s="85">
        <v>9.4999999999999998E-3</v>
      </c>
      <c r="F38" s="3" t="s">
        <v>226</v>
      </c>
      <c r="G38" s="101">
        <v>107200</v>
      </c>
      <c r="H38" s="173">
        <v>36.659999999999997</v>
      </c>
      <c r="I38" s="112">
        <f>_xll.BDP(F38&amp;" EQUITY",$I$1)</f>
        <v>-0.22</v>
      </c>
      <c r="J38" s="127">
        <f>_xll.BDP(F38&amp;" EQUITY",$J$1)*0.01</f>
        <v>-5.7142859999999998E-3</v>
      </c>
      <c r="K38" s="157">
        <f t="shared" si="3"/>
        <v>19</v>
      </c>
      <c r="L38" s="161">
        <f t="shared" si="4"/>
        <v>-23584</v>
      </c>
      <c r="M38" s="99"/>
      <c r="N38" s="62">
        <f t="shared" si="5"/>
        <v>3929951.9999999995</v>
      </c>
      <c r="O38" s="36"/>
      <c r="P38" s="173">
        <v>41.94</v>
      </c>
      <c r="Q38" s="37">
        <f t="shared" si="6"/>
        <v>-0.12589413447782549</v>
      </c>
      <c r="R38" s="758"/>
      <c r="S38" s="99"/>
      <c r="T38" s="173">
        <v>41.94</v>
      </c>
      <c r="U38" s="591">
        <f t="shared" si="7"/>
        <v>-0.12589413447782549</v>
      </c>
      <c r="W38" s="309"/>
      <c r="X38" s="105" t="str">
        <f>_xll.BDP(F38&amp;" EQUITY",$X$1)</f>
        <v>5/15/2024</v>
      </c>
      <c r="Y38" s="84">
        <f>_xll.BDP(F38&amp;" EQUITY",$Y$1)</f>
        <v>40.65</v>
      </c>
      <c r="Z38" s="37">
        <f t="shared" si="8"/>
        <v>-9.8154981549815501E-2</v>
      </c>
      <c r="AA38" s="39">
        <f t="shared" si="9"/>
        <v>13</v>
      </c>
      <c r="AB38" s="47"/>
      <c r="BB38"/>
      <c r="BD38"/>
    </row>
    <row r="39" spans="1:56" x14ac:dyDescent="0.25">
      <c r="B39" s="17">
        <f t="shared" si="0"/>
        <v>20</v>
      </c>
      <c r="C39" s="24">
        <f t="shared" si="1"/>
        <v>1.4600000000000002E-2</v>
      </c>
      <c r="D39" s="340">
        <v>9.1999999999999998E-3</v>
      </c>
      <c r="E39" s="85">
        <v>2.3800000000000002E-2</v>
      </c>
      <c r="F39" s="3" t="s">
        <v>207</v>
      </c>
      <c r="G39" s="29">
        <v>88800</v>
      </c>
      <c r="H39" s="173">
        <v>81.22</v>
      </c>
      <c r="I39" s="112">
        <f>_xll.BDP(F39&amp;" EQUITY",$I$1)</f>
        <v>-0.56000000000000005</v>
      </c>
      <c r="J39" s="127">
        <f>_xll.BDP(F39&amp;" EQUITY",$J$1)*0.01</f>
        <v>-6.3535280000000006E-3</v>
      </c>
      <c r="K39" s="157">
        <f t="shared" si="3"/>
        <v>20</v>
      </c>
      <c r="L39" s="161">
        <f t="shared" si="4"/>
        <v>-49728.000000000007</v>
      </c>
      <c r="M39" s="99"/>
      <c r="N39" s="62">
        <f t="shared" si="5"/>
        <v>7212336</v>
      </c>
      <c r="O39" s="36"/>
      <c r="P39" s="173">
        <v>94.95</v>
      </c>
      <c r="Q39" s="37">
        <f t="shared" si="6"/>
        <v>-0.14460242232754084</v>
      </c>
      <c r="R39" s="758"/>
      <c r="S39" s="99"/>
      <c r="T39" s="173">
        <v>94.95</v>
      </c>
      <c r="U39" s="591">
        <f t="shared" si="7"/>
        <v>-0.14460242232754084</v>
      </c>
      <c r="W39" s="309"/>
      <c r="X39" s="108">
        <v>44559</v>
      </c>
      <c r="Y39" s="84">
        <v>417.37</v>
      </c>
      <c r="Z39" s="37">
        <f t="shared" si="8"/>
        <v>-0.80540048398303665</v>
      </c>
      <c r="AA39" s="107">
        <f t="shared" si="9"/>
        <v>38</v>
      </c>
      <c r="AB39" s="47"/>
      <c r="BB39"/>
      <c r="BD39"/>
    </row>
    <row r="40" spans="1:56" x14ac:dyDescent="0.25">
      <c r="B40" s="17">
        <f t="shared" si="0"/>
        <v>2</v>
      </c>
      <c r="C40" s="24">
        <f t="shared" si="1"/>
        <v>4.362162082139244E-2</v>
      </c>
      <c r="D40" s="340">
        <v>2.8999999999999998E-3</v>
      </c>
      <c r="E40" s="85">
        <f>+N40/$N$44</f>
        <v>4.652162082139244E-2</v>
      </c>
      <c r="F40" s="3" t="s">
        <v>7</v>
      </c>
      <c r="G40" s="101">
        <v>90000</v>
      </c>
      <c r="H40" s="173">
        <v>149.16</v>
      </c>
      <c r="I40" s="112">
        <f>_xll.BDP(F40&amp;" EQUITY",$I$1)</f>
        <v>-0.2</v>
      </c>
      <c r="J40" s="127">
        <f>_xll.BDP(F40&amp;" EQUITY",$J$1)*0.01</f>
        <v>-1.2554140000000001E-3</v>
      </c>
      <c r="K40" s="157">
        <f t="shared" si="3"/>
        <v>9</v>
      </c>
      <c r="L40" s="161">
        <f t="shared" si="4"/>
        <v>-18000</v>
      </c>
      <c r="M40" s="99"/>
      <c r="N40" s="62">
        <f t="shared" si="5"/>
        <v>13424400</v>
      </c>
      <c r="O40" s="36"/>
      <c r="P40" s="173">
        <v>179.49</v>
      </c>
      <c r="Q40" s="37">
        <f t="shared" si="6"/>
        <v>-0.16897877319070709</v>
      </c>
      <c r="R40" s="758"/>
      <c r="S40" s="99"/>
      <c r="T40" s="173">
        <v>179.49</v>
      </c>
      <c r="U40" s="591">
        <f t="shared" si="7"/>
        <v>-0.16897877319070709</v>
      </c>
      <c r="W40" s="309"/>
      <c r="X40" s="105" t="str">
        <f>_xll.BDP(F40&amp;" EQUITY",$X$1)</f>
        <v>9/28/2023</v>
      </c>
      <c r="Y40" s="84">
        <f>_xll.BDP(F40&amp;" EQUITY",$Y$1)</f>
        <v>171.7</v>
      </c>
      <c r="Z40" s="37">
        <f t="shared" si="8"/>
        <v>-0.13127548048922533</v>
      </c>
      <c r="AA40" s="107">
        <f t="shared" si="9"/>
        <v>21</v>
      </c>
      <c r="AB40" s="47"/>
      <c r="BB40"/>
      <c r="BD40"/>
    </row>
    <row r="41" spans="1:56" x14ac:dyDescent="0.25">
      <c r="B41" s="17">
        <f t="shared" si="0"/>
        <v>21</v>
      </c>
      <c r="C41" s="24">
        <f t="shared" si="1"/>
        <v>1.3071544007384767E-2</v>
      </c>
      <c r="D41" s="340">
        <v>1.2E-2</v>
      </c>
      <c r="E41" s="85">
        <f>+N41/$N$44</f>
        <v>2.5071544007384768E-2</v>
      </c>
      <c r="F41" s="3" t="s">
        <v>205</v>
      </c>
      <c r="G41" s="29">
        <v>141000</v>
      </c>
      <c r="H41" s="173">
        <v>51.31</v>
      </c>
      <c r="I41" s="112">
        <f>_xll.BDP(F41&amp;" EQUITY",$I$1)</f>
        <v>-0.36</v>
      </c>
      <c r="J41" s="127">
        <f>_xll.BDP(F41&amp;" EQUITY",$J$1)*0.01</f>
        <v>-8.5247450000000002E-3</v>
      </c>
      <c r="K41" s="157">
        <f t="shared" si="3"/>
        <v>25</v>
      </c>
      <c r="L41" s="161">
        <f t="shared" si="4"/>
        <v>-50760</v>
      </c>
      <c r="M41" s="99"/>
      <c r="N41" s="62">
        <f t="shared" si="5"/>
        <v>7234710</v>
      </c>
      <c r="O41" s="36"/>
      <c r="P41" s="173">
        <v>71.95</v>
      </c>
      <c r="Q41" s="37">
        <f t="shared" si="6"/>
        <v>-0.28686587908269634</v>
      </c>
      <c r="R41" s="758"/>
      <c r="S41" s="99"/>
      <c r="T41" s="173">
        <v>71.95</v>
      </c>
      <c r="U41" s="591">
        <f t="shared" si="7"/>
        <v>-0.28686587908269634</v>
      </c>
      <c r="W41" s="309"/>
      <c r="X41" s="105" t="str">
        <f>_xll.BDP(F41&amp;" EQUITY",$X$1)</f>
        <v>7/24/2023</v>
      </c>
      <c r="Y41" s="84">
        <f>_xll.BDP(F41&amp;" EQUITY",$Y$1)</f>
        <v>65.375</v>
      </c>
      <c r="Z41" s="37">
        <f t="shared" si="8"/>
        <v>-0.21514340344168259</v>
      </c>
      <c r="AA41" s="39">
        <f t="shared" si="9"/>
        <v>34</v>
      </c>
      <c r="AB41" s="47"/>
      <c r="BB41"/>
      <c r="BD41"/>
    </row>
    <row r="42" spans="1:56" x14ac:dyDescent="0.25">
      <c r="B42" s="17"/>
      <c r="C42" s="24"/>
      <c r="D42" s="85"/>
      <c r="E42" s="25"/>
      <c r="F42" s="3"/>
      <c r="G42" s="101"/>
      <c r="H42" s="9"/>
      <c r="I42" s="112"/>
      <c r="J42" s="127"/>
      <c r="K42" s="126"/>
      <c r="L42" s="161"/>
      <c r="M42" s="99"/>
      <c r="N42" s="62"/>
      <c r="O42" s="36"/>
      <c r="P42" s="38"/>
      <c r="Q42" s="37"/>
      <c r="R42" s="758"/>
      <c r="S42" s="99"/>
      <c r="T42" s="38"/>
      <c r="U42" s="591"/>
      <c r="W42" s="7"/>
      <c r="X42" s="105"/>
      <c r="Y42" s="84"/>
      <c r="Z42" s="37"/>
      <c r="AA42" s="39"/>
      <c r="BB42"/>
      <c r="BD42"/>
    </row>
    <row r="43" spans="1:56" x14ac:dyDescent="0.25">
      <c r="A43" s="27"/>
      <c r="F43" s="3"/>
      <c r="G43" s="29"/>
      <c r="H43" s="9"/>
      <c r="I43" s="9"/>
      <c r="K43" s="135"/>
      <c r="L43" s="132"/>
      <c r="N43" s="132"/>
      <c r="O43" s="2"/>
      <c r="P43" s="36"/>
      <c r="Q43" s="37"/>
      <c r="R43" s="132"/>
      <c r="T43" s="36"/>
      <c r="U43" s="591"/>
      <c r="W43" s="7"/>
      <c r="X43" s="2"/>
      <c r="AA43" s="28"/>
      <c r="BB43"/>
      <c r="BD43"/>
    </row>
    <row r="44" spans="1:56" x14ac:dyDescent="0.25">
      <c r="A44" s="27"/>
      <c r="F44" s="31"/>
      <c r="G44" s="32"/>
      <c r="H44" s="33"/>
      <c r="I44" s="33"/>
      <c r="J44" s="34"/>
      <c r="K44" s="137"/>
      <c r="L44" s="162">
        <f>SUM(L4:L43)</f>
        <v>-1967827</v>
      </c>
      <c r="M44" s="99"/>
      <c r="N44" s="802">
        <f>SUM(N4:N42)</f>
        <v>288562603</v>
      </c>
      <c r="O44" s="756"/>
      <c r="P44" s="924" t="s">
        <v>53</v>
      </c>
      <c r="Q44" s="925"/>
      <c r="R44" s="125"/>
      <c r="S44" s="190"/>
      <c r="T44" s="924" t="s">
        <v>53</v>
      </c>
      <c r="U44" s="925"/>
      <c r="W44" s="309">
        <f>SUM(W4:W43)</f>
        <v>0</v>
      </c>
      <c r="X44" s="97"/>
      <c r="Y44" s="34"/>
      <c r="Z44" s="34"/>
      <c r="AA44" s="44"/>
      <c r="BB44"/>
      <c r="BD44"/>
    </row>
    <row r="45" spans="1:56" x14ac:dyDescent="0.25">
      <c r="A45" s="27"/>
      <c r="G45" s="4"/>
      <c r="H45" s="9"/>
      <c r="I45" s="9"/>
      <c r="K45" s="48"/>
      <c r="N45" s="60">
        <f>+'Dvd Holdings'!O46-'Dvd Perf ranked 24'!N45</f>
        <v>-101691.89999997616</v>
      </c>
      <c r="O45" s="60"/>
      <c r="P45" s="5"/>
      <c r="Q45" s="6"/>
      <c r="T45" s="5"/>
      <c r="U45" s="6"/>
      <c r="W45" s="7"/>
      <c r="BB45"/>
      <c r="BD45"/>
    </row>
    <row r="46" spans="1:56" x14ac:dyDescent="0.25">
      <c r="A46" s="27"/>
      <c r="K46" s="191" t="s">
        <v>74</v>
      </c>
      <c r="L46" s="300">
        <f>+L44/N44</f>
        <v>-6.8194110378190622E-3</v>
      </c>
      <c r="N46" s="803">
        <v>285747103</v>
      </c>
      <c r="O46" s="757"/>
      <c r="P46" s="5"/>
      <c r="Q46" s="6"/>
      <c r="S46" s="263" t="s">
        <v>164</v>
      </c>
      <c r="T46" s="5"/>
      <c r="U46" s="6"/>
      <c r="W46" s="7"/>
      <c r="BB46"/>
      <c r="BD46"/>
    </row>
    <row r="47" spans="1:56" x14ac:dyDescent="0.25">
      <c r="A47" s="27"/>
      <c r="F47" s="278" t="s">
        <v>73</v>
      </c>
      <c r="G47" s="279"/>
      <c r="H47" s="280">
        <f>_xll.BDP(F47&amp;" Index",$H$1)</f>
        <v>5459.62</v>
      </c>
      <c r="I47" s="281">
        <f>_xll.BDP(F47&amp;" Index",$I$1)</f>
        <v>15.02</v>
      </c>
      <c r="J47" s="282">
        <f>_xll.BDP(F47&amp;" Index",$J$1)*0.01</f>
        <v>2.1568060000000003E-3</v>
      </c>
      <c r="K47" s="295" t="s">
        <v>114</v>
      </c>
      <c r="L47" s="301">
        <f>+J47</f>
        <v>2.1568060000000003E-3</v>
      </c>
      <c r="N47" s="261">
        <f>+(N44/N46)-1</f>
        <v>9.8531182659093997E-3</v>
      </c>
      <c r="O47" s="93"/>
      <c r="P47" s="60"/>
      <c r="Q47" s="60"/>
      <c r="R47" s="60"/>
      <c r="S47" s="262"/>
      <c r="T47" s="60"/>
      <c r="U47" s="60"/>
      <c r="V47" s="60"/>
      <c r="W47" s="60"/>
      <c r="AU47" s="47"/>
      <c r="AV47" s="47"/>
      <c r="AW47" s="22"/>
      <c r="AX47" s="7"/>
      <c r="AY47" s="96"/>
      <c r="AZ47" s="48"/>
      <c r="BA47" s="48"/>
      <c r="BB47" s="47"/>
      <c r="BC47" s="47"/>
      <c r="BD47"/>
    </row>
    <row r="48" spans="1:56" x14ac:dyDescent="0.25">
      <c r="A48" s="27"/>
      <c r="K48" s="96" t="s">
        <v>115</v>
      </c>
      <c r="L48" s="302">
        <f>+L46-L47</f>
        <v>-8.976217037819062E-3</v>
      </c>
      <c r="N48" s="163">
        <f>+R1</f>
        <v>0</v>
      </c>
      <c r="O48" s="163"/>
      <c r="S48" t="s">
        <v>117</v>
      </c>
      <c r="AU48" s="47"/>
      <c r="AV48" s="47"/>
      <c r="AW48" s="22"/>
      <c r="AX48" s="7"/>
      <c r="AY48" s="96"/>
      <c r="AZ48" s="48"/>
      <c r="BA48" s="48"/>
      <c r="BB48" s="47"/>
      <c r="BC48" s="47"/>
      <c r="BD48"/>
    </row>
    <row r="49" spans="1:56" x14ac:dyDescent="0.25">
      <c r="A49" s="27"/>
      <c r="K49" s="96"/>
      <c r="N49" s="273">
        <f>+N47-N48</f>
        <v>9.8531182659093997E-3</v>
      </c>
      <c r="O49" s="163"/>
      <c r="AU49" s="47"/>
      <c r="AV49" s="47"/>
      <c r="AW49" s="22"/>
      <c r="AX49" s="7"/>
      <c r="AY49" s="96"/>
      <c r="AZ49" s="48"/>
      <c r="BA49" s="48"/>
      <c r="BB49" s="47"/>
      <c r="BC49" s="47"/>
      <c r="BD49"/>
    </row>
    <row r="50" spans="1:56" x14ac:dyDescent="0.25">
      <c r="A50" s="27"/>
      <c r="K50" s="96" t="s">
        <v>119</v>
      </c>
      <c r="L50" s="302">
        <v>-1.1299999999999999E-3</v>
      </c>
      <c r="AU50" s="47"/>
      <c r="AV50" s="47"/>
      <c r="AW50" s="22"/>
      <c r="AX50" s="7"/>
      <c r="AY50" s="96"/>
      <c r="AZ50" s="48"/>
      <c r="BA50" s="48"/>
      <c r="BB50" s="47"/>
      <c r="BC50" s="47"/>
      <c r="BD50"/>
    </row>
    <row r="51" spans="1:56" x14ac:dyDescent="0.25">
      <c r="A51" s="27"/>
      <c r="K51" s="96" t="s">
        <v>121</v>
      </c>
      <c r="L51" s="302"/>
      <c r="N51" s="60">
        <f>+N44-'Dvd Holdings'!O46</f>
        <v>-427524.60000002384</v>
      </c>
      <c r="O51" s="60"/>
      <c r="AU51" s="47"/>
      <c r="AV51" s="47"/>
      <c r="AW51" s="22"/>
      <c r="AX51" s="7"/>
      <c r="AY51" s="96"/>
      <c r="AZ51" s="48"/>
      <c r="BA51" s="48"/>
      <c r="BB51" s="47"/>
      <c r="BC51" s="47"/>
      <c r="BD51"/>
    </row>
    <row r="52" spans="1:56" x14ac:dyDescent="0.25">
      <c r="A52" s="27"/>
      <c r="K52"/>
      <c r="AU52" s="47"/>
      <c r="AV52" s="47"/>
      <c r="AW52" s="22"/>
      <c r="AX52" s="7"/>
      <c r="AY52" s="96"/>
      <c r="AZ52" s="48"/>
      <c r="BA52" s="48"/>
      <c r="BB52" s="47"/>
      <c r="BC52" s="47"/>
      <c r="BD52"/>
    </row>
    <row r="53" spans="1:56" x14ac:dyDescent="0.25">
      <c r="A53" s="27"/>
      <c r="H53" s="5"/>
      <c r="K53" s="7"/>
      <c r="M53" s="286">
        <v>44944</v>
      </c>
      <c r="N53" s="287">
        <f>+N46*H61</f>
        <v>0</v>
      </c>
      <c r="O53" s="754"/>
      <c r="P53" s="5"/>
      <c r="Q53" s="5"/>
      <c r="R53" s="5"/>
      <c r="S53" s="277"/>
      <c r="T53" s="5"/>
      <c r="U53" s="5"/>
      <c r="V53" s="5"/>
      <c r="AU53" s="47"/>
      <c r="AV53" s="47"/>
      <c r="AW53" s="22"/>
      <c r="AX53" s="7"/>
      <c r="AY53" s="96"/>
      <c r="AZ53" s="48"/>
      <c r="BA53" s="48"/>
      <c r="BB53" s="47"/>
      <c r="BC53" s="47"/>
      <c r="BD53"/>
    </row>
    <row r="54" spans="1:56" x14ac:dyDescent="0.25">
      <c r="A54" s="27"/>
      <c r="H54" s="5">
        <v>286022588</v>
      </c>
      <c r="K54" s="7"/>
      <c r="M54" s="97"/>
      <c r="N54" s="288" t="s">
        <v>172</v>
      </c>
      <c r="O54" s="289"/>
      <c r="P54" s="5"/>
      <c r="Q54" s="5"/>
      <c r="R54" s="5"/>
      <c r="S54" s="5"/>
      <c r="T54" s="5"/>
      <c r="U54" s="5"/>
      <c r="V54" s="5"/>
      <c r="AU54" s="47"/>
      <c r="AV54" s="47"/>
      <c r="AW54" s="22"/>
      <c r="AX54" s="7"/>
      <c r="AY54" s="96"/>
      <c r="AZ54" s="48"/>
      <c r="BA54" s="48"/>
      <c r="BB54" s="47"/>
      <c r="BC54" s="47"/>
      <c r="BD54"/>
    </row>
    <row r="55" spans="1:56" x14ac:dyDescent="0.25">
      <c r="A55" s="27"/>
      <c r="H55" s="5">
        <v>34335224</v>
      </c>
      <c r="K55" s="7"/>
      <c r="N55" s="289"/>
      <c r="O55" s="289"/>
      <c r="P55" s="5"/>
      <c r="Q55" s="5"/>
      <c r="R55" s="78"/>
      <c r="S55" s="5"/>
      <c r="T55" s="5"/>
      <c r="U55" s="5"/>
      <c r="V55" s="78"/>
      <c r="AU55" s="7"/>
      <c r="AV55" s="47"/>
      <c r="AW55" s="47"/>
      <c r="AX55" s="22"/>
      <c r="AY55" s="7"/>
      <c r="AZ55" s="96"/>
      <c r="BA55" s="48"/>
      <c r="BB55" s="48"/>
      <c r="BC55" s="47"/>
      <c r="BD55" s="47"/>
    </row>
    <row r="56" spans="1:56" x14ac:dyDescent="0.25">
      <c r="H56" s="5">
        <f>+H54-H55</f>
        <v>251687364</v>
      </c>
      <c r="K56"/>
      <c r="BB56"/>
      <c r="BD56"/>
    </row>
    <row r="57" spans="1:56" x14ac:dyDescent="0.25">
      <c r="H57" s="5"/>
      <c r="K57"/>
      <c r="BB57"/>
      <c r="BD57"/>
    </row>
    <row r="58" spans="1:56" x14ac:dyDescent="0.25">
      <c r="K58"/>
      <c r="BB58"/>
      <c r="BD58"/>
    </row>
    <row r="59" spans="1:56" x14ac:dyDescent="0.25">
      <c r="K59"/>
      <c r="BB59"/>
      <c r="BD59"/>
    </row>
    <row r="60" spans="1:56" x14ac:dyDescent="0.25">
      <c r="K60"/>
      <c r="BB60"/>
      <c r="BD60"/>
    </row>
    <row r="61" spans="1:56" x14ac:dyDescent="0.25">
      <c r="K61"/>
      <c r="BB61"/>
      <c r="BD61"/>
    </row>
    <row r="62" spans="1:56" x14ac:dyDescent="0.25">
      <c r="K62"/>
      <c r="BB62"/>
      <c r="BD62"/>
    </row>
    <row r="63" spans="1:56" x14ac:dyDescent="0.25">
      <c r="K63"/>
      <c r="BB63"/>
      <c r="BD63"/>
    </row>
    <row r="64" spans="1:56" x14ac:dyDescent="0.25">
      <c r="K64"/>
      <c r="BB64"/>
      <c r="BD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spans="11:60" x14ac:dyDescent="0.25">
      <c r="K97"/>
      <c r="BB97"/>
      <c r="BD97"/>
    </row>
    <row r="98" spans="11:60" x14ac:dyDescent="0.25">
      <c r="K98"/>
      <c r="BB98"/>
      <c r="BD98"/>
    </row>
    <row r="99" spans="11:60" x14ac:dyDescent="0.25">
      <c r="K99"/>
      <c r="BB99"/>
      <c r="BD99"/>
    </row>
    <row r="100" spans="11:60" x14ac:dyDescent="0.25">
      <c r="K100"/>
      <c r="BB100"/>
      <c r="BD100"/>
    </row>
    <row r="101" spans="11:60" x14ac:dyDescent="0.25">
      <c r="K101"/>
      <c r="BB101"/>
      <c r="BD101"/>
    </row>
    <row r="102" spans="11:60" x14ac:dyDescent="0.25">
      <c r="K102"/>
      <c r="BB102"/>
      <c r="BD102"/>
    </row>
    <row r="103" spans="11:60" x14ac:dyDescent="0.25">
      <c r="K103"/>
      <c r="BB103"/>
      <c r="BD103"/>
    </row>
    <row r="104" spans="11:60" x14ac:dyDescent="0.25">
      <c r="K104"/>
      <c r="BB104"/>
      <c r="BD104"/>
    </row>
    <row r="105" spans="11:60" x14ac:dyDescent="0.25">
      <c r="K105"/>
      <c r="BB105"/>
      <c r="BD105"/>
    </row>
    <row r="106" spans="11:60" x14ac:dyDescent="0.25">
      <c r="K106"/>
      <c r="BB106"/>
      <c r="BD106"/>
    </row>
    <row r="107" spans="11:60" x14ac:dyDescent="0.25">
      <c r="K107"/>
      <c r="AZ107" s="47"/>
      <c r="BA107" s="47"/>
      <c r="BC107" s="7"/>
      <c r="BG107" s="7"/>
      <c r="BH107" s="7"/>
    </row>
    <row r="108" spans="11:60" x14ac:dyDescent="0.25">
      <c r="K108"/>
      <c r="AZ108" s="47"/>
      <c r="BA108" s="47"/>
      <c r="BC108" s="7"/>
      <c r="BG108" s="7"/>
      <c r="BH108" s="7"/>
    </row>
    <row r="109" spans="11:60" x14ac:dyDescent="0.25">
      <c r="K109"/>
      <c r="AZ109" s="47"/>
      <c r="BA109" s="47"/>
      <c r="BG109" s="7"/>
      <c r="BH109" s="7"/>
    </row>
    <row r="110" spans="11:60" x14ac:dyDescent="0.25">
      <c r="K110"/>
      <c r="AZ110" s="47"/>
      <c r="BA110" s="47"/>
    </row>
    <row r="111" spans="11:60" x14ac:dyDescent="0.25">
      <c r="K111"/>
      <c r="AZ111" s="47"/>
      <c r="BA111" s="47"/>
    </row>
    <row r="112" spans="11:60" x14ac:dyDescent="0.25">
      <c r="K112"/>
      <c r="AZ112" s="47"/>
      <c r="BA112" s="47"/>
    </row>
    <row r="113" spans="11:53" x14ac:dyDescent="0.25">
      <c r="K113"/>
      <c r="AZ113" s="47"/>
      <c r="BA113" s="47"/>
    </row>
    <row r="114" spans="11:53" x14ac:dyDescent="0.25">
      <c r="K114"/>
      <c r="S114" s="77"/>
      <c r="X114" s="77"/>
      <c r="Y114" s="77"/>
      <c r="Z114" s="77"/>
      <c r="AA114" s="77"/>
      <c r="AB114" s="77"/>
      <c r="AZ114" s="47"/>
      <c r="BA114" s="47"/>
    </row>
    <row r="115" spans="11:53" x14ac:dyDescent="0.25">
      <c r="K115"/>
      <c r="R115" s="77"/>
      <c r="S115" s="77"/>
      <c r="W115" s="77"/>
      <c r="X115" s="77"/>
      <c r="Y115" s="77"/>
      <c r="Z115" s="77"/>
      <c r="AA115" s="77"/>
      <c r="AB115" s="77"/>
    </row>
    <row r="116" spans="11:53" x14ac:dyDescent="0.25">
      <c r="K116"/>
      <c r="R116" s="77"/>
      <c r="S116" s="77"/>
      <c r="W116" s="77"/>
      <c r="X116" s="77"/>
      <c r="Y116" s="77"/>
      <c r="Z116" s="77"/>
      <c r="AA116" s="77"/>
      <c r="AB116" s="77"/>
    </row>
    <row r="117" spans="11:53" x14ac:dyDescent="0.25">
      <c r="K117"/>
      <c r="R117" s="77"/>
      <c r="S117" s="77"/>
      <c r="W117" s="77"/>
      <c r="X117" s="77"/>
      <c r="Y117" s="77"/>
      <c r="Z117" s="77"/>
      <c r="AA117" s="77"/>
      <c r="AB117" s="77"/>
    </row>
    <row r="118" spans="11:53" x14ac:dyDescent="0.25">
      <c r="K118"/>
      <c r="R118" s="77"/>
      <c r="S118" s="77"/>
      <c r="W118" s="77"/>
      <c r="X118" s="77"/>
      <c r="Y118" s="77"/>
      <c r="Z118" s="77"/>
      <c r="AA118" s="77"/>
      <c r="AB118" s="77"/>
    </row>
    <row r="119" spans="11:53" x14ac:dyDescent="0.25">
      <c r="K119"/>
      <c r="R119" s="77"/>
      <c r="S119" s="77"/>
      <c r="W119" s="77"/>
      <c r="X119" s="77"/>
      <c r="Y119" s="77"/>
      <c r="Z119" s="77"/>
      <c r="AA119" s="77"/>
      <c r="AB119" s="77"/>
    </row>
    <row r="120" spans="11:53" x14ac:dyDescent="0.25">
      <c r="K120"/>
      <c r="R120" s="77"/>
      <c r="S120" s="77"/>
      <c r="W120" s="77"/>
      <c r="X120" s="77"/>
      <c r="Y120" s="77"/>
      <c r="Z120" s="77"/>
      <c r="AA120" s="77"/>
      <c r="AB120" s="77"/>
    </row>
    <row r="121" spans="11:53" x14ac:dyDescent="0.25">
      <c r="K121"/>
      <c r="R121" s="77"/>
      <c r="S121" s="77"/>
      <c r="W121" s="77"/>
      <c r="X121" s="77"/>
      <c r="Y121" s="77"/>
      <c r="Z121" s="77"/>
      <c r="AA121" s="77"/>
      <c r="AB121" s="77"/>
    </row>
    <row r="122" spans="11:53" x14ac:dyDescent="0.25">
      <c r="K122"/>
      <c r="R122" s="77"/>
      <c r="S122" s="77"/>
      <c r="W122" s="77"/>
      <c r="X122" s="77"/>
      <c r="Y122" s="77"/>
      <c r="Z122" s="77"/>
      <c r="AA122" s="77"/>
      <c r="AB122" s="77"/>
    </row>
    <row r="123" spans="11:53" x14ac:dyDescent="0.25">
      <c r="K123"/>
      <c r="R123" s="77"/>
      <c r="S123" s="77"/>
      <c r="W123" s="77"/>
      <c r="X123" s="77"/>
      <c r="Y123" s="77"/>
      <c r="Z123" s="77"/>
      <c r="AA123" s="77"/>
      <c r="AB123" s="77"/>
    </row>
    <row r="124" spans="11:53" x14ac:dyDescent="0.25">
      <c r="K124"/>
      <c r="R124" s="77"/>
      <c r="S124" s="77"/>
      <c r="W124" s="77"/>
      <c r="X124" s="77"/>
      <c r="Y124" s="77"/>
      <c r="Z124" s="77"/>
      <c r="AA124" s="77"/>
      <c r="AB124" s="77"/>
    </row>
    <row r="125" spans="11:53" x14ac:dyDescent="0.25">
      <c r="K125"/>
      <c r="R125" s="77"/>
      <c r="S125" s="77"/>
      <c r="W125" s="77"/>
      <c r="X125" s="77"/>
      <c r="Y125" s="77"/>
      <c r="Z125" s="77"/>
      <c r="AA125" s="77"/>
      <c r="AB125" s="77"/>
    </row>
    <row r="126" spans="11:53" x14ac:dyDescent="0.25">
      <c r="K126"/>
      <c r="R126" s="77"/>
      <c r="S126" s="77"/>
      <c r="W126" s="77"/>
      <c r="X126" s="77"/>
      <c r="Y126" s="77"/>
      <c r="Z126" s="77"/>
      <c r="AA126" s="77"/>
      <c r="AB126" s="77"/>
    </row>
    <row r="127" spans="11:53" x14ac:dyDescent="0.25">
      <c r="K127"/>
      <c r="R127" s="77"/>
      <c r="S127" s="77"/>
      <c r="W127" s="77"/>
      <c r="X127" s="77"/>
      <c r="Y127" s="77"/>
      <c r="Z127" s="77"/>
      <c r="AA127" s="77"/>
      <c r="AB127" s="77"/>
    </row>
    <row r="128" spans="11:53" x14ac:dyDescent="0.25">
      <c r="K128"/>
      <c r="R128" s="77"/>
      <c r="S128" s="77"/>
      <c r="W128" s="77"/>
      <c r="X128" s="77"/>
      <c r="Y128" s="77"/>
      <c r="Z128" s="77"/>
      <c r="AA128" s="77"/>
      <c r="AB128" s="77"/>
    </row>
    <row r="129" spans="11:28" x14ac:dyDescent="0.25">
      <c r="K129"/>
      <c r="R129" s="77"/>
      <c r="S129" s="77"/>
      <c r="W129" s="77"/>
      <c r="X129" s="77"/>
      <c r="Y129" s="77"/>
      <c r="Z129" s="77"/>
      <c r="AA129" s="77"/>
      <c r="AB129" s="77"/>
    </row>
    <row r="130" spans="11:28" x14ac:dyDescent="0.25">
      <c r="K130"/>
      <c r="R130" s="77"/>
      <c r="S130" s="77"/>
      <c r="W130" s="77"/>
      <c r="X130" s="77"/>
      <c r="Y130" s="77"/>
      <c r="Z130" s="77"/>
      <c r="AA130" s="77"/>
      <c r="AB130" s="77"/>
    </row>
    <row r="131" spans="11:28" x14ac:dyDescent="0.25">
      <c r="K131"/>
      <c r="R131" s="77"/>
      <c r="S131" s="77"/>
      <c r="W131" s="77"/>
      <c r="X131" s="77"/>
      <c r="Y131" s="77"/>
      <c r="Z131" s="77"/>
      <c r="AA131" s="77"/>
      <c r="AB131" s="77"/>
    </row>
    <row r="132" spans="11:28" x14ac:dyDescent="0.25">
      <c r="K132"/>
      <c r="R132" s="77"/>
      <c r="S132" s="77"/>
      <c r="W132" s="77"/>
      <c r="X132" s="77"/>
      <c r="Y132" s="77"/>
      <c r="Z132" s="77"/>
      <c r="AA132" s="77"/>
      <c r="AB132" s="77"/>
    </row>
    <row r="133" spans="11:28" x14ac:dyDescent="0.25">
      <c r="K133"/>
      <c r="R133" s="77"/>
      <c r="S133" s="77"/>
      <c r="W133" s="77"/>
      <c r="X133" s="77"/>
      <c r="Y133" s="77"/>
      <c r="Z133" s="77"/>
      <c r="AA133" s="77"/>
      <c r="AB133" s="77"/>
    </row>
    <row r="134" spans="11:28" x14ac:dyDescent="0.25">
      <c r="K134"/>
      <c r="R134" s="77"/>
      <c r="S134" s="77"/>
      <c r="W134" s="77"/>
      <c r="X134" s="77"/>
      <c r="Y134" s="77"/>
      <c r="Z134" s="77"/>
      <c r="AA134" s="77"/>
      <c r="AB134" s="77"/>
    </row>
    <row r="135" spans="11:28" x14ac:dyDescent="0.25">
      <c r="K135"/>
      <c r="R135" s="77"/>
      <c r="S135" s="77"/>
      <c r="W135" s="77"/>
      <c r="X135" s="77"/>
      <c r="Y135" s="77"/>
      <c r="Z135" s="77"/>
      <c r="AA135" s="77"/>
      <c r="AB135" s="77"/>
    </row>
    <row r="136" spans="11:28" x14ac:dyDescent="0.25">
      <c r="K136"/>
      <c r="R136" s="77"/>
      <c r="S136" s="77"/>
      <c r="W136" s="77"/>
      <c r="X136" s="77"/>
      <c r="Y136" s="77"/>
      <c r="Z136" s="77"/>
      <c r="AA136" s="77"/>
      <c r="AB136" s="77"/>
    </row>
    <row r="137" spans="11:28" x14ac:dyDescent="0.25">
      <c r="K137"/>
      <c r="R137" s="77"/>
      <c r="S137" s="77"/>
      <c r="W137" s="77"/>
      <c r="X137" s="77"/>
      <c r="Y137" s="77"/>
      <c r="Z137" s="77"/>
      <c r="AA137" s="77"/>
      <c r="AB137" s="77"/>
    </row>
    <row r="138" spans="11:28" x14ac:dyDescent="0.25">
      <c r="K138"/>
      <c r="R138" s="77"/>
      <c r="S138" s="77"/>
      <c r="W138" s="77"/>
      <c r="X138" s="77"/>
      <c r="Y138" s="77"/>
      <c r="Z138" s="77"/>
      <c r="AA138" s="77"/>
      <c r="AB138" s="77"/>
    </row>
    <row r="139" spans="11:28" x14ac:dyDescent="0.25">
      <c r="K139"/>
      <c r="R139" s="77"/>
      <c r="S139" s="77"/>
      <c r="W139" s="77"/>
      <c r="X139" s="77"/>
      <c r="Y139" s="77"/>
      <c r="Z139" s="77"/>
      <c r="AA139" s="77"/>
      <c r="AB139" s="77"/>
    </row>
    <row r="140" spans="11:28" x14ac:dyDescent="0.25">
      <c r="K140"/>
      <c r="R140" s="77"/>
      <c r="S140" s="77"/>
      <c r="W140" s="77"/>
      <c r="X140" s="77"/>
      <c r="Y140" s="77"/>
      <c r="Z140" s="77"/>
      <c r="AA140" s="77"/>
      <c r="AB140" s="77"/>
    </row>
    <row r="141" spans="11:28" x14ac:dyDescent="0.25">
      <c r="K141"/>
      <c r="R141" s="77"/>
      <c r="S141" s="77"/>
      <c r="W141" s="77"/>
      <c r="X141" s="77"/>
      <c r="Y141" s="77"/>
      <c r="Z141" s="77"/>
      <c r="AA141" s="77"/>
      <c r="AB141" s="77"/>
    </row>
    <row r="142" spans="11:28" x14ac:dyDescent="0.25">
      <c r="K142"/>
      <c r="R142" s="77"/>
      <c r="S142" s="77"/>
      <c r="W142" s="77"/>
      <c r="X142" s="77"/>
      <c r="Y142" s="77"/>
      <c r="Z142" s="77"/>
      <c r="AA142" s="77"/>
      <c r="AB142" s="77"/>
    </row>
    <row r="143" spans="11:28" x14ac:dyDescent="0.25">
      <c r="K143"/>
      <c r="R143" s="77"/>
      <c r="S143" s="77"/>
      <c r="W143" s="77"/>
      <c r="X143" s="77"/>
      <c r="Y143" s="77"/>
      <c r="Z143" s="77"/>
      <c r="AA143" s="77"/>
      <c r="AB143" s="77"/>
    </row>
    <row r="144" spans="11:28" x14ac:dyDescent="0.25">
      <c r="K144"/>
      <c r="R144" s="77"/>
      <c r="S144" s="77"/>
      <c r="W144" s="77"/>
      <c r="X144" s="77"/>
      <c r="Y144" s="77"/>
      <c r="Z144" s="77"/>
      <c r="AA144" s="77"/>
      <c r="AB144" s="77"/>
    </row>
    <row r="145" spans="11:28" x14ac:dyDescent="0.25">
      <c r="K145"/>
      <c r="R145" s="77"/>
      <c r="S145" s="77"/>
      <c r="W145" s="77"/>
      <c r="X145" s="77"/>
      <c r="Y145" s="77"/>
      <c r="Z145" s="77"/>
      <c r="AA145" s="77"/>
      <c r="AB145" s="77"/>
    </row>
    <row r="146" spans="11:28" x14ac:dyDescent="0.25">
      <c r="K146"/>
      <c r="R146" s="77"/>
      <c r="S146" s="77"/>
      <c r="W146" s="77"/>
      <c r="X146" s="77"/>
      <c r="Y146" s="77"/>
      <c r="Z146" s="77"/>
      <c r="AA146" s="77"/>
      <c r="AB146" s="77"/>
    </row>
    <row r="147" spans="11:28" x14ac:dyDescent="0.25">
      <c r="K147"/>
      <c r="R147" s="77"/>
      <c r="S147" s="77"/>
      <c r="W147" s="77"/>
      <c r="X147" s="77"/>
      <c r="Y147" s="77"/>
      <c r="Z147" s="77"/>
      <c r="AA147" s="77"/>
      <c r="AB147" s="77"/>
    </row>
    <row r="148" spans="11:28" x14ac:dyDescent="0.25">
      <c r="K148"/>
      <c r="R148" s="77"/>
      <c r="S148" s="77"/>
      <c r="W148" s="77"/>
      <c r="X148" s="77"/>
      <c r="Y148" s="77"/>
      <c r="Z148" s="77"/>
      <c r="AA148" s="77"/>
      <c r="AB148" s="77"/>
    </row>
    <row r="149" spans="11:28" x14ac:dyDescent="0.25">
      <c r="K149"/>
      <c r="R149" s="77"/>
      <c r="S149" s="84"/>
      <c r="W149" s="77"/>
      <c r="X149" s="84"/>
      <c r="Y149" s="84"/>
      <c r="Z149" s="84"/>
      <c r="AA149" s="84"/>
      <c r="AB149" s="84"/>
    </row>
    <row r="150" spans="11:28" x14ac:dyDescent="0.25">
      <c r="K150"/>
      <c r="R150" s="84"/>
      <c r="S150" s="77"/>
      <c r="W150" s="84"/>
      <c r="X150" s="77"/>
      <c r="Y150" s="77"/>
      <c r="Z150" s="77"/>
      <c r="AA150" s="77"/>
      <c r="AB150" s="77"/>
    </row>
    <row r="151" spans="11:28" x14ac:dyDescent="0.25">
      <c r="K151"/>
      <c r="R151" s="77"/>
      <c r="S151" s="77"/>
      <c r="W151" s="77"/>
      <c r="X151" s="77"/>
      <c r="Y151" s="77"/>
      <c r="Z151" s="77"/>
      <c r="AA151" s="77"/>
      <c r="AB151" s="77"/>
    </row>
    <row r="152" spans="11:28" x14ac:dyDescent="0.25">
      <c r="K152"/>
      <c r="R152" s="77"/>
      <c r="S152" s="77"/>
      <c r="W152" s="77"/>
      <c r="X152" s="77"/>
      <c r="Y152" s="77"/>
      <c r="Z152" s="77"/>
      <c r="AA152" s="77"/>
      <c r="AB152" s="77"/>
    </row>
    <row r="153" spans="11:28" x14ac:dyDescent="0.25">
      <c r="K153"/>
      <c r="R153" s="77"/>
      <c r="S153" s="77"/>
      <c r="W153" s="77"/>
      <c r="X153" s="77"/>
      <c r="Y153" s="77"/>
      <c r="Z153" s="77"/>
      <c r="AA153" s="77"/>
      <c r="AB153" s="77"/>
    </row>
    <row r="154" spans="11:28" x14ac:dyDescent="0.25">
      <c r="K154"/>
      <c r="R154" s="77"/>
      <c r="S154" s="77"/>
      <c r="W154" s="77"/>
      <c r="X154" s="77"/>
      <c r="Y154" s="77"/>
      <c r="Z154" s="77"/>
      <c r="AA154" s="77"/>
      <c r="AB154" s="77"/>
    </row>
    <row r="155" spans="11:28" x14ac:dyDescent="0.25">
      <c r="K155"/>
      <c r="R155" s="77"/>
      <c r="S155" s="77"/>
      <c r="W155" s="77"/>
      <c r="X155" s="77"/>
      <c r="Y155" s="77"/>
      <c r="Z155" s="77"/>
      <c r="AA155" s="77"/>
      <c r="AB155" s="77"/>
    </row>
    <row r="156" spans="11:28" x14ac:dyDescent="0.25">
      <c r="K156"/>
      <c r="R156" s="77"/>
      <c r="S156" s="77"/>
      <c r="W156" s="77"/>
      <c r="X156" s="77"/>
      <c r="Y156" s="77"/>
      <c r="Z156" s="77"/>
      <c r="AA156" s="77"/>
      <c r="AB156" s="77"/>
    </row>
    <row r="157" spans="11:28" x14ac:dyDescent="0.25">
      <c r="K157"/>
      <c r="R157" s="77"/>
      <c r="S157" s="77"/>
      <c r="W157" s="77"/>
      <c r="X157" s="77"/>
      <c r="Y157" s="77"/>
      <c r="Z157" s="77"/>
      <c r="AA157" s="77"/>
      <c r="AB157" s="77"/>
    </row>
    <row r="158" spans="11:28" x14ac:dyDescent="0.25">
      <c r="K158"/>
      <c r="R158" s="77"/>
      <c r="S158" s="77"/>
      <c r="W158" s="77"/>
      <c r="X158" s="77"/>
      <c r="Y158" s="77"/>
      <c r="Z158" s="77"/>
      <c r="AA158" s="77"/>
      <c r="AB158" s="77"/>
    </row>
    <row r="159" spans="11:28" x14ac:dyDescent="0.25">
      <c r="K159"/>
      <c r="R159" s="77"/>
      <c r="S159" s="77"/>
      <c r="W159" s="77"/>
      <c r="X159" s="77"/>
      <c r="Y159" s="77"/>
      <c r="Z159" s="77"/>
      <c r="AA159" s="77"/>
      <c r="AB159" s="77"/>
    </row>
    <row r="160" spans="11:28" x14ac:dyDescent="0.25">
      <c r="K160"/>
      <c r="R160" s="77"/>
      <c r="S160" s="77"/>
      <c r="W160" s="77"/>
      <c r="X160" s="77"/>
      <c r="Y160" s="77"/>
      <c r="Z160" s="77"/>
      <c r="AA160" s="77"/>
      <c r="AB160" s="77"/>
    </row>
    <row r="161" spans="11:28" x14ac:dyDescent="0.25">
      <c r="K161"/>
      <c r="R161" s="77"/>
      <c r="S161" s="77"/>
      <c r="W161" s="77"/>
      <c r="X161" s="77"/>
      <c r="Y161" s="77"/>
      <c r="Z161" s="77"/>
      <c r="AA161" s="77"/>
      <c r="AB161" s="77"/>
    </row>
    <row r="162" spans="11:28" x14ac:dyDescent="0.25">
      <c r="K162"/>
      <c r="R162" s="77"/>
      <c r="S162" s="77"/>
      <c r="W162" s="77"/>
      <c r="X162" s="77"/>
      <c r="Y162" s="77"/>
      <c r="Z162" s="77"/>
      <c r="AA162" s="77"/>
      <c r="AB162" s="77"/>
    </row>
    <row r="163" spans="11:28" x14ac:dyDescent="0.25">
      <c r="K163"/>
      <c r="R163" s="77"/>
      <c r="S163" s="77"/>
      <c r="W163" s="77"/>
      <c r="X163" s="77"/>
      <c r="Y163" s="77"/>
      <c r="Z163" s="77"/>
      <c r="AA163" s="77"/>
      <c r="AB163" s="77"/>
    </row>
    <row r="164" spans="11:28" x14ac:dyDescent="0.25">
      <c r="K164"/>
      <c r="R164" s="77"/>
      <c r="S164" s="77"/>
      <c r="W164" s="77"/>
      <c r="X164" s="77"/>
      <c r="Y164" s="77"/>
      <c r="Z164" s="77"/>
      <c r="AA164" s="77"/>
      <c r="AB164" s="77"/>
    </row>
    <row r="165" spans="11:28" x14ac:dyDescent="0.25">
      <c r="K165"/>
      <c r="R165" s="77"/>
      <c r="S165" s="77"/>
      <c r="W165" s="77"/>
      <c r="X165" s="77"/>
      <c r="Y165" s="77"/>
      <c r="Z165" s="77"/>
      <c r="AA165" s="77"/>
      <c r="AB165" s="77"/>
    </row>
    <row r="166" spans="11:28" x14ac:dyDescent="0.25">
      <c r="K166"/>
      <c r="R166" s="77"/>
      <c r="S166" s="77"/>
      <c r="W166" s="77"/>
      <c r="X166" s="77"/>
      <c r="Y166" s="77"/>
      <c r="Z166" s="77"/>
      <c r="AA166" s="77"/>
      <c r="AB166" s="77"/>
    </row>
    <row r="167" spans="11:28" x14ac:dyDescent="0.25">
      <c r="K167"/>
      <c r="R167" s="77"/>
      <c r="S167" s="77"/>
      <c r="W167" s="77"/>
      <c r="X167" s="77"/>
      <c r="Y167" s="77"/>
      <c r="Z167" s="77"/>
      <c r="AA167" s="77"/>
      <c r="AB167" s="77"/>
    </row>
    <row r="168" spans="11:28" x14ac:dyDescent="0.25">
      <c r="K168"/>
      <c r="R168" s="77"/>
      <c r="S168" s="77"/>
      <c r="W168" s="77"/>
      <c r="X168" s="77"/>
      <c r="Y168" s="77"/>
      <c r="Z168" s="77"/>
      <c r="AA168" s="77"/>
      <c r="AB168" s="77"/>
    </row>
    <row r="169" spans="11:28" x14ac:dyDescent="0.25">
      <c r="K169"/>
      <c r="R169" s="77"/>
      <c r="S169" s="77"/>
      <c r="W169" s="77"/>
      <c r="X169" s="77"/>
      <c r="Y169" s="77"/>
      <c r="Z169" s="77"/>
      <c r="AA169" s="77"/>
      <c r="AB169" s="77"/>
    </row>
    <row r="170" spans="11:28" x14ac:dyDescent="0.25">
      <c r="K170"/>
      <c r="R170" s="77"/>
      <c r="W170" s="77"/>
    </row>
    <row r="171" spans="11:28" x14ac:dyDescent="0.25">
      <c r="K171"/>
      <c r="S171" s="11"/>
      <c r="X171" s="11"/>
      <c r="Y171" s="11"/>
      <c r="Z171" s="11"/>
      <c r="AA171" s="11"/>
      <c r="AB171" s="11"/>
    </row>
    <row r="172" spans="11:28" x14ac:dyDescent="0.25">
      <c r="K172"/>
      <c r="R172" s="11"/>
      <c r="W172" s="11"/>
    </row>
    <row r="173" spans="11:28" x14ac:dyDescent="0.25">
      <c r="K173"/>
    </row>
    <row r="174" spans="11:28" x14ac:dyDescent="0.25">
      <c r="K174"/>
    </row>
    <row r="175" spans="11:28" x14ac:dyDescent="0.25">
      <c r="K175"/>
      <c r="S175" s="77"/>
      <c r="X175" s="77"/>
      <c r="Y175" s="77"/>
      <c r="Z175" s="77"/>
      <c r="AA175" s="77"/>
      <c r="AB175" s="77"/>
    </row>
    <row r="176" spans="11:28" x14ac:dyDescent="0.25">
      <c r="K176"/>
      <c r="R176" s="77"/>
      <c r="S176" s="77"/>
      <c r="W176" s="77"/>
      <c r="X176" s="77"/>
      <c r="Y176" s="77"/>
      <c r="Z176" s="77"/>
      <c r="AA176" s="77"/>
      <c r="AB176" s="77"/>
    </row>
    <row r="177" spans="11:28" x14ac:dyDescent="0.25">
      <c r="K177"/>
      <c r="R177" s="77"/>
      <c r="S177" s="77"/>
      <c r="W177" s="77"/>
      <c r="X177" s="77"/>
      <c r="Y177" s="77"/>
      <c r="Z177" s="77"/>
      <c r="AA177" s="77"/>
      <c r="AB177" s="77"/>
    </row>
    <row r="178" spans="11:28" x14ac:dyDescent="0.25">
      <c r="K178"/>
      <c r="R178" s="77"/>
      <c r="S178" s="84"/>
      <c r="W178" s="77"/>
      <c r="X178" s="84"/>
      <c r="Y178" s="84"/>
      <c r="Z178" s="84"/>
      <c r="AA178" s="84"/>
      <c r="AB178" s="84"/>
    </row>
    <row r="179" spans="11:28" x14ac:dyDescent="0.25">
      <c r="K179"/>
      <c r="R179" s="84"/>
      <c r="S179" s="77"/>
      <c r="W179" s="84"/>
      <c r="X179" s="77"/>
      <c r="Y179" s="77"/>
      <c r="Z179" s="77"/>
      <c r="AA179" s="77"/>
      <c r="AB179" s="77"/>
    </row>
    <row r="180" spans="11:28" x14ac:dyDescent="0.25">
      <c r="K180"/>
      <c r="R180" s="77"/>
      <c r="S180" s="77"/>
      <c r="W180" s="77"/>
      <c r="X180" s="77"/>
      <c r="Y180" s="77"/>
      <c r="Z180" s="77"/>
      <c r="AA180" s="77"/>
      <c r="AB180" s="77"/>
    </row>
    <row r="181" spans="11:28" x14ac:dyDescent="0.25">
      <c r="K181"/>
      <c r="R181" s="77"/>
      <c r="S181" s="77"/>
      <c r="W181" s="77"/>
      <c r="X181" s="77"/>
      <c r="Y181" s="77"/>
      <c r="Z181" s="77"/>
      <c r="AA181" s="77"/>
      <c r="AB181" s="77"/>
    </row>
    <row r="182" spans="11:28" x14ac:dyDescent="0.25">
      <c r="K182"/>
      <c r="R182" s="77"/>
      <c r="S182" s="77"/>
      <c r="W182" s="77"/>
      <c r="X182" s="77"/>
      <c r="Y182" s="77"/>
      <c r="Z182" s="77"/>
      <c r="AA182" s="77"/>
      <c r="AB182" s="77"/>
    </row>
    <row r="183" spans="11:28" x14ac:dyDescent="0.25">
      <c r="K183"/>
      <c r="R183" s="77"/>
      <c r="S183" s="77"/>
      <c r="W183" s="77"/>
      <c r="X183" s="77"/>
      <c r="Y183" s="77"/>
      <c r="Z183" s="77"/>
      <c r="AA183" s="77"/>
      <c r="AB183" s="77"/>
    </row>
    <row r="184" spans="11:28" x14ac:dyDescent="0.25">
      <c r="K184"/>
      <c r="R184" s="77"/>
      <c r="S184" s="77"/>
      <c r="W184" s="77"/>
      <c r="X184" s="77"/>
      <c r="Y184" s="77"/>
      <c r="Z184" s="77"/>
      <c r="AA184" s="77"/>
      <c r="AB184" s="77"/>
    </row>
    <row r="185" spans="11:28" x14ac:dyDescent="0.25">
      <c r="K185"/>
      <c r="R185" s="77"/>
      <c r="W185" s="77"/>
    </row>
    <row r="186" spans="11:28" x14ac:dyDescent="0.25">
      <c r="K186"/>
      <c r="S186" s="10"/>
      <c r="X186" s="10"/>
      <c r="Y186" s="10"/>
      <c r="Z186" s="10"/>
      <c r="AA186" s="10"/>
      <c r="AB186" s="10"/>
    </row>
    <row r="187" spans="11:28" x14ac:dyDescent="0.25">
      <c r="K187"/>
      <c r="R187" s="10"/>
      <c r="W187" s="10"/>
    </row>
    <row r="188" spans="11:28" x14ac:dyDescent="0.25">
      <c r="K188"/>
    </row>
    <row r="189" spans="11:28" x14ac:dyDescent="0.25">
      <c r="K189"/>
      <c r="S189" s="190"/>
      <c r="X189" s="190"/>
      <c r="Y189" s="190"/>
      <c r="Z189" s="190"/>
      <c r="AA189" s="190"/>
      <c r="AB189" s="190"/>
    </row>
    <row r="190" spans="11:28" x14ac:dyDescent="0.25">
      <c r="K190"/>
      <c r="R190" s="190"/>
      <c r="W190" s="190"/>
    </row>
    <row r="191" spans="11:28" x14ac:dyDescent="0.25">
      <c r="K191"/>
    </row>
    <row r="192" spans="11:28" x14ac:dyDescent="0.25">
      <c r="K192"/>
      <c r="S192" s="60"/>
      <c r="X192" s="60"/>
      <c r="Y192" s="60"/>
      <c r="Z192" s="60"/>
      <c r="AA192" s="60"/>
      <c r="AB192" s="60"/>
    </row>
    <row r="193" spans="11:28" x14ac:dyDescent="0.25">
      <c r="K193"/>
      <c r="R193" s="60"/>
      <c r="W193" s="60"/>
    </row>
    <row r="194" spans="11:28" x14ac:dyDescent="0.25">
      <c r="K194"/>
    </row>
    <row r="195" spans="11:28" x14ac:dyDescent="0.25">
      <c r="K195"/>
      <c r="S195" s="5"/>
      <c r="X195" s="5"/>
      <c r="Y195" s="5"/>
      <c r="Z195" s="5"/>
      <c r="AA195" s="5"/>
      <c r="AB195" s="5"/>
    </row>
    <row r="196" spans="11:28" x14ac:dyDescent="0.25">
      <c r="K196"/>
      <c r="R196" s="5"/>
      <c r="S196" s="5"/>
      <c r="W196" s="5"/>
      <c r="X196" s="5"/>
      <c r="Y196" s="5"/>
      <c r="Z196" s="5"/>
      <c r="AA196" s="5"/>
      <c r="AB196" s="5"/>
    </row>
    <row r="197" spans="11:28" x14ac:dyDescent="0.25">
      <c r="K197"/>
      <c r="R197" s="5"/>
      <c r="S197" s="5"/>
      <c r="W197" s="5"/>
      <c r="X197" s="5"/>
      <c r="Y197" s="5"/>
      <c r="Z197" s="5"/>
      <c r="AA197" s="5"/>
      <c r="AB197" s="5"/>
    </row>
    <row r="198" spans="11:28" x14ac:dyDescent="0.25">
      <c r="K198"/>
      <c r="P198" s="5"/>
      <c r="Q198" s="5"/>
      <c r="R198" s="5"/>
      <c r="T198" s="5"/>
      <c r="U198" s="5"/>
      <c r="V198" s="5"/>
      <c r="W198" s="5"/>
    </row>
    <row r="199" spans="11:28" x14ac:dyDescent="0.25">
      <c r="K199"/>
    </row>
    <row r="200" spans="11:28" x14ac:dyDescent="0.25">
      <c r="K200"/>
    </row>
    <row r="201" spans="11:28" x14ac:dyDescent="0.25">
      <c r="K201"/>
    </row>
    <row r="202" spans="11:28" x14ac:dyDescent="0.25">
      <c r="K202"/>
    </row>
    <row r="203" spans="11:28" x14ac:dyDescent="0.25">
      <c r="K203"/>
    </row>
    <row r="204" spans="11:28" x14ac:dyDescent="0.25">
      <c r="K204"/>
    </row>
    <row r="205" spans="11:28" x14ac:dyDescent="0.25">
      <c r="K205"/>
    </row>
    <row r="206" spans="11:28" x14ac:dyDescent="0.25">
      <c r="K206"/>
    </row>
    <row r="207" spans="11:28" x14ac:dyDescent="0.25">
      <c r="K207"/>
    </row>
    <row r="208" spans="11:28" x14ac:dyDescent="0.25">
      <c r="K208"/>
    </row>
    <row r="209" spans="11:11" x14ac:dyDescent="0.25">
      <c r="K209"/>
    </row>
    <row r="210" spans="11:11" x14ac:dyDescent="0.25">
      <c r="K210"/>
    </row>
    <row r="211" spans="11:11" x14ac:dyDescent="0.25">
      <c r="K211"/>
    </row>
    <row r="212" spans="11:11" x14ac:dyDescent="0.25">
      <c r="K212"/>
    </row>
    <row r="213" spans="11:11" x14ac:dyDescent="0.25">
      <c r="K213"/>
    </row>
    <row r="214" spans="11:11" x14ac:dyDescent="0.25">
      <c r="K214"/>
    </row>
    <row r="215" spans="11:11" x14ac:dyDescent="0.25">
      <c r="K215"/>
    </row>
    <row r="216" spans="11:11" x14ac:dyDescent="0.25">
      <c r="K216"/>
    </row>
    <row r="217" spans="11:11" x14ac:dyDescent="0.25">
      <c r="K217"/>
    </row>
    <row r="218" spans="11:11" x14ac:dyDescent="0.25">
      <c r="K218"/>
    </row>
    <row r="219" spans="11:11" x14ac:dyDescent="0.25">
      <c r="K219"/>
    </row>
    <row r="220" spans="11:11" x14ac:dyDescent="0.25">
      <c r="K220"/>
    </row>
    <row r="221" spans="11:11" x14ac:dyDescent="0.25">
      <c r="K221"/>
    </row>
    <row r="222" spans="11:11" x14ac:dyDescent="0.25">
      <c r="K222"/>
    </row>
    <row r="223" spans="11:11" x14ac:dyDescent="0.25">
      <c r="K223"/>
    </row>
    <row r="224" spans="11:11" x14ac:dyDescent="0.25">
      <c r="K224"/>
    </row>
    <row r="225" spans="11:11" x14ac:dyDescent="0.25">
      <c r="K225"/>
    </row>
    <row r="226" spans="11:11" x14ac:dyDescent="0.25">
      <c r="K226"/>
    </row>
    <row r="227" spans="11:11" x14ac:dyDescent="0.25">
      <c r="K227"/>
    </row>
    <row r="228" spans="11:11" x14ac:dyDescent="0.25">
      <c r="K228"/>
    </row>
    <row r="229" spans="11:11" x14ac:dyDescent="0.25">
      <c r="K229"/>
    </row>
    <row r="230" spans="11:11" x14ac:dyDescent="0.25">
      <c r="K230"/>
    </row>
    <row r="231" spans="11:11" x14ac:dyDescent="0.25">
      <c r="K231"/>
    </row>
    <row r="232" spans="11:11" x14ac:dyDescent="0.25">
      <c r="K232"/>
    </row>
    <row r="233" spans="11:11" x14ac:dyDescent="0.25">
      <c r="K233"/>
    </row>
    <row r="234" spans="11:11" x14ac:dyDescent="0.25">
      <c r="K234"/>
    </row>
    <row r="235" spans="11:11" x14ac:dyDescent="0.25">
      <c r="K235"/>
    </row>
    <row r="236" spans="11:11" x14ac:dyDescent="0.25">
      <c r="K236"/>
    </row>
    <row r="237" spans="11:11" x14ac:dyDescent="0.25">
      <c r="K237"/>
    </row>
    <row r="238" spans="11:11" x14ac:dyDescent="0.25">
      <c r="K238"/>
    </row>
    <row r="239" spans="11:11" x14ac:dyDescent="0.25">
      <c r="K239"/>
    </row>
    <row r="240" spans="11:11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</sheetData>
  <sortState xmlns:xlrd2="http://schemas.microsoft.com/office/spreadsheetml/2017/richdata2" ref="B4:AA41">
    <sortCondition descending="1" ref="Q4:Q41"/>
  </sortState>
  <mergeCells count="4">
    <mergeCell ref="A1:E1"/>
    <mergeCell ref="F1:G1"/>
    <mergeCell ref="P44:Q44"/>
    <mergeCell ref="T44:U44"/>
  </mergeCells>
  <conditionalFormatting sqref="Q4:Q41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4:U42"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A41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8FF6-77AE-46F3-A0ED-DCF1F8D4324F}">
  <sheetPr codeName="Sheet13"/>
  <dimension ref="B1:AJ127"/>
  <sheetViews>
    <sheetView zoomScale="80" zoomScaleNormal="80" workbookViewId="0">
      <selection activeCell="AD29" sqref="AD29"/>
    </sheetView>
  </sheetViews>
  <sheetFormatPr defaultRowHeight="15" x14ac:dyDescent="0.25"/>
  <cols>
    <col min="1" max="1" width="5.5703125" customWidth="1"/>
    <col min="2" max="2" width="15.42578125" customWidth="1"/>
    <col min="4" max="4" width="10.5703125" bestFit="1" customWidth="1"/>
    <col min="5" max="5" width="13" customWidth="1"/>
    <col min="6" max="6" width="5.85546875" bestFit="1" customWidth="1"/>
    <col min="7" max="7" width="18.5703125" customWidth="1"/>
    <col min="8" max="8" width="5.42578125" customWidth="1"/>
    <col min="9" max="9" width="14.42578125" customWidth="1"/>
    <col min="10" max="10" width="12.5703125" customWidth="1"/>
    <col min="11" max="11" width="12.42578125" customWidth="1"/>
    <col min="12" max="12" width="15.7109375" customWidth="1"/>
    <col min="13" max="13" width="12.140625" customWidth="1"/>
    <col min="14" max="14" width="11.140625" customWidth="1"/>
    <col min="15" max="15" width="4" customWidth="1"/>
    <col min="16" max="16" width="10.7109375" customWidth="1"/>
    <col min="17" max="17" width="11.5703125" customWidth="1"/>
    <col min="18" max="18" width="11.28515625" customWidth="1"/>
    <col min="19" max="19" width="7.85546875" customWidth="1"/>
    <col min="20" max="20" width="18.85546875" customWidth="1"/>
    <col min="21" max="21" width="13.7109375" customWidth="1"/>
    <col min="23" max="23" width="7.7109375" customWidth="1"/>
    <col min="24" max="24" width="8.5703125" customWidth="1"/>
    <col min="25" max="25" width="17.140625" customWidth="1"/>
    <col min="26" max="26" width="6.7109375" customWidth="1"/>
    <col min="27" max="27" width="14.5703125" customWidth="1"/>
    <col min="28" max="28" width="13" customWidth="1"/>
    <col min="29" max="29" width="8.85546875" customWidth="1"/>
    <col min="30" max="30" width="20.5703125" customWidth="1"/>
    <col min="31" max="31" width="15.7109375" customWidth="1"/>
    <col min="32" max="32" width="18.140625" customWidth="1"/>
    <col min="33" max="33" width="9.5703125" customWidth="1"/>
    <col min="34" max="34" width="12.85546875" customWidth="1"/>
    <col min="35" max="35" width="13.85546875" customWidth="1"/>
    <col min="36" max="36" width="11" customWidth="1"/>
    <col min="37" max="37" width="10" customWidth="1"/>
    <col min="40" max="40" width="8.42578125" customWidth="1"/>
    <col min="42" max="43" width="8.7109375" customWidth="1"/>
    <col min="44" max="44" width="10.140625" bestFit="1" customWidth="1"/>
    <col min="50" max="50" width="16.28515625" bestFit="1" customWidth="1"/>
  </cols>
  <sheetData>
    <row r="1" spans="2:36" ht="35.25" customHeight="1" thickBot="1" x14ac:dyDescent="0.3">
      <c r="C1" s="947">
        <v>2023</v>
      </c>
      <c r="D1" s="914"/>
      <c r="E1" s="172" t="s">
        <v>77</v>
      </c>
      <c r="F1" s="47"/>
      <c r="G1" s="110"/>
      <c r="H1" s="110"/>
      <c r="I1" s="201" t="s">
        <v>67</v>
      </c>
      <c r="J1" s="202" t="s">
        <v>123</v>
      </c>
      <c r="K1" s="202" t="s">
        <v>476</v>
      </c>
      <c r="L1" s="948" t="s">
        <v>477</v>
      </c>
      <c r="M1" s="949"/>
      <c r="N1" s="204">
        <v>2023</v>
      </c>
      <c r="O1" s="701"/>
      <c r="P1" s="950" t="s">
        <v>798</v>
      </c>
      <c r="Q1" s="950"/>
      <c r="R1" s="950"/>
      <c r="S1" s="702"/>
      <c r="T1" s="54" t="s">
        <v>132</v>
      </c>
      <c r="U1" s="939" t="s">
        <v>68</v>
      </c>
      <c r="V1" s="940"/>
      <c r="X1" s="939" t="s">
        <v>134</v>
      </c>
      <c r="Y1" s="940"/>
      <c r="Z1" s="946" t="s">
        <v>138</v>
      </c>
      <c r="AA1" s="946"/>
      <c r="AD1" s="939" t="s">
        <v>145</v>
      </c>
      <c r="AE1" s="940"/>
      <c r="AG1" s="941" t="s">
        <v>150</v>
      </c>
      <c r="AH1" s="942"/>
      <c r="AI1" s="943"/>
    </row>
    <row r="2" spans="2:36" ht="21.75" thickBot="1" x14ac:dyDescent="0.35">
      <c r="B2" s="224" t="s">
        <v>139</v>
      </c>
      <c r="C2" s="847">
        <v>39</v>
      </c>
      <c r="D2" s="195"/>
      <c r="E2" s="198"/>
      <c r="F2" s="189"/>
      <c r="G2" s="154" t="s">
        <v>0</v>
      </c>
      <c r="H2" s="189"/>
      <c r="I2" s="203" t="s">
        <v>67</v>
      </c>
      <c r="J2" s="703" t="s">
        <v>478</v>
      </c>
      <c r="K2" s="206" t="s">
        <v>126</v>
      </c>
      <c r="L2" s="200" t="s">
        <v>124</v>
      </c>
      <c r="M2" s="207" t="s">
        <v>125</v>
      </c>
      <c r="N2" s="704" t="s">
        <v>128</v>
      </c>
      <c r="O2" s="705"/>
      <c r="P2" s="706" t="s">
        <v>126</v>
      </c>
      <c r="Q2" s="707" t="s">
        <v>124</v>
      </c>
      <c r="R2" s="708" t="s">
        <v>125</v>
      </c>
      <c r="S2" s="132"/>
      <c r="T2" s="709" t="s">
        <v>160</v>
      </c>
      <c r="U2" s="57"/>
      <c r="V2" s="219" t="s">
        <v>125</v>
      </c>
      <c r="X2" s="944" t="s">
        <v>135</v>
      </c>
      <c r="Y2" s="945"/>
      <c r="AA2" s="227" t="s">
        <v>142</v>
      </c>
      <c r="AB2" s="228" t="s">
        <v>143</v>
      </c>
      <c r="AD2" s="230" t="s">
        <v>144</v>
      </c>
      <c r="AE2" s="233" t="s">
        <v>148</v>
      </c>
      <c r="AG2" s="240" t="s">
        <v>151</v>
      </c>
      <c r="AH2" s="240" t="s">
        <v>152</v>
      </c>
      <c r="AI2" s="240" t="s">
        <v>153</v>
      </c>
    </row>
    <row r="3" spans="2:36" ht="16.5" thickBot="1" x14ac:dyDescent="0.3">
      <c r="B3" s="226" t="s">
        <v>140</v>
      </c>
      <c r="C3" s="2"/>
      <c r="E3" s="710" t="s">
        <v>2</v>
      </c>
      <c r="F3" s="99"/>
      <c r="G3" s="81"/>
      <c r="H3" s="99"/>
      <c r="I3" s="711"/>
      <c r="J3" s="11"/>
      <c r="K3" s="712"/>
      <c r="L3" s="713"/>
      <c r="M3" s="714"/>
      <c r="N3" s="715"/>
      <c r="O3" s="716"/>
      <c r="P3" s="244" t="s">
        <v>127</v>
      </c>
      <c r="R3" s="208"/>
      <c r="T3" s="2"/>
      <c r="V3" s="214"/>
      <c r="X3" s="717" t="s">
        <v>136</v>
      </c>
      <c r="Y3" s="517" t="s">
        <v>137</v>
      </c>
      <c r="AA3" s="718" t="s">
        <v>141</v>
      </c>
      <c r="AB3" s="719"/>
      <c r="AD3" s="223" t="s">
        <v>147</v>
      </c>
      <c r="AE3" s="720" t="s">
        <v>146</v>
      </c>
      <c r="AG3" s="721" t="s">
        <v>154</v>
      </c>
      <c r="AH3" s="721" t="s">
        <v>156</v>
      </c>
      <c r="AI3" s="721" t="s">
        <v>155</v>
      </c>
      <c r="AJ3" s="722"/>
    </row>
    <row r="4" spans="2:36" ht="15.75" x14ac:dyDescent="0.25">
      <c r="B4" s="225">
        <f>_xll.BDP(C4&amp;" EQUITY",$B$2)/1000000000</f>
        <v>573.47207543630009</v>
      </c>
      <c r="C4" s="3" t="s">
        <v>15</v>
      </c>
      <c r="D4" s="101">
        <v>110000</v>
      </c>
      <c r="E4" s="199">
        <f>_xll.BDP(C4&amp;" EQUITY",$E$1)</f>
        <v>199.30009999999999</v>
      </c>
      <c r="F4" s="99"/>
      <c r="G4" s="62">
        <f t="shared" ref="G4:G40" si="0">+E4*D4</f>
        <v>21923011</v>
      </c>
      <c r="H4" s="99"/>
      <c r="I4" s="205">
        <f>_xll.BDP(C4&amp;" EQUITY",$J$1)</f>
        <v>12.114043069457082</v>
      </c>
      <c r="J4" s="205"/>
      <c r="K4" s="209">
        <f t="shared" ref="K4:K40" si="1">+E4/I4</f>
        <v>16.451988725588382</v>
      </c>
      <c r="L4" s="193">
        <f t="shared" ref="L4:L36" si="2">+(K4/N4)-1</f>
        <v>1.6926331793107008</v>
      </c>
      <c r="M4" s="210">
        <f t="shared" ref="M4:M40" si="3">+RANK(L4,$L$4:$L$41)</f>
        <v>7</v>
      </c>
      <c r="N4" s="715">
        <v>6.11</v>
      </c>
      <c r="O4" s="723"/>
      <c r="P4" s="724">
        <v>6.6</v>
      </c>
      <c r="Q4" s="93">
        <f t="shared" ref="Q4:Q40" si="4">+(P4/K4)-1</f>
        <v>-0.59883269371958803</v>
      </c>
      <c r="R4" s="210">
        <f t="shared" ref="R4:R40" si="5">+RANK(Q4,$Q$4:$Q$41)</f>
        <v>32</v>
      </c>
      <c r="S4" s="99"/>
      <c r="T4" s="218">
        <f>_xll.BDP(C4&amp;" EQUITY",$T$1)</f>
        <v>3.0300000000000002</v>
      </c>
      <c r="U4" s="220">
        <f>+I4/T4</f>
        <v>3.9980340163224692</v>
      </c>
      <c r="V4" s="210" t="e">
        <f>+RANK(U4,$U$4:$U$41)</f>
        <v>#VALUE!</v>
      </c>
      <c r="X4" s="238">
        <f>_xll.BDP(C4&amp;" EQUITY",$X$2)*0.01</f>
        <v>2.3120805733118383E-2</v>
      </c>
      <c r="Y4" s="229">
        <f>_xll.BDP(C4&amp;" EQUITY",$Z$1)*0.01</f>
        <v>7.5027179718017575E-2</v>
      </c>
      <c r="AA4" s="232"/>
      <c r="AB4" s="231"/>
      <c r="AD4" s="234"/>
      <c r="AE4" s="235">
        <f>_xll.BDP(C4&amp;" EQUITY",$AE$2)</f>
        <v>71.547852104853931</v>
      </c>
      <c r="AG4" s="241">
        <f>_xll.BDP(C4&amp;" EQUITY",$AG$3)</f>
        <v>23</v>
      </c>
      <c r="AH4" s="241">
        <f>_xll.BDP(C4&amp;" EQUITY",$AH$3)</f>
        <v>7</v>
      </c>
      <c r="AI4" s="241">
        <f>_xll.BDP(C4&amp;" EQUITY",$AI$3)</f>
        <v>1</v>
      </c>
      <c r="AJ4" s="243">
        <f t="shared" ref="AJ4:AJ40" si="6">SUM(AG4:AI4)</f>
        <v>31</v>
      </c>
    </row>
    <row r="5" spans="2:36" ht="15.75" x14ac:dyDescent="0.25">
      <c r="B5" s="225">
        <f>_xll.BDP(C5&amp;" EQUITY",$B$2)/1000000000</f>
        <v>335.46307912380001</v>
      </c>
      <c r="C5" s="3" t="s">
        <v>13</v>
      </c>
      <c r="D5" s="101">
        <v>40000</v>
      </c>
      <c r="E5" s="199">
        <f>_xll.BDP(C5&amp;" EQUITY",$E$1)</f>
        <v>337.36</v>
      </c>
      <c r="F5" s="99"/>
      <c r="G5" s="62">
        <f t="shared" si="0"/>
        <v>13494400</v>
      </c>
      <c r="H5" s="99"/>
      <c r="I5" s="205">
        <f>_xll.BDP(C5&amp;" EQUITY",$J$1)</f>
        <v>22.08225051975052</v>
      </c>
      <c r="J5" s="205">
        <f>_xll.BDP(C5&amp;" EQUITY",$K$1)</f>
        <v>15.60609103655133</v>
      </c>
      <c r="K5" s="209">
        <f t="shared" si="1"/>
        <v>15.277428344464386</v>
      </c>
      <c r="L5" s="193">
        <f t="shared" si="2"/>
        <v>0.56210923767529519</v>
      </c>
      <c r="M5" s="210">
        <f t="shared" si="3"/>
        <v>13</v>
      </c>
      <c r="N5" s="715">
        <v>9.7799999999999994</v>
      </c>
      <c r="O5" s="723"/>
      <c r="P5" s="724">
        <v>12.59</v>
      </c>
      <c r="Q5" s="93">
        <f t="shared" si="4"/>
        <v>-0.17590842410582452</v>
      </c>
      <c r="R5" s="211">
        <f t="shared" si="5"/>
        <v>30</v>
      </c>
      <c r="S5" s="99"/>
      <c r="T5" s="218">
        <f>_xll.BDP(C5&amp;" EQUITY",$T$1)</f>
        <v>3.43</v>
      </c>
      <c r="U5" s="220">
        <f>+I5/T5</f>
        <v>6.4379739124637085</v>
      </c>
      <c r="V5" s="210" t="e">
        <f>+RANK(U5,$U$4:$U$41)</f>
        <v>#VALUE!</v>
      </c>
      <c r="X5" s="239">
        <f>_xll.BDP(C5&amp;" EQUITY",$X$2)*0.01</f>
        <v>2.6603606266627257E-2</v>
      </c>
      <c r="Y5" s="229">
        <f>_xll.BDP(C5&amp;" EQUITY",$Z$1)*0.01</f>
        <v>0.12672613143920899</v>
      </c>
      <c r="AA5" s="232">
        <f>_xll.BDP(C5&amp;" EQUITY",$AA$3)</f>
        <v>17946</v>
      </c>
      <c r="AB5" s="231">
        <f t="shared" ref="AB5:AB13" si="7">+AA5/(B5*1000)</f>
        <v>5.3496200079225911E-2</v>
      </c>
      <c r="AD5" s="236">
        <f>_xll.BDP(C5&amp;" EQUITY",$AD$2)</f>
        <v>2.0921739840052229</v>
      </c>
      <c r="AE5" s="237">
        <f>_xll.BDP(C5&amp;" EQUITY",$AE$2)</f>
        <v>98.05060218466997</v>
      </c>
      <c r="AG5" s="242">
        <f>_xll.BDP(C5&amp;" EQUITY",$AG$3)</f>
        <v>24</v>
      </c>
      <c r="AH5" s="242">
        <f>_xll.BDP(C5&amp;" EQUITY",$AH$3)</f>
        <v>14</v>
      </c>
      <c r="AI5" s="242">
        <f>_xll.BDP(C5&amp;" EQUITY",$AI$3)</f>
        <v>4</v>
      </c>
      <c r="AJ5" s="243">
        <f t="shared" si="6"/>
        <v>42</v>
      </c>
    </row>
    <row r="6" spans="2:36" ht="15.75" x14ac:dyDescent="0.25">
      <c r="B6" s="225">
        <f>_xll.BDP(C6&amp;" EQUITY",$B$2)/1000000000</f>
        <v>312.34558998169996</v>
      </c>
      <c r="C6" s="3" t="s">
        <v>11</v>
      </c>
      <c r="D6" s="101">
        <v>330000</v>
      </c>
      <c r="E6" s="199">
        <f>_xll.BDP(C6&amp;" EQUITY",$E$1)</f>
        <v>39.555</v>
      </c>
      <c r="F6" s="99"/>
      <c r="G6" s="62">
        <f t="shared" si="0"/>
        <v>13053150</v>
      </c>
      <c r="H6" s="99"/>
      <c r="I6" s="205">
        <f>_xll.BDP(C6&amp;" EQUITY",$J$1)</f>
        <v>12.384463014546581</v>
      </c>
      <c r="J6" s="205"/>
      <c r="K6" s="209">
        <f t="shared" si="1"/>
        <v>3.1939212829445545</v>
      </c>
      <c r="L6" s="193">
        <f t="shared" si="2"/>
        <v>-0.34281455083445389</v>
      </c>
      <c r="M6" s="210">
        <f t="shared" si="3"/>
        <v>23</v>
      </c>
      <c r="N6" s="715">
        <v>4.8600000000000003</v>
      </c>
      <c r="O6" s="723"/>
      <c r="P6" s="724">
        <v>7.02</v>
      </c>
      <c r="Q6" s="93">
        <f t="shared" si="4"/>
        <v>1.197925176643079</v>
      </c>
      <c r="R6" s="211">
        <f t="shared" si="5"/>
        <v>16</v>
      </c>
      <c r="S6" s="99"/>
      <c r="T6" s="218"/>
      <c r="U6" s="220"/>
      <c r="V6" s="210"/>
      <c r="X6" s="239"/>
      <c r="Y6" s="229"/>
      <c r="AA6" s="232"/>
      <c r="AB6" s="231"/>
      <c r="AD6" s="236"/>
      <c r="AE6" s="237">
        <f>_xll.BDP(C6&amp;" EQUITY",$AE$2)</f>
        <v>71.27056475564622</v>
      </c>
      <c r="AG6" s="242">
        <f>_xll.BDP(C6&amp;" EQUITY",$AG$3)</f>
        <v>14</v>
      </c>
      <c r="AH6" s="242">
        <f>_xll.BDP(C6&amp;" EQUITY",$AH$3)</f>
        <v>14</v>
      </c>
      <c r="AI6" s="242">
        <f>_xll.BDP(C6&amp;" EQUITY",$AI$3)</f>
        <v>1</v>
      </c>
      <c r="AJ6" s="243">
        <f t="shared" si="6"/>
        <v>29</v>
      </c>
    </row>
    <row r="7" spans="2:36" ht="15.75" x14ac:dyDescent="0.25">
      <c r="B7" s="225">
        <f>_xll.BDP(C7&amp;" EQUITY",$B$2)/1000000000</f>
        <v>292.81868527450001</v>
      </c>
      <c r="C7" s="3" t="s">
        <v>7</v>
      </c>
      <c r="D7" s="101">
        <v>75000</v>
      </c>
      <c r="E7" s="199">
        <f>_xll.BDP(C7&amp;" EQUITY",$E$1)</f>
        <v>159.11000000000001</v>
      </c>
      <c r="F7" s="99"/>
      <c r="G7" s="62">
        <f t="shared" si="0"/>
        <v>11933250.000000002</v>
      </c>
      <c r="H7" s="99"/>
      <c r="I7" s="205">
        <f>_xll.BDP(C7&amp;" EQUITY",$J$1)</f>
        <v>12.239820752530324</v>
      </c>
      <c r="J7" s="205">
        <f>_xll.BDP(C7&amp;" EQUITY",$K$1)</f>
        <v>7.3133685979743301</v>
      </c>
      <c r="K7" s="209">
        <f t="shared" si="1"/>
        <v>12.999373374573919</v>
      </c>
      <c r="L7" s="193">
        <f t="shared" si="2"/>
        <v>16.566720776451241</v>
      </c>
      <c r="M7" s="212">
        <f t="shared" si="3"/>
        <v>3</v>
      </c>
      <c r="N7" s="715">
        <v>0.74</v>
      </c>
      <c r="O7" s="723"/>
      <c r="P7" s="724">
        <v>4.1399999999999997</v>
      </c>
      <c r="Q7" s="93">
        <f t="shared" si="4"/>
        <v>-0.68152311032948565</v>
      </c>
      <c r="R7" s="213">
        <f t="shared" si="5"/>
        <v>34</v>
      </c>
      <c r="S7" s="99"/>
      <c r="T7" s="218" t="str">
        <f>_xll.BDP(C7&amp;" EQUITY",$T$1)</f>
        <v>#N/A N/A</v>
      </c>
      <c r="U7" s="220" t="e">
        <f>+I7/T7</f>
        <v>#VALUE!</v>
      </c>
      <c r="V7" s="210" t="e">
        <f>+RANK(U7,$U$4:$U$41)</f>
        <v>#VALUE!</v>
      </c>
      <c r="X7" s="239"/>
      <c r="Y7" s="229"/>
      <c r="AA7" s="232">
        <f>_xll.BDP(C7&amp;" EQUITY",$AA$3)</f>
        <v>19780</v>
      </c>
      <c r="AB7" s="231">
        <f t="shared" si="7"/>
        <v>6.7550334028231268E-2</v>
      </c>
      <c r="AD7" s="236">
        <f>_xll.BDP(C7&amp;" EQUITY",$AD$2)</f>
        <v>0.51610844541092493</v>
      </c>
      <c r="AE7" s="237">
        <f>_xll.BDP(C7&amp;" EQUITY",$AE$2)</f>
        <v>13.867095037739563</v>
      </c>
      <c r="AG7" s="242">
        <f>_xll.BDP(C7&amp;" EQUITY",$AG$3)</f>
        <v>18</v>
      </c>
      <c r="AH7" s="242">
        <f>_xll.BDP(C7&amp;" EQUITY",$AH$3)</f>
        <v>8</v>
      </c>
      <c r="AI7" s="242">
        <f>_xll.BDP(C7&amp;" EQUITY",$AI$3)</f>
        <v>0</v>
      </c>
      <c r="AJ7" s="243">
        <f t="shared" si="6"/>
        <v>26</v>
      </c>
    </row>
    <row r="8" spans="2:36" ht="15.75" x14ac:dyDescent="0.25">
      <c r="B8" s="225">
        <f>_xll.BDP(C8&amp;" EQUITY",$B$2)/1000000000</f>
        <v>90.873338697399987</v>
      </c>
      <c r="C8" s="3" t="s">
        <v>40</v>
      </c>
      <c r="D8" s="101">
        <v>60600</v>
      </c>
      <c r="E8" s="199">
        <f>_xll.BDP(C8&amp;" EQUITY",$E$1)</f>
        <v>193.8</v>
      </c>
      <c r="F8" s="99"/>
      <c r="G8" s="62">
        <f t="shared" si="0"/>
        <v>11744280</v>
      </c>
      <c r="H8" s="99"/>
      <c r="I8" s="205">
        <f>_xll.BDP(C8&amp;" EQUITY",$J$1)</f>
        <v>29.704366282595512</v>
      </c>
      <c r="J8" s="205">
        <f>_xll.BDP(C8&amp;" EQUITY",$K$1)</f>
        <v>18.814960800489658</v>
      </c>
      <c r="K8" s="209">
        <f t="shared" si="1"/>
        <v>6.5242933700811516</v>
      </c>
      <c r="L8" s="193">
        <f t="shared" si="2"/>
        <v>-0.69195970868360945</v>
      </c>
      <c r="M8" s="210">
        <f t="shared" si="3"/>
        <v>29</v>
      </c>
      <c r="N8" s="715">
        <v>21.18</v>
      </c>
      <c r="O8" s="723"/>
      <c r="P8" s="724">
        <v>27.87</v>
      </c>
      <c r="Q8" s="93">
        <f t="shared" si="4"/>
        <v>3.2717269777912126</v>
      </c>
      <c r="R8" s="210">
        <f t="shared" si="5"/>
        <v>8</v>
      </c>
      <c r="S8" s="99"/>
      <c r="T8" s="218">
        <f>_xll.BDP(C8&amp;" EQUITY",$T$1)</f>
        <v>11.484999999999999</v>
      </c>
      <c r="U8" s="220">
        <f>+I8/T8</f>
        <v>2.5863618879055736</v>
      </c>
      <c r="V8" s="210" t="e">
        <f>+RANK(U8,$U$4:$U$41)</f>
        <v>#VALUE!</v>
      </c>
      <c r="X8" s="239">
        <f>_xll.BDP(C8&amp;" EQUITY",$X$2)*0.01</f>
        <v>3.3299075123707535E-2</v>
      </c>
      <c r="Y8" s="229">
        <f>_xll.BDP(C8&amp;" EQUITY",$Z$1)*0.01</f>
        <v>0.13714788436889649</v>
      </c>
      <c r="AA8" s="232">
        <f>_xll.BDP(C8&amp;" EQUITY",$AA$3)</f>
        <v>2924.2999999999997</v>
      </c>
      <c r="AB8" s="231">
        <f t="shared" si="7"/>
        <v>3.2179955550413468E-2</v>
      </c>
      <c r="AD8" s="236">
        <f>_xll.BDP(C8&amp;" EQUITY",$AD$2)</f>
        <v>6.297271327216964</v>
      </c>
      <c r="AE8" s="237">
        <f>_xll.BDP(C8&amp;" EQUITY",$AE$2)</f>
        <v>81.273073860483066</v>
      </c>
      <c r="AG8" s="242">
        <f>_xll.BDP(C8&amp;" EQUITY",$AG$3)</f>
        <v>18</v>
      </c>
      <c r="AH8" s="242">
        <f>_xll.BDP(C8&amp;" EQUITY",$AH$3)</f>
        <v>7</v>
      </c>
      <c r="AI8" s="242">
        <f>_xll.BDP(C8&amp;" EQUITY",$AI$3)</f>
        <v>0</v>
      </c>
      <c r="AJ8" s="243">
        <f t="shared" si="6"/>
        <v>25</v>
      </c>
    </row>
    <row r="9" spans="2:36" ht="15.75" x14ac:dyDescent="0.25">
      <c r="B9" s="225">
        <f>_xll.BDP(C9&amp;" EQUITY",$B$2)/1000000000</f>
        <v>303.90584511009996</v>
      </c>
      <c r="C9" s="3" t="s">
        <v>202</v>
      </c>
      <c r="D9" s="101">
        <v>66900</v>
      </c>
      <c r="E9" s="199">
        <f>_xll.BDP(C9&amp;" EQUITY",$E$1)</f>
        <v>172.1</v>
      </c>
      <c r="F9" s="99"/>
      <c r="G9" s="62">
        <f t="shared" si="0"/>
        <v>11513490</v>
      </c>
      <c r="H9" s="99"/>
      <c r="I9" s="205">
        <f>_xll.BDP(C9&amp;" EQUITY",$J$1)</f>
        <v>15.272323411816968</v>
      </c>
      <c r="J9" s="205">
        <f>_xll.BDP(C9&amp;" EQUITY",$K$1)</f>
        <v>16.791612780426465</v>
      </c>
      <c r="K9" s="209">
        <f t="shared" si="1"/>
        <v>11.268750363604632</v>
      </c>
      <c r="L9" s="193">
        <f t="shared" si="2"/>
        <v>-0.38219570374974599</v>
      </c>
      <c r="M9" s="211">
        <f t="shared" si="3"/>
        <v>24</v>
      </c>
      <c r="N9" s="715">
        <v>18.239999999999998</v>
      </c>
      <c r="O9" s="723"/>
      <c r="P9" s="724">
        <v>24.53</v>
      </c>
      <c r="Q9" s="93">
        <f t="shared" si="4"/>
        <v>1.1768163468441037</v>
      </c>
      <c r="R9" s="210">
        <f t="shared" si="5"/>
        <v>17</v>
      </c>
      <c r="S9" s="99"/>
      <c r="T9" s="218"/>
      <c r="U9" s="220"/>
      <c r="V9" s="210"/>
      <c r="X9" s="239">
        <f>_xll.BDP(C9&amp;" EQUITY",$X$2)*0.01</f>
        <v>3.6025565422807306E-2</v>
      </c>
      <c r="Y9" s="229">
        <f>_xll.BDP(C9&amp;" EQUITY",$Z$1)*0.01</f>
        <v>8.3401212692260737E-2</v>
      </c>
      <c r="AA9" s="232">
        <f>_xll.BDP(C9&amp;" EQUITY",$AA$3)</f>
        <v>22062</v>
      </c>
      <c r="AB9" s="231">
        <f t="shared" si="7"/>
        <v>7.25948525011334E-2</v>
      </c>
      <c r="AD9" s="236">
        <f>_xll.BDP(C9&amp;" EQUITY",$AD$2)</f>
        <v>3.4528275475923853</v>
      </c>
      <c r="AE9" s="237">
        <f>_xll.BDP(C9&amp;" EQUITY",$AE$2)</f>
        <v>85.290663950313373</v>
      </c>
      <c r="AG9" s="242">
        <f>_xll.BDP(C9&amp;" EQUITY",$AG$3)</f>
        <v>20</v>
      </c>
      <c r="AH9" s="242">
        <f>_xll.BDP(C9&amp;" EQUITY",$AH$3)</f>
        <v>10</v>
      </c>
      <c r="AI9" s="242">
        <f>_xll.BDP(C9&amp;" EQUITY",$AI$3)</f>
        <v>0</v>
      </c>
      <c r="AJ9" s="243">
        <f t="shared" si="6"/>
        <v>30</v>
      </c>
    </row>
    <row r="10" spans="2:36" ht="15.75" x14ac:dyDescent="0.25">
      <c r="B10" s="225">
        <f>_xll.BDP(C10&amp;" EQUITY",$B$2)/1000000000</f>
        <v>37.835824586999991</v>
      </c>
      <c r="C10" s="3" t="s">
        <v>201</v>
      </c>
      <c r="D10" s="101">
        <v>172000</v>
      </c>
      <c r="E10" s="199">
        <f>_xll.BDP(C10&amp;" EQUITY",$E$1)</f>
        <v>53.8</v>
      </c>
      <c r="F10" s="99"/>
      <c r="G10" s="62">
        <f t="shared" si="0"/>
        <v>9253600</v>
      </c>
      <c r="H10" s="99"/>
      <c r="I10" s="205">
        <f>_xll.BDP(C10&amp;" EQUITY",$J$1)</f>
        <v>18.259397223162885</v>
      </c>
      <c r="J10" s="205">
        <f>_xll.BDP(C10&amp;" EQUITY",$K$1)</f>
        <v>10.012016944720733</v>
      </c>
      <c r="K10" s="209">
        <f t="shared" si="1"/>
        <v>2.9464280415430264</v>
      </c>
      <c r="L10" s="193">
        <f t="shared" si="2"/>
        <v>0.73319296561354497</v>
      </c>
      <c r="M10" s="213">
        <f t="shared" si="3"/>
        <v>9</v>
      </c>
      <c r="N10" s="715">
        <v>1.7</v>
      </c>
      <c r="O10" s="723"/>
      <c r="P10" s="724">
        <v>12.31</v>
      </c>
      <c r="Q10" s="93">
        <f t="shared" si="4"/>
        <v>3.1779401452999094</v>
      </c>
      <c r="R10" s="213">
        <f t="shared" si="5"/>
        <v>9</v>
      </c>
      <c r="S10" s="99"/>
      <c r="T10" s="218">
        <f>_xll.BDP(C10&amp;" EQUITY",$T$1)</f>
        <v>35.92</v>
      </c>
      <c r="U10" s="220">
        <f t="shared" ref="U10:U20" si="8">+I10/T10</f>
        <v>0.50833511200342107</v>
      </c>
      <c r="V10" s="210" t="e">
        <f t="shared" ref="V10:V20" si="9">+RANK(U10,$U$4:$U$41)</f>
        <v>#VALUE!</v>
      </c>
      <c r="X10" s="239"/>
      <c r="Y10" s="229"/>
      <c r="AA10" s="232">
        <f>_xll.BDP(C10&amp;" EQUITY",$AA$3)</f>
        <v>2618</v>
      </c>
      <c r="AB10" s="231">
        <f t="shared" si="7"/>
        <v>6.9193681611990521E-2</v>
      </c>
      <c r="AD10" s="236">
        <f>_xll.BDP(C10&amp;" EQUITY",$AD$2)</f>
        <v>3.392884468247896</v>
      </c>
      <c r="AE10" s="237">
        <f>_xll.BDP(C10&amp;" EQUITY",$AE$2)</f>
        <v>46.43417806683113</v>
      </c>
      <c r="AG10" s="242">
        <f>_xll.BDP(C10&amp;" EQUITY",$AG$3)</f>
        <v>5</v>
      </c>
      <c r="AH10" s="242">
        <f>_xll.BDP(C10&amp;" EQUITY",$AH$3)</f>
        <v>21</v>
      </c>
      <c r="AI10" s="242">
        <f>_xll.BDP(C10&amp;" EQUITY",$AI$3)</f>
        <v>0</v>
      </c>
      <c r="AJ10" s="243">
        <f t="shared" si="6"/>
        <v>26</v>
      </c>
    </row>
    <row r="11" spans="2:36" ht="15.75" x14ac:dyDescent="0.25">
      <c r="B11" s="225">
        <f>_xll.BDP(C11&amp;" EQUITY",$B$2)/1000000000</f>
        <v>511.39576099199996</v>
      </c>
      <c r="C11" s="3" t="s">
        <v>8</v>
      </c>
      <c r="D11" s="101">
        <v>80000</v>
      </c>
      <c r="E11" s="199">
        <f>_xll.BDP(C11&amp;" EQUITY",$E$1)</f>
        <v>114.37</v>
      </c>
      <c r="F11" s="99"/>
      <c r="G11" s="62">
        <f t="shared" si="0"/>
        <v>9149600</v>
      </c>
      <c r="H11" s="99"/>
      <c r="I11" s="205">
        <f>_xll.BDP(C11&amp;" EQUITY",$J$1)</f>
        <v>12.049423219388295</v>
      </c>
      <c r="J11" s="205">
        <f>_xll.BDP(C11&amp;" EQUITY",$K$1)</f>
        <v>8.6519884434508132</v>
      </c>
      <c r="K11" s="209">
        <f t="shared" si="1"/>
        <v>9.4917406350182247</v>
      </c>
      <c r="L11" s="193">
        <f t="shared" si="2"/>
        <v>-0.10875674788561274</v>
      </c>
      <c r="M11" s="211">
        <f t="shared" si="3"/>
        <v>17</v>
      </c>
      <c r="N11" s="715">
        <v>10.65</v>
      </c>
      <c r="O11" s="723"/>
      <c r="P11" s="724">
        <v>14.54</v>
      </c>
      <c r="Q11" s="93">
        <f t="shared" si="4"/>
        <v>0.53185812372043206</v>
      </c>
      <c r="R11" s="211">
        <f t="shared" si="5"/>
        <v>20</v>
      </c>
      <c r="S11" s="99"/>
      <c r="T11" s="218"/>
      <c r="U11" s="220"/>
      <c r="V11" s="210"/>
      <c r="X11" s="239">
        <f>_xll.BDP(C11&amp;" EQUITY",$X$2)*0.01</f>
        <v>3.3333332915055122E-2</v>
      </c>
      <c r="Y11" s="229">
        <f>_xll.BDP(C11&amp;" EQUITY",$Z$1)*0.01</f>
        <v>2.4586727619171137E-2</v>
      </c>
      <c r="AA11" s="232">
        <f>_xll.BDP(C11&amp;" EQUITY",$AA$3)</f>
        <v>33450</v>
      </c>
      <c r="AB11" s="231">
        <f t="shared" si="7"/>
        <v>6.5409224228050025E-2</v>
      </c>
      <c r="AD11" s="236">
        <f>_xll.BDP(C11&amp;" EQUITY",$AD$2)</f>
        <v>0.66478169384534458</v>
      </c>
      <c r="AE11" s="237">
        <f>_xll.BDP(C11&amp;" EQUITY",$AE$2)</f>
        <v>18.294211266847604</v>
      </c>
      <c r="AG11" s="242">
        <f>_xll.BDP(C11&amp;" EQUITY",$AG$3)</f>
        <v>18</v>
      </c>
      <c r="AH11" s="242">
        <f>_xll.BDP(C11&amp;" EQUITY",$AH$3)</f>
        <v>12</v>
      </c>
      <c r="AI11" s="242">
        <f>_xll.BDP(C11&amp;" EQUITY",$AI$3)</f>
        <v>0</v>
      </c>
      <c r="AJ11" s="243">
        <f t="shared" si="6"/>
        <v>30</v>
      </c>
    </row>
    <row r="12" spans="2:36" ht="15.75" x14ac:dyDescent="0.25">
      <c r="B12" s="225">
        <f>_xll.BDP(C12&amp;" EQUITY",$B$2)/1000000000</f>
        <v>112.47580376287999</v>
      </c>
      <c r="C12" s="3" t="s">
        <v>25</v>
      </c>
      <c r="D12" s="101">
        <v>20000</v>
      </c>
      <c r="E12" s="199">
        <f>_xll.BDP(C12&amp;" EQUITY",$E$1)</f>
        <v>467.80599999999998</v>
      </c>
      <c r="F12" s="99"/>
      <c r="G12" s="63">
        <f t="shared" si="0"/>
        <v>9356120</v>
      </c>
      <c r="H12" s="99"/>
      <c r="I12" s="205">
        <f>_xll.BDP(C12&amp;" EQUITY",$J$1)</f>
        <v>17.851716803403221</v>
      </c>
      <c r="J12" s="205">
        <f>_xll.BDP(C12&amp;" EQUITY",$K$1)</f>
        <v>12.968739704960321</v>
      </c>
      <c r="K12" s="209">
        <f t="shared" si="1"/>
        <v>26.205098655319148</v>
      </c>
      <c r="L12" s="193">
        <f t="shared" si="2"/>
        <v>2.2432052791236567</v>
      </c>
      <c r="M12" s="210">
        <f t="shared" si="3"/>
        <v>6</v>
      </c>
      <c r="N12" s="715">
        <v>8.08</v>
      </c>
      <c r="O12" s="723"/>
      <c r="P12" s="724">
        <v>9.81</v>
      </c>
      <c r="Q12" s="93">
        <f t="shared" si="4"/>
        <v>-0.62564537042837065</v>
      </c>
      <c r="R12" s="210">
        <f t="shared" si="5"/>
        <v>33</v>
      </c>
      <c r="S12" s="99"/>
      <c r="T12" s="218">
        <f>_xll.BDP(C12&amp;" EQUITY",$T$1)</f>
        <v>2.21</v>
      </c>
      <c r="U12" s="220">
        <f t="shared" si="8"/>
        <v>8.0776999110421812</v>
      </c>
      <c r="V12" s="210" t="e">
        <f t="shared" si="9"/>
        <v>#VALUE!</v>
      </c>
      <c r="X12" s="239">
        <f>_xll.BDP(C12&amp;" EQUITY",$X$2)*0.01</f>
        <v>2.6878853982698826E-2</v>
      </c>
      <c r="Y12" s="229">
        <f>_xll.BDP(C12&amp;" EQUITY",$Z$1)*0.01</f>
        <v>7.6797828674316407E-2</v>
      </c>
      <c r="AA12" s="232">
        <f>_xll.BDP(C12&amp;" EQUITY",$AA$3)</f>
        <v>6229</v>
      </c>
      <c r="AB12" s="231">
        <f t="shared" si="7"/>
        <v>5.5380800061957287E-2</v>
      </c>
      <c r="AD12" s="236">
        <f>_xll.BDP(C12&amp;" EQUITY",$AD$2)</f>
        <v>1.9505775991963836</v>
      </c>
      <c r="AE12" s="237">
        <f>_xll.BDP(C12&amp;" EQUITY",$AE$2)</f>
        <v>73.189770141994188</v>
      </c>
      <c r="AG12" s="242">
        <f>_xll.BDP(C12&amp;" EQUITY",$AG$3)</f>
        <v>8</v>
      </c>
      <c r="AH12" s="242">
        <f>_xll.BDP(C12&amp;" EQUITY",$AH$3)</f>
        <v>16</v>
      </c>
      <c r="AI12" s="242">
        <f>_xll.BDP(C12&amp;" EQUITY",$AI$3)</f>
        <v>1</v>
      </c>
      <c r="AJ12" s="243">
        <f t="shared" si="6"/>
        <v>25</v>
      </c>
    </row>
    <row r="13" spans="2:36" ht="15.75" x14ac:dyDescent="0.25">
      <c r="B13" s="225">
        <f>_xll.BDP(C13&amp;" EQUITY",$B$2)/1000000000</f>
        <v>357.07899038171001</v>
      </c>
      <c r="C13" s="3" t="s">
        <v>200</v>
      </c>
      <c r="D13" s="101">
        <v>62000</v>
      </c>
      <c r="E13" s="199">
        <f>_xll.BDP(C13&amp;" EQUITY",$E$1)</f>
        <v>148.37</v>
      </c>
      <c r="F13" s="99"/>
      <c r="G13" s="62">
        <f t="shared" si="0"/>
        <v>9198940</v>
      </c>
      <c r="H13" s="99"/>
      <c r="I13" s="205">
        <f>_xll.BDP(C13&amp;" EQUITY",$J$1)</f>
        <v>13.987204817010067</v>
      </c>
      <c r="J13" s="205">
        <f>_xll.BDP(C13&amp;" EQUITY",$K$1)</f>
        <v>12.400673302545163</v>
      </c>
      <c r="K13" s="209">
        <f t="shared" si="1"/>
        <v>10.607551826192237</v>
      </c>
      <c r="L13" s="193">
        <f t="shared" si="2"/>
        <v>-0.60537381598987205</v>
      </c>
      <c r="M13" s="211">
        <f t="shared" si="3"/>
        <v>27</v>
      </c>
      <c r="N13" s="715">
        <v>26.88</v>
      </c>
      <c r="O13" s="723"/>
      <c r="P13" s="724">
        <v>36.96</v>
      </c>
      <c r="Q13" s="93">
        <f t="shared" si="4"/>
        <v>2.4843101033678785</v>
      </c>
      <c r="R13" s="212">
        <f t="shared" si="5"/>
        <v>11</v>
      </c>
      <c r="S13" s="99"/>
      <c r="T13" s="218">
        <f>_xll.BDP(C13&amp;" EQUITY",$T$1)</f>
        <v>4.9850000000000003</v>
      </c>
      <c r="U13" s="220">
        <f t="shared" si="8"/>
        <v>2.8058585390190705</v>
      </c>
      <c r="V13" s="210" t="e">
        <f t="shared" si="9"/>
        <v>#VALUE!</v>
      </c>
      <c r="X13" s="239">
        <f>_xll.BDP(C13&amp;" EQUITY",$X$2)*0.01</f>
        <v>3.3429938923953441E-2</v>
      </c>
      <c r="Y13" s="229">
        <f>_xll.BDP(C13&amp;" EQUITY",$Z$1)*0.01</f>
        <v>5.6745576858520511E-2</v>
      </c>
      <c r="AA13" s="232">
        <f>_xll.BDP(C13&amp;" EQUITY",$AA$3)</f>
        <v>18248</v>
      </c>
      <c r="AB13" s="231">
        <f t="shared" si="7"/>
        <v>5.1103538688997828E-2</v>
      </c>
      <c r="AD13" s="236">
        <f>_xll.BDP(C13&amp;" EQUITY",$AD$2)</f>
        <v>1.144218011091076</v>
      </c>
      <c r="AE13" s="237">
        <f>_xll.BDP(C13&amp;" EQUITY",$AE$2)</f>
        <v>30.675563977985203</v>
      </c>
      <c r="AG13" s="242">
        <f>_xll.BDP(C13&amp;" EQUITY",$AG$3)</f>
        <v>13</v>
      </c>
      <c r="AH13" s="242">
        <f>_xll.BDP(C13&amp;" EQUITY",$AH$3)</f>
        <v>13</v>
      </c>
      <c r="AI13" s="242">
        <f>_xll.BDP(C13&amp;" EQUITY",$AI$3)</f>
        <v>0</v>
      </c>
      <c r="AJ13" s="243">
        <f t="shared" si="6"/>
        <v>26</v>
      </c>
    </row>
    <row r="14" spans="2:36" ht="15.75" x14ac:dyDescent="0.25">
      <c r="B14" s="225">
        <f>_xll.BDP(C14&amp;" EQUITY",$B$2)/1000000000</f>
        <v>44.498658904199999</v>
      </c>
      <c r="C14" s="3" t="s">
        <v>204</v>
      </c>
      <c r="D14" s="101">
        <v>488000</v>
      </c>
      <c r="E14" s="199">
        <f>_xll.BDP(C14&amp;" EQUITY",$E$1)</f>
        <v>20.05</v>
      </c>
      <c r="F14" s="99"/>
      <c r="G14" s="62">
        <f t="shared" si="0"/>
        <v>9784400</v>
      </c>
      <c r="H14" s="99"/>
      <c r="I14" s="205">
        <f>_xll.BDP(C14&amp;" EQUITY",$J$1)</f>
        <v>16.674896093100578</v>
      </c>
      <c r="J14" s="205">
        <f>_xll.BDP(C14&amp;" EQUITY",$K$1)</f>
        <v>11.973049324346757</v>
      </c>
      <c r="K14" s="209">
        <f t="shared" si="1"/>
        <v>1.2024062931520101</v>
      </c>
      <c r="L14" s="193">
        <f t="shared" si="2"/>
        <v>-0.91902987924902291</v>
      </c>
      <c r="M14" s="210">
        <f t="shared" si="3"/>
        <v>32</v>
      </c>
      <c r="N14" s="715">
        <v>14.85</v>
      </c>
      <c r="O14" s="723"/>
      <c r="P14" s="724">
        <v>17.07</v>
      </c>
      <c r="Q14" s="93">
        <f t="shared" si="4"/>
        <v>13.196532484250715</v>
      </c>
      <c r="R14" s="210">
        <f t="shared" si="5"/>
        <v>6</v>
      </c>
      <c r="S14" s="99"/>
      <c r="T14" s="218">
        <f>_xll.BDP(C14&amp;" EQUITY",$T$1)</f>
        <v>5.86</v>
      </c>
      <c r="U14" s="220">
        <f t="shared" si="8"/>
        <v>2.8455454083789382</v>
      </c>
      <c r="V14" s="210" t="e">
        <f t="shared" si="9"/>
        <v>#VALUE!</v>
      </c>
      <c r="X14" s="239">
        <f>_xll.BDP(C14&amp;" EQUITY",$X$2)*0.01</f>
        <v>5.7356607289682893E-2</v>
      </c>
      <c r="Y14" s="229">
        <f>_xll.BDP(C14&amp;" EQUITY",$Z$1)*0.01</f>
        <v>5.9535198211669922E-2</v>
      </c>
      <c r="AA14" s="232"/>
      <c r="AB14" s="231"/>
      <c r="AD14" s="236">
        <f>_xll.BDP(C14&amp;" EQUITY",$AD$2)</f>
        <v>4.9409775591761447</v>
      </c>
      <c r="AE14" s="237">
        <f>_xll.BDP(C14&amp;" EQUITY",$AE$2)</f>
        <v>50.523935755496652</v>
      </c>
      <c r="AG14" s="242">
        <f>_xll.BDP(C14&amp;" EQUITY",$AG$3)</f>
        <v>9</v>
      </c>
      <c r="AH14" s="242">
        <f>_xll.BDP(C14&amp;" EQUITY",$AH$3)</f>
        <v>11</v>
      </c>
      <c r="AI14" s="242">
        <f>_xll.BDP(C14&amp;" EQUITY",$AI$3)</f>
        <v>1</v>
      </c>
      <c r="AJ14" s="243">
        <f t="shared" si="6"/>
        <v>21</v>
      </c>
    </row>
    <row r="15" spans="2:36" ht="15.75" x14ac:dyDescent="0.25">
      <c r="B15" s="225">
        <f>_xll.BDP(C15&amp;" EQUITY",$B$2)/1000000000</f>
        <v>46.118776547239996</v>
      </c>
      <c r="C15" s="3" t="s">
        <v>207</v>
      </c>
      <c r="D15" s="101">
        <v>88800</v>
      </c>
      <c r="E15" s="199">
        <f>_xll.BDP(C15&amp;" EQUITY",$E$1)</f>
        <v>87.58</v>
      </c>
      <c r="F15" s="99"/>
      <c r="G15" s="62">
        <f t="shared" si="0"/>
        <v>7777104</v>
      </c>
      <c r="H15" s="99"/>
      <c r="I15" s="205">
        <f>_xll.BDP(C15&amp;" EQUITY",$J$1)</f>
        <v>15.674327454124354</v>
      </c>
      <c r="J15" s="205">
        <f>_xll.BDP(C15&amp;" EQUITY",$K$1)</f>
        <v>12.440156806031071</v>
      </c>
      <c r="K15" s="209">
        <f t="shared" si="1"/>
        <v>5.5874805637644922</v>
      </c>
      <c r="L15" s="193">
        <f t="shared" si="2"/>
        <v>-0.5212098917082697</v>
      </c>
      <c r="M15" s="210">
        <f t="shared" si="3"/>
        <v>25</v>
      </c>
      <c r="N15" s="715">
        <v>11.67</v>
      </c>
      <c r="O15" s="723"/>
      <c r="P15" s="724">
        <v>13.33</v>
      </c>
      <c r="Q15" s="93">
        <f t="shared" si="4"/>
        <v>1.3856906252966161</v>
      </c>
      <c r="R15" s="210">
        <f t="shared" si="5"/>
        <v>14</v>
      </c>
      <c r="S15" s="99"/>
      <c r="T15" s="218">
        <f>_xll.BDP(C15&amp;" EQUITY",$T$1)</f>
        <v>6</v>
      </c>
      <c r="U15" s="220">
        <f t="shared" si="8"/>
        <v>2.6123879090207258</v>
      </c>
      <c r="V15" s="210" t="e">
        <f t="shared" si="9"/>
        <v>#VALUE!</v>
      </c>
      <c r="X15" s="239">
        <f>_xll.BDP(C15&amp;" EQUITY",$X$2)*0.01</f>
        <v>4.0191824399708996E-2</v>
      </c>
      <c r="Y15" s="229">
        <f>_xll.BDP(C15&amp;" EQUITY",$Z$1)*0.01</f>
        <v>5.6999406814575208E-2</v>
      </c>
      <c r="AA15" s="232">
        <f>_xll.BDP(C15&amp;" EQUITY",$AA$3)</f>
        <v>-2494.3000000000002</v>
      </c>
      <c r="AB15" s="231">
        <f>+AA15/(B15*1000)</f>
        <v>-5.4084262132258858E-2</v>
      </c>
      <c r="AD15" s="236">
        <f>_xll.BDP(C15&amp;" EQUITY",$AD$2)</f>
        <v>6.1182815052751094</v>
      </c>
      <c r="AE15" s="237">
        <f>_xll.BDP(C15&amp;" EQUITY",$AE$2)</f>
        <v>63.258574145341619</v>
      </c>
      <c r="AG15" s="242">
        <f>_xll.BDP(C15&amp;" EQUITY",$AG$3)</f>
        <v>7</v>
      </c>
      <c r="AH15" s="242">
        <f>_xll.BDP(C15&amp;" EQUITY",$AH$3)</f>
        <v>13</v>
      </c>
      <c r="AI15" s="242">
        <f>_xll.BDP(C15&amp;" EQUITY",$AI$3)</f>
        <v>1</v>
      </c>
      <c r="AJ15" s="243">
        <f t="shared" si="6"/>
        <v>21</v>
      </c>
    </row>
    <row r="16" spans="2:36" ht="15.75" x14ac:dyDescent="0.25">
      <c r="B16" s="225">
        <f>_xll.BDP(C16&amp;" EQUITY",$B$2)/1000000000</f>
        <v>159.37970363531997</v>
      </c>
      <c r="C16" s="3" t="s">
        <v>215</v>
      </c>
      <c r="D16" s="29">
        <v>83000</v>
      </c>
      <c r="E16" s="199">
        <f>_xll.BDP(C16&amp;" EQUITY",$E$1)</f>
        <v>97.670500000000004</v>
      </c>
      <c r="F16" s="99"/>
      <c r="G16" s="62">
        <f t="shared" si="0"/>
        <v>8106651.5</v>
      </c>
      <c r="H16" s="99"/>
      <c r="I16" s="205">
        <f>_xll.BDP(C16&amp;" EQUITY",$J$1)</f>
        <v>14.284673659673659</v>
      </c>
      <c r="J16" s="205">
        <f>_xll.BDP(C16&amp;" EQUITY",$K$1)</f>
        <v>5.1602231862429964</v>
      </c>
      <c r="K16" s="209">
        <f t="shared" si="1"/>
        <v>6.8374330647628767</v>
      </c>
      <c r="L16" s="193">
        <f t="shared" si="2"/>
        <v>-0.29872481387047423</v>
      </c>
      <c r="M16" s="210">
        <f t="shared" si="3"/>
        <v>20</v>
      </c>
      <c r="N16" s="715">
        <v>9.75</v>
      </c>
      <c r="O16" s="723"/>
      <c r="P16" s="724">
        <v>9.34</v>
      </c>
      <c r="Q16" s="93">
        <f t="shared" si="4"/>
        <v>0.36600971615126343</v>
      </c>
      <c r="R16" s="213">
        <f t="shared" si="5"/>
        <v>23</v>
      </c>
      <c r="S16" s="99"/>
      <c r="T16" s="218">
        <f>_xll.BDP(C16&amp;" EQUITY",$T$1)</f>
        <v>9.49</v>
      </c>
      <c r="U16" s="220">
        <f t="shared" si="8"/>
        <v>1.5052343160878461</v>
      </c>
      <c r="V16" s="210" t="e">
        <f t="shared" si="9"/>
        <v>#VALUE!</v>
      </c>
      <c r="X16" s="239">
        <f>_xll.BDP(C16&amp;" EQUITY",$X$2)*0.01</f>
        <v>3.4896849998639345E-2</v>
      </c>
      <c r="Y16" s="229">
        <f>_xll.BDP(C16&amp;" EQUITY",$Z$1)*0.01</f>
        <v>0.231571216583252</v>
      </c>
      <c r="AA16" s="232">
        <f>_xll.BDP(C16&amp;" EQUITY",$AA$3)</f>
        <v>-36948</v>
      </c>
      <c r="AB16" s="231"/>
      <c r="AD16" s="236">
        <f>_xll.BDP(C16&amp;" EQUITY",$AD$2)</f>
        <v>8.23543973941368</v>
      </c>
      <c r="AE16" s="237">
        <f>_xll.BDP(C16&amp;" EQUITY",$AE$2)</f>
        <v>82.633933844219186</v>
      </c>
      <c r="AG16" s="242">
        <f>_xll.BDP(C16&amp;" EQUITY",$AG$3)</f>
        <v>10</v>
      </c>
      <c r="AH16" s="242">
        <f>_xll.BDP(C16&amp;" EQUITY",$AH$3)</f>
        <v>16</v>
      </c>
      <c r="AI16" s="242">
        <f>_xll.BDP(C16&amp;" EQUITY",$AI$3)</f>
        <v>0</v>
      </c>
      <c r="AJ16" s="243">
        <f t="shared" si="6"/>
        <v>26</v>
      </c>
    </row>
    <row r="17" spans="2:36" ht="15.75" x14ac:dyDescent="0.25">
      <c r="B17" s="225">
        <f>_xll.BDP(C17&amp;" EQUITY",$B$2)/1000000000</f>
        <v>63.050382784764992</v>
      </c>
      <c r="C17" s="3" t="s">
        <v>203</v>
      </c>
      <c r="D17" s="101">
        <v>189000</v>
      </c>
      <c r="E17" s="199">
        <f>_xll.BDP(C17&amp;" EQUITY",$E$1)</f>
        <v>39.92</v>
      </c>
      <c r="F17" s="99"/>
      <c r="G17" s="62">
        <f t="shared" si="0"/>
        <v>7544880</v>
      </c>
      <c r="H17" s="99"/>
      <c r="I17" s="205">
        <f>_xll.BDP(C17&amp;" EQUITY",$J$1)</f>
        <v>10.588235294117647</v>
      </c>
      <c r="J17" s="205"/>
      <c r="K17" s="209">
        <f t="shared" si="1"/>
        <v>3.7702222222222224</v>
      </c>
      <c r="L17" s="193">
        <f t="shared" si="2"/>
        <v>2.4589194699286443</v>
      </c>
      <c r="M17" s="210">
        <f t="shared" si="3"/>
        <v>5</v>
      </c>
      <c r="N17" s="715">
        <v>1.0900000000000001</v>
      </c>
      <c r="O17" s="723"/>
      <c r="P17" s="724">
        <v>9.36</v>
      </c>
      <c r="Q17" s="93">
        <f t="shared" si="4"/>
        <v>1.4826122833903099</v>
      </c>
      <c r="R17" s="210">
        <f t="shared" si="5"/>
        <v>13</v>
      </c>
      <c r="S17" s="99"/>
      <c r="T17" s="218">
        <f>_xll.BDP(C17&amp;" EQUITY",$T$1)</f>
        <v>2.7050000000000001</v>
      </c>
      <c r="U17" s="220">
        <f t="shared" si="8"/>
        <v>3.9143198869196474</v>
      </c>
      <c r="V17" s="210" t="e">
        <f t="shared" si="9"/>
        <v>#VALUE!</v>
      </c>
      <c r="X17" s="239"/>
      <c r="Y17" s="229"/>
      <c r="AA17" s="232"/>
      <c r="AB17" s="231"/>
      <c r="AD17" s="236"/>
      <c r="AE17" s="237">
        <f>_xll.BDP(C17&amp;" EQUITY",$AE$2)</f>
        <v>55.000161373612187</v>
      </c>
      <c r="AG17" s="242">
        <f>_xll.BDP(C17&amp;" EQUITY",$AG$3)</f>
        <v>12</v>
      </c>
      <c r="AH17" s="242">
        <f>_xll.BDP(C17&amp;" EQUITY",$AH$3)</f>
        <v>14</v>
      </c>
      <c r="AI17" s="242">
        <f>_xll.BDP(C17&amp;" EQUITY",$AI$3)</f>
        <v>0</v>
      </c>
      <c r="AJ17" s="243">
        <f t="shared" si="6"/>
        <v>26</v>
      </c>
    </row>
    <row r="18" spans="2:36" ht="15.75" x14ac:dyDescent="0.25">
      <c r="B18" s="225">
        <f>_xll.BDP(C18&amp;" EQUITY",$B$2)/1000000000</f>
        <v>77.828595000000007</v>
      </c>
      <c r="C18" s="3" t="s">
        <v>208</v>
      </c>
      <c r="D18" s="101">
        <v>76000</v>
      </c>
      <c r="E18" s="199">
        <f>_xll.BDP(C18&amp;" EQUITY",$E$1)</f>
        <v>100.94499999999999</v>
      </c>
      <c r="F18" s="99"/>
      <c r="G18" s="62">
        <f t="shared" si="0"/>
        <v>7671819.9999999991</v>
      </c>
      <c r="H18" s="99"/>
      <c r="I18" s="205">
        <f>_xll.BDP(C18&amp;" EQUITY",$J$1)</f>
        <v>16.974212993971868</v>
      </c>
      <c r="J18" s="205">
        <f>_xll.BDP(C18&amp;" EQUITY",$K$1)</f>
        <v>11.937328174282991</v>
      </c>
      <c r="K18" s="209">
        <f t="shared" si="1"/>
        <v>5.9469620203215943</v>
      </c>
      <c r="L18" s="193">
        <f t="shared" si="2"/>
        <v>-0.29787933644373155</v>
      </c>
      <c r="M18" s="213">
        <f t="shared" si="3"/>
        <v>19</v>
      </c>
      <c r="N18" s="715">
        <v>8.4700000000000006</v>
      </c>
      <c r="O18" s="723"/>
      <c r="P18" s="724">
        <v>18.670000000000002</v>
      </c>
      <c r="Q18" s="169">
        <f t="shared" si="4"/>
        <v>2.1394180652578614</v>
      </c>
      <c r="R18" s="211">
        <f t="shared" si="5"/>
        <v>12</v>
      </c>
      <c r="S18" s="99"/>
      <c r="T18" s="218">
        <f>_xll.BDP(C18&amp;" EQUITY",$T$1)</f>
        <v>6.2</v>
      </c>
      <c r="U18" s="220">
        <f t="shared" si="8"/>
        <v>2.7377762893503013</v>
      </c>
      <c r="V18" s="210" t="e">
        <f t="shared" si="9"/>
        <v>#VALUE!</v>
      </c>
      <c r="X18" s="239">
        <f>_xll.BDP(C18&amp;" EQUITY",$X$2)*0.01</f>
        <v>4.0616176181411348E-2</v>
      </c>
      <c r="Y18" s="229">
        <f>_xll.BDP(C18&amp;" EQUITY",$Z$1)*0.01</f>
        <v>2.0192170143127443E-2</v>
      </c>
      <c r="AA18" s="232">
        <f>_xll.BDP(C18&amp;" EQUITY",$AA$3)</f>
        <v>-2726</v>
      </c>
      <c r="AB18" s="231">
        <f>+AA18/(B18*1000)</f>
        <v>-3.5025686895671183E-2</v>
      </c>
      <c r="AD18" s="236">
        <f>_xll.BDP(C18&amp;" EQUITY",$AD$2)</f>
        <v>6.0385094990097556</v>
      </c>
      <c r="AE18" s="237">
        <f>_xll.BDP(C18&amp;" EQUITY",$AE$2)</f>
        <v>61.793142300313654</v>
      </c>
      <c r="AG18" s="242">
        <f>_xll.BDP(C18&amp;" EQUITY",$AG$3)</f>
        <v>10</v>
      </c>
      <c r="AH18" s="242">
        <f>_xll.BDP(C18&amp;" EQUITY",$AH$3)</f>
        <v>10</v>
      </c>
      <c r="AI18" s="242">
        <f>_xll.BDP(C18&amp;" EQUITY",$AI$3)</f>
        <v>0</v>
      </c>
      <c r="AJ18" s="243">
        <f t="shared" si="6"/>
        <v>20</v>
      </c>
    </row>
    <row r="19" spans="2:36" ht="15.75" x14ac:dyDescent="0.25">
      <c r="B19" s="225">
        <f>_xll.BDP(C19&amp;" EQUITY",$B$2)/1000000000</f>
        <v>44.132351502525005</v>
      </c>
      <c r="C19" s="3" t="s">
        <v>212</v>
      </c>
      <c r="D19" s="101">
        <v>135000</v>
      </c>
      <c r="E19" s="199">
        <f>_xll.BDP(C19&amp;" EQUITY",$E$1)</f>
        <v>59.015000000000001</v>
      </c>
      <c r="F19" s="99"/>
      <c r="G19" s="62">
        <f t="shared" si="0"/>
        <v>7967025</v>
      </c>
      <c r="H19" s="99"/>
      <c r="I19" s="205">
        <f>_xll.BDP(C19&amp;" EQUITY",$J$1)</f>
        <v>10.803179824561402</v>
      </c>
      <c r="J19" s="205"/>
      <c r="K19" s="209">
        <f t="shared" si="1"/>
        <v>5.4627434661253496</v>
      </c>
      <c r="L19" s="193">
        <f t="shared" si="2"/>
        <v>-0.32139832718939765</v>
      </c>
      <c r="M19" s="213">
        <f t="shared" si="3"/>
        <v>21</v>
      </c>
      <c r="N19" s="715">
        <v>8.0500000000000007</v>
      </c>
      <c r="O19" s="723"/>
      <c r="P19" s="724">
        <v>11.11</v>
      </c>
      <c r="Q19" s="93">
        <f t="shared" si="4"/>
        <v>1.0337766305325284</v>
      </c>
      <c r="R19" s="211">
        <f t="shared" si="5"/>
        <v>18</v>
      </c>
      <c r="S19" s="99"/>
      <c r="T19" s="218">
        <f>_xll.BDP(C19&amp;" EQUITY",$T$1)</f>
        <v>10.005000000000001</v>
      </c>
      <c r="U19" s="220">
        <f t="shared" si="8"/>
        <v>1.0797780934094354</v>
      </c>
      <c r="V19" s="210" t="e">
        <f t="shared" si="9"/>
        <v>#VALUE!</v>
      </c>
      <c r="X19" s="239"/>
      <c r="Y19" s="229"/>
      <c r="AA19" s="232"/>
      <c r="AB19" s="231"/>
      <c r="AD19" s="236"/>
      <c r="AE19" s="237">
        <f>_xll.BDP(C19&amp;" EQUITY",$AE$2)</f>
        <v>62.624038303393583</v>
      </c>
      <c r="AG19" s="242">
        <f>_xll.BDP(C19&amp;" EQUITY",$AG$3)</f>
        <v>12</v>
      </c>
      <c r="AH19" s="242">
        <f>_xll.BDP(C19&amp;" EQUITY",$AH$3)</f>
        <v>7</v>
      </c>
      <c r="AI19" s="242">
        <f>_xll.BDP(C19&amp;" EQUITY",$AI$3)</f>
        <v>0</v>
      </c>
      <c r="AJ19" s="243">
        <f t="shared" si="6"/>
        <v>19</v>
      </c>
    </row>
    <row r="20" spans="2:36" ht="15.75" x14ac:dyDescent="0.25">
      <c r="B20" s="225">
        <f>_xll.BDP(C20&amp;" EQUITY",$B$2)/1000000000</f>
        <v>148.90160852304771</v>
      </c>
      <c r="C20" s="3" t="s">
        <v>34</v>
      </c>
      <c r="D20" s="29">
        <v>185000</v>
      </c>
      <c r="E20" s="199">
        <f>_xll.BDP(C20&amp;" EQUITY",$E$1)</f>
        <v>38.143799999999999</v>
      </c>
      <c r="F20" s="99"/>
      <c r="G20" s="62">
        <f t="shared" si="0"/>
        <v>7056603</v>
      </c>
      <c r="H20" s="99"/>
      <c r="I20" s="205">
        <f>_xll.BDP(C20&amp;" EQUITY",$J$1)</f>
        <v>9.1531100478468908</v>
      </c>
      <c r="J20" s="205"/>
      <c r="K20" s="209">
        <f t="shared" si="1"/>
        <v>4.1673048614741237</v>
      </c>
      <c r="L20" s="193">
        <f t="shared" si="2"/>
        <v>0.72202680226203464</v>
      </c>
      <c r="M20" s="210">
        <f t="shared" si="3"/>
        <v>10</v>
      </c>
      <c r="N20" s="715">
        <v>2.42</v>
      </c>
      <c r="O20" s="723"/>
      <c r="P20" s="724">
        <v>5.85</v>
      </c>
      <c r="Q20" s="93">
        <f t="shared" si="4"/>
        <v>0.40378498681055142</v>
      </c>
      <c r="R20" s="211">
        <f t="shared" si="5"/>
        <v>22</v>
      </c>
      <c r="S20" s="99"/>
      <c r="T20" s="218">
        <f>_xll.BDP(C20&amp;" EQUITY",$T$1)</f>
        <v>8.33</v>
      </c>
      <c r="U20" s="220">
        <f t="shared" si="8"/>
        <v>1.0988127308339604</v>
      </c>
      <c r="V20" s="210" t="e">
        <f t="shared" si="9"/>
        <v>#VALUE!</v>
      </c>
      <c r="X20" s="239">
        <f>_xll.BDP(C20&amp;" EQUITY",$X$2)*0.01</f>
        <v>3.2674572056304169E-2</v>
      </c>
      <c r="Y20" s="229">
        <f>_xll.BDP(C20&amp;" EQUITY",$Z$1)*0.01</f>
        <v>8.6319255828857425E-2</v>
      </c>
      <c r="AA20" s="232"/>
      <c r="AB20" s="231"/>
      <c r="AD20" s="236">
        <f>_xll.BDP(C20&amp;" EQUITY",$AD$2)</f>
        <v>2.5692508247312973</v>
      </c>
      <c r="AE20" s="237">
        <f>_xll.BDP(C20&amp;" EQUITY",$AE$2)</f>
        <v>55.399347023399216</v>
      </c>
      <c r="AG20" s="242">
        <f>_xll.BDP(C20&amp;" EQUITY",$AG$3)</f>
        <v>18</v>
      </c>
      <c r="AH20" s="242">
        <f>_xll.BDP(C20&amp;" EQUITY",$AH$3)</f>
        <v>14</v>
      </c>
      <c r="AI20" s="242">
        <f>_xll.BDP(C20&amp;" EQUITY",$AI$3)</f>
        <v>1</v>
      </c>
      <c r="AJ20" s="243">
        <f t="shared" si="6"/>
        <v>33</v>
      </c>
    </row>
    <row r="21" spans="2:36" ht="15.75" x14ac:dyDescent="0.25">
      <c r="B21" s="225">
        <f>_xll.BDP(C21&amp;" EQUITY",$B$2)/1000000000</f>
        <v>192.8627806204</v>
      </c>
      <c r="C21" s="3" t="s">
        <v>209</v>
      </c>
      <c r="D21" s="101">
        <v>150000</v>
      </c>
      <c r="E21" s="199">
        <f>_xll.BDP(C21&amp;" EQUITY",$E$1)</f>
        <v>47.68</v>
      </c>
      <c r="F21" s="99"/>
      <c r="G21" s="62">
        <f t="shared" si="0"/>
        <v>7152000</v>
      </c>
      <c r="H21" s="99"/>
      <c r="I21" s="205">
        <f>_xll.BDP(C21&amp;" EQUITY",$J$1)</f>
        <v>12.822036186875504</v>
      </c>
      <c r="J21" s="205">
        <f>_xll.BDP(C21&amp;" EQUITY",$K$1)</f>
        <v>12.682201884332308</v>
      </c>
      <c r="K21" s="209">
        <f t="shared" si="1"/>
        <v>3.7185981465880378</v>
      </c>
      <c r="L21" s="193">
        <f t="shared" si="2"/>
        <v>-0.62362366937368041</v>
      </c>
      <c r="M21" s="211">
        <f t="shared" si="3"/>
        <v>28</v>
      </c>
      <c r="N21" s="715">
        <v>9.8800000000000008</v>
      </c>
      <c r="O21" s="723"/>
      <c r="P21" s="724">
        <v>17.55</v>
      </c>
      <c r="Q21" s="169">
        <f t="shared" si="4"/>
        <v>3.719520450496332</v>
      </c>
      <c r="R21" s="212">
        <f t="shared" si="5"/>
        <v>7</v>
      </c>
      <c r="S21" s="99"/>
      <c r="T21" s="218"/>
      <c r="U21" s="220"/>
      <c r="V21" s="210"/>
      <c r="X21" s="239">
        <f>_xll.BDP(C21&amp;" EQUITY",$X$2)*0.01</f>
        <v>3.3641716228802729E-2</v>
      </c>
      <c r="Y21" s="229">
        <f>_xll.BDP(C21&amp;" EQUITY",$Z$1)*0.01</f>
        <v>3.2188398838043211E-2</v>
      </c>
      <c r="AA21" s="232">
        <f>_xll.BDP(C21&amp;" EQUITY",$AA$3)</f>
        <v>18962</v>
      </c>
      <c r="AB21" s="231">
        <f t="shared" ref="AB21:AB40" si="10">+AA21/(B21*1000)</f>
        <v>9.8318607348722942E-2</v>
      </c>
      <c r="AD21" s="236">
        <f>_xll.BDP(C21&amp;" EQUITY",$AD$2)</f>
        <v>1.9688000000000001</v>
      </c>
      <c r="AE21" s="237">
        <f>_xll.BDP(C21&amp;" EQUITY",$AE$2)</f>
        <v>17.504277955509263</v>
      </c>
      <c r="AG21" s="242">
        <f>_xll.BDP(C21&amp;" EQUITY",$AG$3)</f>
        <v>8</v>
      </c>
      <c r="AH21" s="242">
        <f>_xll.BDP(C21&amp;" EQUITY",$AH$3)</f>
        <v>21</v>
      </c>
      <c r="AI21" s="242">
        <f>_xll.BDP(C21&amp;" EQUITY",$AI$3)</f>
        <v>0</v>
      </c>
      <c r="AJ21" s="243">
        <f t="shared" si="6"/>
        <v>29</v>
      </c>
    </row>
    <row r="22" spans="2:36" ht="15.75" x14ac:dyDescent="0.25">
      <c r="B22" s="225">
        <f>_xll.BDP(C22&amp;" EQUITY",$B$2)/1000000000</f>
        <v>173.71594947538</v>
      </c>
      <c r="C22" s="3" t="s">
        <v>199</v>
      </c>
      <c r="D22" s="101">
        <v>178000</v>
      </c>
      <c r="E22" s="199">
        <f>_xll.BDP(C22&amp;" EQUITY",$E$1)</f>
        <v>41.5</v>
      </c>
      <c r="F22" s="99"/>
      <c r="G22" s="62">
        <f t="shared" si="0"/>
        <v>7387000</v>
      </c>
      <c r="H22" s="99"/>
      <c r="I22" s="205">
        <f>_xll.BDP(C22&amp;" EQUITY",$J$1)</f>
        <v>9.0067670814232681</v>
      </c>
      <c r="J22" s="205">
        <f>_xll.BDP(C22&amp;" EQUITY",$K$1)</f>
        <v>8.5881165900500438</v>
      </c>
      <c r="K22" s="209">
        <f t="shared" si="1"/>
        <v>4.6076466311197297</v>
      </c>
      <c r="L22" s="193">
        <f t="shared" si="2"/>
        <v>0.47209157543761338</v>
      </c>
      <c r="M22" s="211">
        <f t="shared" si="3"/>
        <v>14</v>
      </c>
      <c r="N22" s="715">
        <v>3.13</v>
      </c>
      <c r="O22" s="723"/>
      <c r="P22" s="724">
        <v>4.07</v>
      </c>
      <c r="Q22" s="93">
        <f t="shared" si="4"/>
        <v>-0.11668573442427221</v>
      </c>
      <c r="R22" s="210">
        <f t="shared" si="5"/>
        <v>29</v>
      </c>
      <c r="S22" s="99"/>
      <c r="T22" s="218">
        <f>_xll.BDP(C22&amp;" EQUITY",$T$1)</f>
        <v>2.0950000000000002</v>
      </c>
      <c r="U22" s="220">
        <f>+I22/T22</f>
        <v>4.2991728312282902</v>
      </c>
      <c r="V22" s="210" t="e">
        <f>+RANK(U22,$U$4:$U$41)</f>
        <v>#VALUE!</v>
      </c>
      <c r="X22" s="239">
        <f>_xll.BDP(C22&amp;" EQUITY",$X$2)*0.01</f>
        <v>6.4453600335126926E-2</v>
      </c>
      <c r="Y22" s="229">
        <f>_xll.BDP(C22&amp;" EQUITY",$Z$1)*0.01</f>
        <v>2.0035920143127443E-2</v>
      </c>
      <c r="AA22" s="232">
        <f>_xll.BDP(C22&amp;" EQUITY",$AA$3)</f>
        <v>18708</v>
      </c>
      <c r="AB22" s="231">
        <f t="shared" si="10"/>
        <v>0.10769304750944243</v>
      </c>
      <c r="AD22" s="236">
        <f>_xll.BDP(C22&amp;" EQUITY",$AD$2)</f>
        <v>4.3296930851719466</v>
      </c>
      <c r="AE22" s="237">
        <f>_xll.BDP(C22&amp;" EQUITY",$AE$2)</f>
        <v>65.096877662879876</v>
      </c>
      <c r="AG22" s="242">
        <f>_xll.BDP(C22&amp;" EQUITY",$AG$3)</f>
        <v>13</v>
      </c>
      <c r="AH22" s="242">
        <f>_xll.BDP(C22&amp;" EQUITY",$AH$3)</f>
        <v>15</v>
      </c>
      <c r="AI22" s="242">
        <f>_xll.BDP(C22&amp;" EQUITY",$AI$3)</f>
        <v>3</v>
      </c>
      <c r="AJ22" s="243">
        <f t="shared" si="6"/>
        <v>31</v>
      </c>
    </row>
    <row r="23" spans="2:36" ht="15.75" x14ac:dyDescent="0.25">
      <c r="B23" s="225">
        <f>_xll.BDP(C23&amp;" EQUITY",$B$2)/1000000000</f>
        <v>42.710325310179989</v>
      </c>
      <c r="C23" s="3" t="s">
        <v>133</v>
      </c>
      <c r="D23" s="101">
        <v>30000</v>
      </c>
      <c r="E23" s="199">
        <f>_xll.BDP(C23&amp;" EQUITY",$E$1)</f>
        <v>223.46</v>
      </c>
      <c r="F23" s="99"/>
      <c r="G23" s="62">
        <f t="shared" si="0"/>
        <v>6703800</v>
      </c>
      <c r="H23" s="99"/>
      <c r="I23" s="205">
        <f>_xll.BDP(C23&amp;" EQUITY",$J$1)</f>
        <v>17.438911227961647</v>
      </c>
      <c r="J23" s="205">
        <f>_xll.BDP(C23&amp;" EQUITY",$K$1)</f>
        <v>21.097485988307518</v>
      </c>
      <c r="K23" s="209">
        <f t="shared" si="1"/>
        <v>12.813873359347285</v>
      </c>
      <c r="L23" s="193">
        <f t="shared" si="2"/>
        <v>-0.32558561266593233</v>
      </c>
      <c r="M23" s="212">
        <f t="shared" si="3"/>
        <v>22</v>
      </c>
      <c r="N23" s="715">
        <v>19</v>
      </c>
      <c r="O23" s="723"/>
      <c r="P23" s="724">
        <v>14.91</v>
      </c>
      <c r="Q23" s="93">
        <f t="shared" si="4"/>
        <v>0.1635825937926616</v>
      </c>
      <c r="R23" s="210">
        <f t="shared" si="5"/>
        <v>25</v>
      </c>
      <c r="S23" s="99"/>
      <c r="T23" s="218"/>
      <c r="U23" s="220"/>
      <c r="V23" s="210"/>
      <c r="X23" s="239">
        <f>_xll.BDP(C23&amp;" EQUITY",$X$2)*0.01</f>
        <v>2.0762483741209935E-2</v>
      </c>
      <c r="Y23" s="229">
        <f>_xll.BDP(C23&amp;" EQUITY",$Z$1)*0.01</f>
        <v>0.10917852401733401</v>
      </c>
      <c r="AA23" s="232">
        <f>_xll.BDP(C23&amp;" EQUITY",$AA$3)</f>
        <v>1647</v>
      </c>
      <c r="AB23" s="231">
        <f t="shared" si="10"/>
        <v>3.8562103848163339E-2</v>
      </c>
      <c r="AD23" s="236">
        <f>_xll.BDP(C23&amp;" EQUITY",$AD$2)</f>
        <v>5.1786928598413295</v>
      </c>
      <c r="AE23" s="237">
        <f>_xll.BDP(C23&amp;" EQUITY",$AE$2)</f>
        <v>42.557735135300042</v>
      </c>
      <c r="AG23" s="242">
        <f>_xll.BDP(C23&amp;" EQUITY",$AG$3)</f>
        <v>18</v>
      </c>
      <c r="AH23" s="242">
        <f>_xll.BDP(C23&amp;" EQUITY",$AH$3)</f>
        <v>8</v>
      </c>
      <c r="AI23" s="242">
        <f>_xll.BDP(C23&amp;" EQUITY",$AI$3)</f>
        <v>1</v>
      </c>
      <c r="AJ23" s="243">
        <f t="shared" si="6"/>
        <v>27</v>
      </c>
    </row>
    <row r="24" spans="2:36" ht="15.75" x14ac:dyDescent="0.25">
      <c r="B24" s="225">
        <f>_xll.BDP(C24&amp;" EQUITY",$B$2)/1000000000</f>
        <v>380.88741060000007</v>
      </c>
      <c r="C24" s="3" t="s">
        <v>531</v>
      </c>
      <c r="D24" s="101">
        <v>55000</v>
      </c>
      <c r="E24" s="199">
        <f>_xll.BDP(C24&amp;" EQUITY",$E$1)</f>
        <v>138.51259999999999</v>
      </c>
      <c r="F24" s="99"/>
      <c r="G24" s="62">
        <f t="shared" si="0"/>
        <v>7618193</v>
      </c>
      <c r="H24" s="99"/>
      <c r="I24" s="205">
        <f>_xll.BDP(C24&amp;" EQUITY",$J$1)</f>
        <v>22.062959411952701</v>
      </c>
      <c r="J24" s="205">
        <f>_xll.BDP(C24&amp;" EQUITY",$K$1)</f>
        <v>20.510091725080461</v>
      </c>
      <c r="K24" s="209">
        <f t="shared" si="1"/>
        <v>6.2780607720721369</v>
      </c>
      <c r="L24" s="193">
        <f t="shared" si="2"/>
        <v>-0.93329018412419362</v>
      </c>
      <c r="M24" s="210">
        <f t="shared" si="3"/>
        <v>33</v>
      </c>
      <c r="N24" s="715">
        <v>94.11</v>
      </c>
      <c r="O24" s="723"/>
      <c r="P24" s="724">
        <v>171.01</v>
      </c>
      <c r="Q24" s="93">
        <f t="shared" si="4"/>
        <v>26.239303060068409</v>
      </c>
      <c r="R24" s="210">
        <f t="shared" si="5"/>
        <v>3</v>
      </c>
      <c r="S24" s="99"/>
      <c r="T24" s="218">
        <f>_xll.BDP(C24&amp;" EQUITY",$T$1)</f>
        <v>15.06</v>
      </c>
      <c r="U24" s="220">
        <f>+I24/T24</f>
        <v>1.4650039450167796</v>
      </c>
      <c r="V24" s="210" t="e">
        <f>+RANK(U24,$U$4:$U$41)</f>
        <v>#VALUE!</v>
      </c>
      <c r="X24" s="239"/>
      <c r="Y24" s="229"/>
      <c r="AA24" s="232">
        <f>_xll.BDP(C24&amp;" EQUITY",$AA$3)</f>
        <v>11807</v>
      </c>
      <c r="AB24" s="231">
        <f t="shared" si="10"/>
        <v>3.0998661734187541E-2</v>
      </c>
      <c r="AD24" s="236">
        <f>_xll.BDP(C24&amp;" EQUITY",$AD$2)</f>
        <v>4.3953380170288003</v>
      </c>
      <c r="AE24" s="237">
        <f>_xll.BDP(C24&amp;" EQUITY",$AE$2)</f>
        <v>91.091333359046558</v>
      </c>
      <c r="AG24" s="242">
        <f>_xll.BDP(C24&amp;" EQUITY",$AG$3)</f>
        <v>22</v>
      </c>
      <c r="AH24" s="242">
        <f>_xll.BDP(C24&amp;" EQUITY",$AH$3)</f>
        <v>15</v>
      </c>
      <c r="AI24" s="242">
        <f>_xll.BDP(C24&amp;" EQUITY",$AI$3)</f>
        <v>1</v>
      </c>
      <c r="AJ24" s="243">
        <f t="shared" si="6"/>
        <v>38</v>
      </c>
    </row>
    <row r="25" spans="2:36" ht="15.75" x14ac:dyDescent="0.25">
      <c r="B25" s="225">
        <f>_xll.BDP(C25&amp;" EQUITY",$B$2)/1000000000</f>
        <v>25.246977388019999</v>
      </c>
      <c r="C25" s="3" t="s">
        <v>379</v>
      </c>
      <c r="D25" s="101">
        <v>350000</v>
      </c>
      <c r="E25" s="199">
        <f>_xll.BDP(C25&amp;" EQUITY",$E$1)</f>
        <v>17.670000000000002</v>
      </c>
      <c r="F25" s="99"/>
      <c r="G25" s="62">
        <f t="shared" si="0"/>
        <v>6184500.0000000009</v>
      </c>
      <c r="H25" s="99"/>
      <c r="I25" s="205">
        <f>_xll.BDP(C25&amp;" EQUITY",$J$1)</f>
        <v>21.748768472906402</v>
      </c>
      <c r="J25" s="205">
        <f>_xll.BDP(C25&amp;" EQUITY",$K$1)</f>
        <v>40.743902724395348</v>
      </c>
      <c r="K25" s="209">
        <f t="shared" si="1"/>
        <v>0.81245979614949049</v>
      </c>
      <c r="L25" s="193">
        <f t="shared" si="2"/>
        <v>6.3859981468135496</v>
      </c>
      <c r="M25" s="213">
        <f t="shared" si="3"/>
        <v>4</v>
      </c>
      <c r="N25" s="715">
        <v>0.11</v>
      </c>
      <c r="O25" s="723"/>
      <c r="P25" s="724">
        <v>1.35</v>
      </c>
      <c r="Q25" s="169">
        <f t="shared" si="4"/>
        <v>0.66162068129166052</v>
      </c>
      <c r="R25" s="210">
        <f t="shared" si="5"/>
        <v>19</v>
      </c>
      <c r="S25" s="99"/>
      <c r="T25" s="218"/>
      <c r="U25" s="220"/>
      <c r="V25" s="210"/>
      <c r="X25" s="239"/>
      <c r="Y25" s="229"/>
      <c r="AA25" s="232">
        <f>_xll.BDP(C25&amp;" EQUITY",$AA$3)</f>
        <v>881.24</v>
      </c>
      <c r="AB25" s="231">
        <f t="shared" si="10"/>
        <v>3.4904772419139536E-2</v>
      </c>
      <c r="AD25" s="236">
        <f>_xll.BDP(C25&amp;" EQUITY",$AD$2)</f>
        <v>3.0039110825516171</v>
      </c>
      <c r="AE25" s="237">
        <f>_xll.BDP(C25&amp;" EQUITY",$AE$2)</f>
        <v>27.488039079484476</v>
      </c>
      <c r="AG25" s="242">
        <f>_xll.BDP(C25&amp;" EQUITY",$AG$3)</f>
        <v>11</v>
      </c>
      <c r="AH25" s="242">
        <f>_xll.BDP(C25&amp;" EQUITY",$AH$3)</f>
        <v>3</v>
      </c>
      <c r="AI25" s="242">
        <f>_xll.BDP(C25&amp;" EQUITY",$AI$3)</f>
        <v>0</v>
      </c>
      <c r="AJ25" s="243">
        <f t="shared" si="6"/>
        <v>14</v>
      </c>
    </row>
    <row r="26" spans="2:36" ht="15.75" x14ac:dyDescent="0.25">
      <c r="B26" s="225">
        <f>_xll.BDP(C26&amp;" EQUITY",$B$2)/1000000000</f>
        <v>84.874681019519983</v>
      </c>
      <c r="C26" s="3" t="s">
        <v>205</v>
      </c>
      <c r="D26" s="101">
        <v>141000</v>
      </c>
      <c r="E26" s="199">
        <f>_xll.BDP(C26&amp;" EQUITY",$E$1)</f>
        <v>41.87</v>
      </c>
      <c r="F26" s="99"/>
      <c r="G26" s="62">
        <f t="shared" si="0"/>
        <v>5903670</v>
      </c>
      <c r="H26" s="99"/>
      <c r="I26" s="205">
        <f>_xll.BDP(C26&amp;" EQUITY",$J$1)</f>
        <v>73.111888111888106</v>
      </c>
      <c r="J26" s="205">
        <f>_xll.BDP(C26&amp;" EQUITY",$K$1)</f>
        <v>39.45859857426781</v>
      </c>
      <c r="K26" s="209">
        <f t="shared" si="1"/>
        <v>0.57268388330942133</v>
      </c>
      <c r="L26" s="193">
        <f t="shared" si="2"/>
        <v>-0.97624703926547407</v>
      </c>
      <c r="M26" s="213">
        <f t="shared" si="3"/>
        <v>36</v>
      </c>
      <c r="N26" s="715">
        <v>24.11</v>
      </c>
      <c r="O26" s="723"/>
      <c r="P26" s="724">
        <v>26.99</v>
      </c>
      <c r="Q26" s="93">
        <f t="shared" si="4"/>
        <v>46.128967283015527</v>
      </c>
      <c r="R26" s="212">
        <f t="shared" si="5"/>
        <v>1</v>
      </c>
      <c r="S26" s="99"/>
      <c r="T26" s="218">
        <f>_xll.BDP(C26&amp;" EQUITY",$T$1)</f>
        <v>-4.12</v>
      </c>
      <c r="U26" s="220">
        <f>+I26/T26</f>
        <v>-17.745603910652452</v>
      </c>
      <c r="V26" s="210" t="e">
        <f>+RANK(U26,$U$4:$U$41)</f>
        <v>#VALUE!</v>
      </c>
      <c r="X26" s="239"/>
      <c r="Y26" s="229"/>
      <c r="AA26" s="232">
        <f>_xll.BDP(C26&amp;" EQUITY",$AA$3)</f>
        <v>12651</v>
      </c>
      <c r="AB26" s="231">
        <f t="shared" si="10"/>
        <v>0.14905505208426584</v>
      </c>
      <c r="AD26" s="236">
        <f>_xll.BDP(C26&amp;" EQUITY",$AD$2)</f>
        <v>17.121682075753057</v>
      </c>
      <c r="AE26" s="237">
        <f>_xll.BDP(C26&amp;" EQUITY",$AE$2)</f>
        <v>58.441979450027482</v>
      </c>
      <c r="AG26" s="242">
        <f>_xll.BDP(C26&amp;" EQUITY",$AG$3)</f>
        <v>7</v>
      </c>
      <c r="AH26" s="242">
        <f>_xll.BDP(C26&amp;" EQUITY",$AH$3)</f>
        <v>21</v>
      </c>
      <c r="AI26" s="242">
        <f>_xll.BDP(C26&amp;" EQUITY",$AI$3)</f>
        <v>1</v>
      </c>
      <c r="AJ26" s="243">
        <f t="shared" si="6"/>
        <v>29</v>
      </c>
    </row>
    <row r="27" spans="2:36" ht="15.75" x14ac:dyDescent="0.25">
      <c r="B27" s="225">
        <f>_xll.BDP(C27&amp;" EQUITY",$B$2)/1000000000</f>
        <v>116.77345310786001</v>
      </c>
      <c r="C27" s="3" t="s">
        <v>220</v>
      </c>
      <c r="D27" s="101">
        <v>97000</v>
      </c>
      <c r="E27" s="199">
        <f>_xll.BDP(C27&amp;" EQUITY",$E$1)</f>
        <v>61.32</v>
      </c>
      <c r="F27" s="99"/>
      <c r="G27" s="62">
        <f t="shared" si="0"/>
        <v>5948040</v>
      </c>
      <c r="H27" s="99"/>
      <c r="I27" s="205">
        <f>_xll.BDP(C27&amp;" EQUITY",$J$1)</f>
        <v>10.576592082616179</v>
      </c>
      <c r="J27" s="205">
        <f>_xll.BDP(C27&amp;" EQUITY",$K$1)</f>
        <v>3.1840670762352636</v>
      </c>
      <c r="K27" s="209">
        <f t="shared" si="1"/>
        <v>5.7977087062652561</v>
      </c>
      <c r="L27" s="193">
        <f t="shared" si="2"/>
        <v>0.4677743560165204</v>
      </c>
      <c r="M27" s="211">
        <f t="shared" si="3"/>
        <v>15</v>
      </c>
      <c r="N27" s="715">
        <v>3.95</v>
      </c>
      <c r="O27" s="723"/>
      <c r="P27" s="724">
        <v>8.7200000000000006</v>
      </c>
      <c r="Q27" s="169">
        <f t="shared" si="4"/>
        <v>0.50404244879995264</v>
      </c>
      <c r="R27" s="210">
        <f t="shared" si="5"/>
        <v>21</v>
      </c>
      <c r="S27" s="99"/>
      <c r="T27" s="218"/>
      <c r="U27" s="220"/>
      <c r="V27" s="210"/>
      <c r="X27" s="239"/>
      <c r="Y27" s="229"/>
      <c r="AA27" s="232">
        <f>_xll.BDP(C27&amp;" EQUITY",$AA$3)</f>
        <v>-79999</v>
      </c>
      <c r="AB27" s="231"/>
      <c r="AD27" s="236">
        <f>_xll.BDP(C27&amp;" EQUITY",$AD$2)</f>
        <v>7.9612024946210971</v>
      </c>
      <c r="AE27" s="237">
        <f>_xll.BDP(C27&amp;" EQUITY",$AE$2)</f>
        <v>78.945665278023057</v>
      </c>
      <c r="AG27" s="242">
        <f>_xll.BDP(C27&amp;" EQUITY",$AG$3)</f>
        <v>16</v>
      </c>
      <c r="AH27" s="242">
        <f>_xll.BDP(C27&amp;" EQUITY",$AH$3)</f>
        <v>10</v>
      </c>
      <c r="AI27" s="242">
        <f>_xll.BDP(C27&amp;" EQUITY",$AI$3)</f>
        <v>0</v>
      </c>
      <c r="AJ27" s="243">
        <f t="shared" si="6"/>
        <v>26</v>
      </c>
    </row>
    <row r="28" spans="2:36" ht="15.75" x14ac:dyDescent="0.25">
      <c r="B28" s="225">
        <f>_xll.BDP(C28&amp;" EQUITY",$B$2)/1000000000</f>
        <v>337.95234554300998</v>
      </c>
      <c r="C28" s="3" t="s">
        <v>218</v>
      </c>
      <c r="D28" s="101">
        <v>46400</v>
      </c>
      <c r="E28" s="199">
        <f>_xll.BDP(C28&amp;" EQUITY",$E$1)</f>
        <v>133.43</v>
      </c>
      <c r="F28" s="99"/>
      <c r="G28" s="62">
        <f t="shared" si="0"/>
        <v>6191152</v>
      </c>
      <c r="H28" s="99"/>
      <c r="I28" s="205">
        <f>_xll.BDP(C28&amp;" EQUITY",$J$1)</f>
        <v>15.638173983929196</v>
      </c>
      <c r="J28" s="205">
        <f>_xll.BDP(C28&amp;" EQUITY",$K$1)</f>
        <v>45.165990580634471</v>
      </c>
      <c r="K28" s="209">
        <f t="shared" si="1"/>
        <v>8.5323260974792419</v>
      </c>
      <c r="L28" s="193">
        <f t="shared" si="2"/>
        <v>-0.74934412169567444</v>
      </c>
      <c r="M28" s="213">
        <f t="shared" si="3"/>
        <v>30</v>
      </c>
      <c r="N28" s="715">
        <v>34.04</v>
      </c>
      <c r="O28" s="723"/>
      <c r="P28" s="724">
        <v>35.32</v>
      </c>
      <c r="Q28" s="169">
        <f t="shared" si="4"/>
        <v>3.1395511137853491</v>
      </c>
      <c r="R28" s="213">
        <f t="shared" si="5"/>
        <v>10</v>
      </c>
      <c r="S28" s="99"/>
      <c r="T28" s="218">
        <f>_xll.BDP(C28&amp;" EQUITY",$T$1)</f>
        <v>11</v>
      </c>
      <c r="U28" s="220">
        <f>+I28/T28</f>
        <v>1.4216521803571995</v>
      </c>
      <c r="V28" s="210" t="e">
        <f>+RANK(U28,$U$4:$U$41)</f>
        <v>#VALUE!</v>
      </c>
      <c r="X28" s="239">
        <f>_xll.BDP(C28&amp;" EQUITY",$X$2)*0.01</f>
        <v>2.3083264061350934E-2</v>
      </c>
      <c r="Y28" s="229">
        <f>_xll.BDP(C28&amp;" EQUITY",$Z$1)*0.01</f>
        <v>7.3739161491394048E-2</v>
      </c>
      <c r="AA28" s="232">
        <f>_xll.BDP(C28&amp;" EQUITY",$AA$3)</f>
        <v>9143</v>
      </c>
      <c r="AB28" s="231">
        <f t="shared" si="10"/>
        <v>2.7054110203938216E-2</v>
      </c>
      <c r="AD28" s="236">
        <f>_xll.BDP(C28&amp;" EQUITY",$AD$2)</f>
        <v>4.2157200936306518</v>
      </c>
      <c r="AE28" s="237">
        <f>_xll.BDP(C28&amp;" EQUITY",$AE$2)</f>
        <v>49.075139033598099</v>
      </c>
      <c r="AG28" s="242">
        <f>_xll.BDP(C28&amp;" EQUITY",$AG$3)</f>
        <v>26</v>
      </c>
      <c r="AH28" s="242">
        <f>_xll.BDP(C28&amp;" EQUITY",$AH$3)</f>
        <v>4</v>
      </c>
      <c r="AI28" s="242">
        <f>_xll.BDP(C28&amp;" EQUITY",$AI$3)</f>
        <v>0</v>
      </c>
      <c r="AJ28" s="243">
        <f t="shared" si="6"/>
        <v>30</v>
      </c>
    </row>
    <row r="29" spans="2:36" ht="15.75" x14ac:dyDescent="0.25">
      <c r="B29" s="225">
        <f>_xll.BDP(C29&amp;" EQUITY",$B$2)/1000000000</f>
        <v>85.830206383789999</v>
      </c>
      <c r="C29" s="3" t="s">
        <v>219</v>
      </c>
      <c r="D29" s="101">
        <v>75300</v>
      </c>
      <c r="E29" s="199">
        <f>_xll.BDP(C29&amp;" EQUITY",$E$1)</f>
        <v>78.41</v>
      </c>
      <c r="F29" s="99"/>
      <c r="G29" s="62">
        <f t="shared" si="0"/>
        <v>5904273</v>
      </c>
      <c r="H29" s="99"/>
      <c r="I29" s="205">
        <f>_xll.BDP(C29&amp;" EQUITY",$J$1)</f>
        <v>19.617201093711163</v>
      </c>
      <c r="J29" s="205">
        <f>_xll.BDP(C29&amp;" EQUITY",$K$1)</f>
        <v>13.273927829035845</v>
      </c>
      <c r="K29" s="209">
        <f t="shared" si="1"/>
        <v>3.9970024075012667</v>
      </c>
      <c r="L29" s="193">
        <f t="shared" si="2"/>
        <v>0.41236834187323912</v>
      </c>
      <c r="M29" s="210">
        <f t="shared" si="3"/>
        <v>16</v>
      </c>
      <c r="N29" s="715">
        <v>2.83</v>
      </c>
      <c r="O29" s="723"/>
      <c r="P29" s="724">
        <v>4.01</v>
      </c>
      <c r="Q29" s="169">
        <f t="shared" si="4"/>
        <v>3.2518350437669152E-3</v>
      </c>
      <c r="R29" s="211">
        <f t="shared" si="5"/>
        <v>27</v>
      </c>
      <c r="S29" s="99"/>
      <c r="T29" s="218"/>
      <c r="U29" s="220"/>
      <c r="V29" s="210"/>
      <c r="X29" s="239">
        <f>_xll.BDP(C29&amp;" EQUITY",$X$2)*0.01</f>
        <v>3.6730010386952151E-2</v>
      </c>
      <c r="Y29" s="229">
        <f>_xll.BDP(C29&amp;" EQUITY",$Z$1)*0.01</f>
        <v>3.1066653728485112E-2</v>
      </c>
      <c r="AA29" s="232">
        <f>_xll.BDP(C29&amp;" EQUITY",$AA$3)</f>
        <v>-2155</v>
      </c>
      <c r="AB29" s="231">
        <f t="shared" si="10"/>
        <v>-2.5107710802464014E-2</v>
      </c>
      <c r="AD29" s="236">
        <f>_xll.BDP(C29&amp;" EQUITY",$AD$2)</f>
        <v>5.6217473720489402</v>
      </c>
      <c r="AE29" s="237">
        <f>_xll.BDP(C29&amp;" EQUITY",$AE$2)</f>
        <v>64.316466595755458</v>
      </c>
      <c r="AG29" s="242">
        <f>_xll.BDP(C29&amp;" EQUITY",$AG$3)</f>
        <v>11</v>
      </c>
      <c r="AH29" s="242">
        <f>_xll.BDP(C29&amp;" EQUITY",$AH$3)</f>
        <v>7</v>
      </c>
      <c r="AI29" s="242">
        <f>_xll.BDP(C29&amp;" EQUITY",$AI$3)</f>
        <v>3</v>
      </c>
      <c r="AJ29" s="243">
        <f t="shared" si="6"/>
        <v>21</v>
      </c>
    </row>
    <row r="30" spans="2:36" ht="15.75" x14ac:dyDescent="0.25">
      <c r="B30" s="225">
        <f>_xll.BDP(C30&amp;" EQUITY",$B$2)/1000000000</f>
        <v>2.5254943872049997</v>
      </c>
      <c r="C30" s="3" t="s">
        <v>211</v>
      </c>
      <c r="D30" s="101">
        <v>92000</v>
      </c>
      <c r="E30" s="199">
        <f>_xll.BDP(C30&amp;" EQUITY",$E$1)</f>
        <v>51.93</v>
      </c>
      <c r="F30" s="99"/>
      <c r="G30" s="62">
        <f t="shared" si="0"/>
        <v>4777560</v>
      </c>
      <c r="H30" s="99"/>
      <c r="I30" s="205"/>
      <c r="J30" s="205">
        <f>_xll.BDP(C30&amp;" EQUITY",$K$1)</f>
        <v>24.00986448334292</v>
      </c>
      <c r="K30" s="209"/>
      <c r="L30" s="193"/>
      <c r="M30" s="210"/>
      <c r="N30" s="715">
        <v>3.76</v>
      </c>
      <c r="O30" s="723"/>
      <c r="P30" s="724">
        <v>6.36</v>
      </c>
      <c r="Q30" s="93"/>
      <c r="R30" s="210"/>
      <c r="S30" s="99"/>
      <c r="T30" s="218"/>
      <c r="U30" s="220"/>
      <c r="V30" s="210"/>
      <c r="X30" s="239"/>
      <c r="Y30" s="229"/>
      <c r="AA30" s="232">
        <f>_xll.BDP(C30&amp;" EQUITY",$AA$3)</f>
        <v>-112.28700000000001</v>
      </c>
      <c r="AB30" s="231">
        <f t="shared" si="10"/>
        <v>-4.4461393606290929E-2</v>
      </c>
      <c r="AD30" s="236">
        <f>_xll.BDP(C30&amp;" EQUITY",$AD$2)</f>
        <v>10.436873385887157</v>
      </c>
      <c r="AE30" s="237">
        <f>_xll.BDP(C30&amp;" EQUITY",$AE$2)</f>
        <v>74.994769689963633</v>
      </c>
      <c r="AG30" s="242">
        <f>_xll.BDP(C30&amp;" EQUITY",$AG$3)</f>
        <v>7</v>
      </c>
      <c r="AH30" s="242">
        <f>_xll.BDP(C30&amp;" EQUITY",$AH$3)</f>
        <v>3</v>
      </c>
      <c r="AI30" s="242">
        <f>_xll.BDP(C30&amp;" EQUITY",$AI$3)</f>
        <v>2</v>
      </c>
      <c r="AJ30" s="243">
        <f t="shared" si="6"/>
        <v>12</v>
      </c>
    </row>
    <row r="31" spans="2:36" ht="15.75" x14ac:dyDescent="0.25">
      <c r="B31" s="225">
        <f>_xll.BDP(C31&amp;" EQUITY",$B$2)/1000000000</f>
        <v>41.701424753699996</v>
      </c>
      <c r="C31" s="3" t="s">
        <v>378</v>
      </c>
      <c r="D31" s="101">
        <v>40000</v>
      </c>
      <c r="E31" s="199">
        <f>_xll.BDP(C31&amp;" EQUITY",$E$1)</f>
        <v>133.46</v>
      </c>
      <c r="F31" s="99"/>
      <c r="G31" s="62">
        <f t="shared" si="0"/>
        <v>5338400</v>
      </c>
      <c r="H31" s="99"/>
      <c r="I31" s="205">
        <f>_xll.BDP(C31&amp;" EQUITY",$J$1)</f>
        <v>31.075418994413408</v>
      </c>
      <c r="J31" s="205">
        <f>_xll.BDP(C31&amp;" EQUITY",$K$1)</f>
        <v>23.461357988987885</v>
      </c>
      <c r="K31" s="209">
        <f t="shared" si="1"/>
        <v>4.2947128089887645</v>
      </c>
      <c r="L31" s="193">
        <f t="shared" si="2"/>
        <v>0.67762219101123611</v>
      </c>
      <c r="M31" s="213">
        <f t="shared" si="3"/>
        <v>11</v>
      </c>
      <c r="N31" s="715">
        <v>2.56</v>
      </c>
      <c r="O31" s="723"/>
      <c r="P31" s="724">
        <v>4.8099999999999996</v>
      </c>
      <c r="Q31" s="169">
        <f t="shared" si="4"/>
        <v>0.11998175755378737</v>
      </c>
      <c r="R31" s="213">
        <f t="shared" si="5"/>
        <v>26</v>
      </c>
      <c r="S31" s="99"/>
      <c r="T31" s="218" t="str">
        <f>_xll.BDP(C31&amp;" EQUITY",$T$1)</f>
        <v>#N/A N/A</v>
      </c>
      <c r="U31" s="220" t="e">
        <f>+I31/T31</f>
        <v>#VALUE!</v>
      </c>
      <c r="V31" s="210" t="e">
        <f>+RANK(U31,$U$4:$U$41)</f>
        <v>#VALUE!</v>
      </c>
      <c r="X31" s="239"/>
      <c r="Y31" s="229"/>
      <c r="AA31" s="232">
        <f>_xll.BDP(C31&amp;" EQUITY",$AA$3)</f>
        <v>-300.44400000000002</v>
      </c>
      <c r="AB31" s="231">
        <f t="shared" si="10"/>
        <v>-7.2046459269558376E-3</v>
      </c>
      <c r="AD31" s="236">
        <f>_xll.BDP(C31&amp;" EQUITY",$AD$2)</f>
        <v>6.310908159937461</v>
      </c>
      <c r="AE31" s="237">
        <f>_xll.BDP(C31&amp;" EQUITY",$AE$2)</f>
        <v>76.382810063073876</v>
      </c>
      <c r="AG31" s="242">
        <f>_xll.BDP(C31&amp;" EQUITY",$AG$3)</f>
        <v>7</v>
      </c>
      <c r="AH31" s="242">
        <f>_xll.BDP(C31&amp;" EQUITY",$AH$3)</f>
        <v>8</v>
      </c>
      <c r="AI31" s="242">
        <f>_xll.BDP(C31&amp;" EQUITY",$AI$3)</f>
        <v>0</v>
      </c>
      <c r="AJ31" s="243">
        <f t="shared" si="6"/>
        <v>15</v>
      </c>
    </row>
    <row r="32" spans="2:36" ht="15.75" x14ac:dyDescent="0.25">
      <c r="B32" s="225">
        <f>_xll.BDP(C32&amp;" EQUITY",$B$2)/1000000000</f>
        <v>743.69448304670993</v>
      </c>
      <c r="C32" s="3" t="s">
        <v>223</v>
      </c>
      <c r="D32" s="101">
        <v>4000</v>
      </c>
      <c r="E32" s="199">
        <f>_xll.BDP(C32&amp;" EQUITY",$E$1)</f>
        <v>1579.97</v>
      </c>
      <c r="F32" s="99"/>
      <c r="G32" s="62">
        <f t="shared" si="0"/>
        <v>6319880</v>
      </c>
      <c r="H32" s="99"/>
      <c r="I32" s="205">
        <f>_xll.BDP(C32&amp;" EQUITY",$J$1)</f>
        <v>33.162421711899789</v>
      </c>
      <c r="J32" s="205">
        <f>_xll.BDP(C32&amp;" EQUITY",$K$1)</f>
        <v>40.614866189237034</v>
      </c>
      <c r="K32" s="209">
        <f t="shared" si="1"/>
        <v>47.643384241539088</v>
      </c>
      <c r="L32" s="193">
        <f t="shared" si="2"/>
        <v>475.43384241539087</v>
      </c>
      <c r="M32" s="213">
        <f t="shared" si="3"/>
        <v>1</v>
      </c>
      <c r="N32" s="715">
        <v>0.1</v>
      </c>
      <c r="O32" s="723"/>
      <c r="P32" s="724">
        <v>1.42</v>
      </c>
      <c r="Q32" s="169">
        <f t="shared" si="4"/>
        <v>-0.97019523229498172</v>
      </c>
      <c r="R32" s="213">
        <f t="shared" si="5"/>
        <v>36</v>
      </c>
      <c r="S32" s="99"/>
      <c r="T32" s="218"/>
      <c r="U32" s="220"/>
      <c r="V32" s="210"/>
      <c r="X32" s="239"/>
      <c r="Y32" s="229"/>
      <c r="AA32" s="232">
        <f>_xll.BDP(C32&amp;" EQUITY",$AA$3)</f>
        <v>17633</v>
      </c>
      <c r="AB32" s="231">
        <f t="shared" si="10"/>
        <v>2.3710005118987156E-2</v>
      </c>
      <c r="AD32" s="236">
        <f>_xll.BDP(C32&amp;" EQUITY",$AD$2)</f>
        <v>3.7225770758939798</v>
      </c>
      <c r="AE32" s="237">
        <f>_xll.BDP(C32&amp;" EQUITY",$AE$2)</f>
        <v>62.304356024891575</v>
      </c>
      <c r="AG32" s="242">
        <f>_xll.BDP(C32&amp;" EQUITY",$AG$3)</f>
        <v>36</v>
      </c>
      <c r="AH32" s="242">
        <f>_xll.BDP(C32&amp;" EQUITY",$AH$3)</f>
        <v>6</v>
      </c>
      <c r="AI32" s="242">
        <f>_xll.BDP(C32&amp;" EQUITY",$AI$3)</f>
        <v>1</v>
      </c>
      <c r="AJ32" s="243">
        <f t="shared" si="6"/>
        <v>43</v>
      </c>
    </row>
    <row r="33" spans="2:36" ht="15.75" x14ac:dyDescent="0.25">
      <c r="B33" s="225">
        <f>_xll.BDP(C33&amp;" EQUITY",$B$2)/1000000000</f>
        <v>118.604091711595</v>
      </c>
      <c r="C33" s="3" t="s">
        <v>222</v>
      </c>
      <c r="D33" s="101">
        <v>6500</v>
      </c>
      <c r="E33" s="199">
        <f>_xll.BDP(C33&amp;" EQUITY",$E$1)</f>
        <v>792.98500000000001</v>
      </c>
      <c r="F33" s="99"/>
      <c r="G33" s="62">
        <f t="shared" si="0"/>
        <v>5154402.5</v>
      </c>
      <c r="H33" s="99"/>
      <c r="I33" s="205">
        <f>_xll.BDP(C33&amp;" EQUITY",$J$1)</f>
        <v>19.186142358417378</v>
      </c>
      <c r="J33" s="205">
        <f>_xll.BDP(C33&amp;" EQUITY",$K$1)</f>
        <v>15.870088042308536</v>
      </c>
      <c r="K33" s="209">
        <f t="shared" si="1"/>
        <v>41.331132918030299</v>
      </c>
      <c r="L33" s="193">
        <f t="shared" si="2"/>
        <v>29.390538910316394</v>
      </c>
      <c r="M33" s="213">
        <f t="shared" si="3"/>
        <v>2</v>
      </c>
      <c r="N33" s="715">
        <v>1.36</v>
      </c>
      <c r="O33" s="723"/>
      <c r="P33" s="724">
        <v>2.4900000000000002</v>
      </c>
      <c r="Q33" s="169">
        <f t="shared" si="4"/>
        <v>-0.93975485731450248</v>
      </c>
      <c r="R33" s="213">
        <f t="shared" si="5"/>
        <v>35</v>
      </c>
      <c r="S33" s="99"/>
      <c r="T33" s="218">
        <f>_xll.BDP(C33&amp;" EQUITY",$T$1)</f>
        <v>11.89</v>
      </c>
      <c r="U33" s="220">
        <f t="shared" ref="U33:U40" si="11">+I33/T33</f>
        <v>1.6136368678231603</v>
      </c>
      <c r="V33" s="210" t="e">
        <f t="shared" ref="V33:V40" si="12">+RANK(U33,$U$4:$U$41)</f>
        <v>#VALUE!</v>
      </c>
      <c r="X33" s="239"/>
      <c r="Y33" s="229"/>
      <c r="AA33" s="232">
        <f>_xll.BDP(C33&amp;" EQUITY",$AA$3)</f>
        <v>3821</v>
      </c>
      <c r="AB33" s="231">
        <f t="shared" si="10"/>
        <v>3.221642647280145E-2</v>
      </c>
      <c r="AD33" s="236">
        <f>_xll.BDP(C33&amp;" EQUITY",$AD$2)</f>
        <v>1.5022601059021052</v>
      </c>
      <c r="AE33" s="237">
        <f>_xll.BDP(C33&amp;" EQUITY",$AE$2)</f>
        <v>19.045188645911036</v>
      </c>
      <c r="AG33" s="242">
        <f>_xll.BDP(C33&amp;" EQUITY",$AG$3)</f>
        <v>17</v>
      </c>
      <c r="AH33" s="242">
        <f>_xll.BDP(C33&amp;" EQUITY",$AH$3)</f>
        <v>4</v>
      </c>
      <c r="AI33" s="242">
        <f>_xll.BDP(C33&amp;" EQUITY",$AI$3)</f>
        <v>0</v>
      </c>
      <c r="AJ33" s="243">
        <f t="shared" si="6"/>
        <v>21</v>
      </c>
    </row>
    <row r="34" spans="2:36" ht="15.75" x14ac:dyDescent="0.25">
      <c r="B34" s="225">
        <f>_xll.BDP(C34&amp;" EQUITY",$B$2)/1000000000</f>
        <v>46.560309092920001</v>
      </c>
      <c r="C34" s="3" t="s">
        <v>214</v>
      </c>
      <c r="D34" s="101">
        <v>90000</v>
      </c>
      <c r="E34" s="199">
        <f>_xll.BDP(C34&amp;" EQUITY",$E$1)</f>
        <v>53.47</v>
      </c>
      <c r="F34" s="99"/>
      <c r="G34" s="62">
        <f t="shared" si="0"/>
        <v>4812300</v>
      </c>
      <c r="H34" s="99"/>
      <c r="I34" s="205">
        <f>_xll.BDP(C34&amp;" EQUITY",$J$1)</f>
        <v>39.58610495195861</v>
      </c>
      <c r="J34" s="205">
        <f>_xll.BDP(C34&amp;" EQUITY",$K$1)</f>
        <v>19.826453720339927</v>
      </c>
      <c r="K34" s="209">
        <f t="shared" si="1"/>
        <v>1.3507264749813293</v>
      </c>
      <c r="L34" s="193">
        <f t="shared" si="2"/>
        <v>-0.9409905428142713</v>
      </c>
      <c r="M34" s="213">
        <f t="shared" si="3"/>
        <v>34</v>
      </c>
      <c r="N34" s="715">
        <v>22.89</v>
      </c>
      <c r="O34" s="723"/>
      <c r="P34" s="724">
        <v>32.86</v>
      </c>
      <c r="Q34" s="169">
        <f t="shared" si="4"/>
        <v>23.327649312163082</v>
      </c>
      <c r="R34" s="213">
        <f t="shared" si="5"/>
        <v>4</v>
      </c>
      <c r="S34" s="99"/>
      <c r="T34" s="218">
        <f>_xll.BDP(C34&amp;" EQUITY",$T$1)</f>
        <v>2.4700000000000002</v>
      </c>
      <c r="U34" s="220">
        <f t="shared" si="11"/>
        <v>16.026763138444782</v>
      </c>
      <c r="V34" s="210" t="e">
        <f t="shared" si="12"/>
        <v>#VALUE!</v>
      </c>
      <c r="X34" s="239">
        <f>_xll.BDP(C34&amp;" EQUITY",$X$2)*0.01</f>
        <v>5.9023749745848564E-2</v>
      </c>
      <c r="Y34" s="229">
        <f>_xll.BDP(C34&amp;" EQUITY",$Z$1)*0.01</f>
        <v>2.8900094032287604E-2</v>
      </c>
      <c r="AA34" s="232">
        <f>_xll.BDP(C34&amp;" EQUITY",$AA$3)</f>
        <v>-5163.5180000000009</v>
      </c>
      <c r="AB34" s="231"/>
      <c r="AD34" s="236">
        <f>_xll.BDP(C34&amp;" EQUITY",$AD$2)</f>
        <v>7.1163112582453634</v>
      </c>
      <c r="AE34" s="237">
        <f>_xll.BDP(C34&amp;" EQUITY",$AE$2)</f>
        <v>39.91111875666374</v>
      </c>
      <c r="AG34" s="242">
        <f>_xll.BDP(C34&amp;" EQUITY",$AG$3)</f>
        <v>8</v>
      </c>
      <c r="AH34" s="242">
        <f>_xll.BDP(C34&amp;" EQUITY",$AH$3)</f>
        <v>13</v>
      </c>
      <c r="AI34" s="242">
        <f>_xll.BDP(C34&amp;" EQUITY",$AI$3)</f>
        <v>0</v>
      </c>
      <c r="AJ34" s="243">
        <f t="shared" si="6"/>
        <v>21</v>
      </c>
    </row>
    <row r="35" spans="2:36" ht="15.75" x14ac:dyDescent="0.25">
      <c r="B35" s="225">
        <f>_xll.BDP(C35&amp;" EQUITY",$B$2)/1000000000</f>
        <v>40.229698769660004</v>
      </c>
      <c r="C35" s="3" t="s">
        <v>217</v>
      </c>
      <c r="D35" s="101">
        <v>130000</v>
      </c>
      <c r="E35" s="199">
        <f>_xll.BDP(C35&amp;" EQUITY",$E$1)</f>
        <v>33.06</v>
      </c>
      <c r="F35" s="99"/>
      <c r="G35" s="62">
        <f t="shared" si="0"/>
        <v>4297800</v>
      </c>
      <c r="H35" s="99"/>
      <c r="I35" s="205">
        <f>_xll.BDP(C35&amp;" EQUITY",$J$1)</f>
        <v>11.000991080277501</v>
      </c>
      <c r="J35" s="205">
        <f>_xll.BDP(C35&amp;" EQUITY",$K$1)</f>
        <v>10.588129019932168</v>
      </c>
      <c r="K35" s="209">
        <f t="shared" si="1"/>
        <v>3.0051837837837843</v>
      </c>
      <c r="L35" s="193">
        <f t="shared" si="2"/>
        <v>-0.53408003352189393</v>
      </c>
      <c r="M35" s="213">
        <f t="shared" si="3"/>
        <v>26</v>
      </c>
      <c r="N35" s="715">
        <v>6.45</v>
      </c>
      <c r="O35" s="723"/>
      <c r="P35" s="724">
        <v>7.13</v>
      </c>
      <c r="Q35" s="169">
        <f t="shared" si="4"/>
        <v>1.3725670418142339</v>
      </c>
      <c r="R35" s="213">
        <f t="shared" si="5"/>
        <v>15</v>
      </c>
      <c r="S35" s="99"/>
      <c r="T35" s="218">
        <f>_xll.BDP(C35&amp;" EQUITY",$T$1)</f>
        <v>3.77</v>
      </c>
      <c r="U35" s="220">
        <f t="shared" si="11"/>
        <v>2.9180347693043771</v>
      </c>
      <c r="V35" s="210" t="e">
        <f t="shared" si="12"/>
        <v>#VALUE!</v>
      </c>
      <c r="X35" s="239">
        <f>_xll.BDP(C35&amp;" EQUITY",$X$2)*0.01</f>
        <v>4.8294597761601506E-2</v>
      </c>
      <c r="Y35" s="229">
        <f>_xll.BDP(C35&amp;" EQUITY",$Z$1)*0.01</f>
        <v>-4.8358817100524906E-2</v>
      </c>
      <c r="AA35" s="232">
        <f>_xll.BDP(C35&amp;" EQUITY",$AA$3)</f>
        <v>2963</v>
      </c>
      <c r="AB35" s="231">
        <f t="shared" si="10"/>
        <v>7.3652055337650277E-2</v>
      </c>
      <c r="AD35" s="236">
        <f>_xll.BDP(C35&amp;" EQUITY",$AD$2)</f>
        <v>3.6674401999285968</v>
      </c>
      <c r="AE35" s="237">
        <f>_xll.BDP(C35&amp;" EQUITY",$AE$2)</f>
        <v>29.343053246365692</v>
      </c>
      <c r="AG35" s="242">
        <f>_xll.BDP(C35&amp;" EQUITY",$AG$3)</f>
        <v>11</v>
      </c>
      <c r="AH35" s="242">
        <f>_xll.BDP(C35&amp;" EQUITY",$AH$3)</f>
        <v>11</v>
      </c>
      <c r="AI35" s="242">
        <f>_xll.BDP(C35&amp;" EQUITY",$AI$3)</f>
        <v>2</v>
      </c>
      <c r="AJ35" s="243">
        <f t="shared" si="6"/>
        <v>24</v>
      </c>
    </row>
    <row r="36" spans="2:36" ht="15.75" x14ac:dyDescent="0.25">
      <c r="B36" s="225">
        <f>_xll.BDP(C36&amp;" EQUITY",$B$2)/1000000000</f>
        <v>274.48137238550498</v>
      </c>
      <c r="C36" s="3" t="s">
        <v>225</v>
      </c>
      <c r="D36" s="101">
        <v>74000</v>
      </c>
      <c r="E36" s="199">
        <f>_xll.BDP(C36&amp;" EQUITY",$E$1)</f>
        <v>63.715000000000003</v>
      </c>
      <c r="F36" s="99"/>
      <c r="G36" s="62">
        <f t="shared" si="0"/>
        <v>4714910</v>
      </c>
      <c r="H36" s="99"/>
      <c r="I36" s="205">
        <f>_xll.BDP(C36&amp;" EQUITY",$J$1)</f>
        <v>22.644657436989704</v>
      </c>
      <c r="J36" s="205">
        <f>_xll.BDP(C36&amp;" EQUITY",$K$1)</f>
        <v>26.957670246269103</v>
      </c>
      <c r="K36" s="209">
        <f t="shared" si="1"/>
        <v>2.813687960495376</v>
      </c>
      <c r="L36" s="193">
        <f t="shared" si="2"/>
        <v>0.58965421496913883</v>
      </c>
      <c r="M36" s="210">
        <f t="shared" si="3"/>
        <v>12</v>
      </c>
      <c r="N36" s="715">
        <v>1.77</v>
      </c>
      <c r="O36" s="723"/>
      <c r="P36" s="724">
        <v>2.14</v>
      </c>
      <c r="Q36" s="169">
        <f t="shared" si="4"/>
        <v>-0.23943236419747371</v>
      </c>
      <c r="R36" s="210">
        <f t="shared" si="5"/>
        <v>31</v>
      </c>
      <c r="S36" s="99"/>
      <c r="T36" s="218">
        <f>_xll.BDP(C36&amp;" EQUITY",$T$1)</f>
        <v>6.36</v>
      </c>
      <c r="U36" s="220">
        <f t="shared" si="11"/>
        <v>3.5604807290864313</v>
      </c>
      <c r="V36" s="210" t="e">
        <f t="shared" si="12"/>
        <v>#VALUE!</v>
      </c>
      <c r="X36" s="239"/>
      <c r="Y36" s="229"/>
      <c r="AA36" s="232">
        <f>_xll.BDP(C36&amp;" EQUITY",$AA$3)</f>
        <v>9747</v>
      </c>
      <c r="AB36" s="231">
        <f t="shared" si="10"/>
        <v>3.5510606476823074E-2</v>
      </c>
      <c r="AD36" s="236">
        <f>_xll.BDP(C36&amp;" EQUITY",$AD$2)</f>
        <v>3.80284207703995</v>
      </c>
      <c r="AE36" s="237">
        <f>_xll.BDP(C36&amp;" EQUITY",$AE$2)</f>
        <v>61.244464502298825</v>
      </c>
      <c r="AG36" s="242">
        <f>_xll.BDP(C36&amp;" EQUITY",$AG$3)</f>
        <v>23</v>
      </c>
      <c r="AH36" s="242">
        <f>_xll.BDP(C36&amp;" EQUITY",$AH$3)</f>
        <v>7</v>
      </c>
      <c r="AI36" s="242">
        <f>_xll.BDP(C36&amp;" EQUITY",$AI$3)</f>
        <v>0</v>
      </c>
      <c r="AJ36" s="243">
        <f t="shared" si="6"/>
        <v>30</v>
      </c>
    </row>
    <row r="37" spans="2:36" ht="15.75" x14ac:dyDescent="0.25">
      <c r="B37" s="225">
        <f>_xll.BDP(C37&amp;" EQUITY",$B$2)/1000000000</f>
        <v>135.447111084</v>
      </c>
      <c r="C37" s="3" t="s">
        <v>230</v>
      </c>
      <c r="D37" s="101">
        <v>18000</v>
      </c>
      <c r="E37" s="199">
        <f>_xll.BDP(C37&amp;" EQUITY",$E$1)</f>
        <v>222</v>
      </c>
      <c r="F37" s="99"/>
      <c r="G37" s="155">
        <f t="shared" si="0"/>
        <v>3996000</v>
      </c>
      <c r="H37" s="99"/>
      <c r="I37" s="205">
        <f>_xll.BDP(C37&amp;" EQUITY",$J$1)</f>
        <v>19.465864874425186</v>
      </c>
      <c r="J37" s="205">
        <f>_xll.BDP(C37&amp;" EQUITY",$K$1)</f>
        <v>14.588531398608696</v>
      </c>
      <c r="K37" s="209">
        <f t="shared" si="1"/>
        <v>11.404579320370706</v>
      </c>
      <c r="L37" s="193">
        <f>+(K37/N37)-1</f>
        <v>1.1198102825967857</v>
      </c>
      <c r="M37" s="212">
        <f t="shared" si="3"/>
        <v>8</v>
      </c>
      <c r="N37" s="715">
        <v>5.38</v>
      </c>
      <c r="O37" s="723"/>
      <c r="P37" s="724">
        <v>10.41</v>
      </c>
      <c r="Q37" s="169">
        <f t="shared" si="4"/>
        <v>-8.7208768726278363E-2</v>
      </c>
      <c r="R37" s="211">
        <f t="shared" si="5"/>
        <v>28</v>
      </c>
      <c r="S37" s="99"/>
      <c r="T37" s="218">
        <f>_xll.BDP(C37&amp;" EQUITY",$T$1)</f>
        <v>11.94</v>
      </c>
      <c r="U37" s="220">
        <f t="shared" si="11"/>
        <v>1.6303069409066322</v>
      </c>
      <c r="V37" s="210" t="e">
        <f t="shared" si="12"/>
        <v>#VALUE!</v>
      </c>
      <c r="X37" s="239"/>
      <c r="Y37" s="229"/>
      <c r="AA37" s="232">
        <f>_xll.BDP(C37&amp;" EQUITY",$AA$3)</f>
        <v>4773</v>
      </c>
      <c r="AB37" s="231">
        <f t="shared" si="10"/>
        <v>3.5238846822210457E-2</v>
      </c>
      <c r="AD37" s="236">
        <f>_xll.BDP(C37&amp;" EQUITY",$AD$2)</f>
        <v>2.8926956521739129</v>
      </c>
      <c r="AE37" s="237">
        <f>_xll.BDP(C37&amp;" EQUITY",$AE$2)</f>
        <v>69.800069434517127</v>
      </c>
      <c r="AG37" s="242">
        <f>_xll.BDP(C37&amp;" EQUITY",$AG$3)</f>
        <v>17</v>
      </c>
      <c r="AH37" s="242">
        <f>_xll.BDP(C37&amp;" EQUITY",$AH$3)</f>
        <v>12</v>
      </c>
      <c r="AI37" s="242">
        <f>_xll.BDP(C37&amp;" EQUITY",$AI$3)</f>
        <v>0</v>
      </c>
      <c r="AJ37" s="243">
        <f t="shared" si="6"/>
        <v>29</v>
      </c>
    </row>
    <row r="38" spans="2:36" ht="15.75" x14ac:dyDescent="0.25">
      <c r="B38" s="225">
        <f>_xll.BDP(C38&amp;" EQUITY",$B$2)/1000000000</f>
        <v>22.030770548160003</v>
      </c>
      <c r="C38" s="3" t="s">
        <v>226</v>
      </c>
      <c r="D38" s="101">
        <v>107200</v>
      </c>
      <c r="E38" s="199">
        <f>_xll.BDP(C38&amp;" EQUITY",$E$1)</f>
        <v>38.28</v>
      </c>
      <c r="F38" s="99"/>
      <c r="G38" s="62">
        <f t="shared" si="0"/>
        <v>4103616</v>
      </c>
      <c r="H38" s="99"/>
      <c r="I38" s="205">
        <f>_xll.BDP(C38&amp;" EQUITY",$J$1)</f>
        <v>14.285183809877459</v>
      </c>
      <c r="J38" s="205">
        <f>_xll.BDP(C38&amp;" EQUITY",$K$1)</f>
        <v>13.027466782024471</v>
      </c>
      <c r="K38" s="209">
        <f t="shared" si="1"/>
        <v>2.6796995061086561</v>
      </c>
      <c r="L38" s="193">
        <f>+(K38/N38)-1</f>
        <v>-0.89589357008124881</v>
      </c>
      <c r="M38" s="212">
        <f t="shared" si="3"/>
        <v>31</v>
      </c>
      <c r="N38" s="715">
        <v>25.74</v>
      </c>
      <c r="O38" s="723"/>
      <c r="P38" s="724">
        <v>42.79</v>
      </c>
      <c r="Q38" s="169">
        <f t="shared" si="4"/>
        <v>14.968208339202103</v>
      </c>
      <c r="R38" s="210">
        <f t="shared" si="5"/>
        <v>5</v>
      </c>
      <c r="S38" s="99"/>
      <c r="T38" s="218">
        <f>_xll.BDP(C38&amp;" EQUITY",$T$1)</f>
        <v>5.65</v>
      </c>
      <c r="U38" s="220">
        <f t="shared" si="11"/>
        <v>2.5283511167924706</v>
      </c>
      <c r="V38" s="210" t="e">
        <f t="shared" si="12"/>
        <v>#VALUE!</v>
      </c>
      <c r="X38" s="239">
        <f>_xll.BDP(C38&amp;" EQUITY",$X$2)*0.01</f>
        <v>4.4409614620786721E-2</v>
      </c>
      <c r="Y38" s="229"/>
      <c r="AA38" s="232">
        <f>_xll.BDP(C38&amp;" EQUITY",$AA$3)</f>
        <v>-1969</v>
      </c>
      <c r="AB38" s="231"/>
      <c r="AD38" s="236">
        <f>_xll.BDP(C38&amp;" EQUITY",$AD$2)</f>
        <v>6.8172969966629591</v>
      </c>
      <c r="AE38" s="237">
        <f>_xll.BDP(C38&amp;" EQUITY",$AE$2)</f>
        <v>69.721513369577281</v>
      </c>
      <c r="AG38" s="242">
        <f>_xll.BDP(C38&amp;" EQUITY",$AG$3)</f>
        <v>9</v>
      </c>
      <c r="AH38" s="242">
        <f>_xll.BDP(C38&amp;" EQUITY",$AH$3)</f>
        <v>8</v>
      </c>
      <c r="AI38" s="242">
        <f>_xll.BDP(C38&amp;" EQUITY",$AI$3)</f>
        <v>1</v>
      </c>
      <c r="AJ38" s="243">
        <f t="shared" si="6"/>
        <v>18</v>
      </c>
    </row>
    <row r="39" spans="2:36" ht="15.75" x14ac:dyDescent="0.25">
      <c r="B39" s="225">
        <f>_xll.BDP(C39&amp;" EQUITY",$B$2)/1000000000</f>
        <v>13.498279501520001</v>
      </c>
      <c r="C39" s="3" t="s">
        <v>356</v>
      </c>
      <c r="D39" s="101">
        <v>100000</v>
      </c>
      <c r="E39" s="199">
        <f>_xll.BDP(C39&amp;" EQUITY",$E$1)</f>
        <v>40.68</v>
      </c>
      <c r="F39" s="99"/>
      <c r="G39" s="62">
        <f t="shared" si="0"/>
        <v>4068000</v>
      </c>
      <c r="H39" s="99"/>
      <c r="I39" s="205">
        <f>_xll.BDP(C39&amp;" EQUITY",$J$1)</f>
        <v>100.90909090909091</v>
      </c>
      <c r="J39" s="205">
        <f>_xll.BDP(C39&amp;" EQUITY",$K$1)</f>
        <v>15.075695802290541</v>
      </c>
      <c r="K39" s="209">
        <f t="shared" si="1"/>
        <v>0.40313513513513516</v>
      </c>
      <c r="L39" s="193">
        <f>+(K39/N39)-1</f>
        <v>-0.94935488252071165</v>
      </c>
      <c r="M39" s="210">
        <f t="shared" si="3"/>
        <v>35</v>
      </c>
      <c r="N39" s="715">
        <v>7.96</v>
      </c>
      <c r="O39" s="723"/>
      <c r="P39" s="724">
        <v>14.42</v>
      </c>
      <c r="Q39" s="169">
        <f t="shared" si="4"/>
        <v>34.769643336015015</v>
      </c>
      <c r="R39" s="210">
        <f t="shared" si="5"/>
        <v>2</v>
      </c>
      <c r="S39" s="99"/>
      <c r="T39" s="218">
        <f>_xll.BDP(C39&amp;" EQUITY",$T$1)</f>
        <v>1.85</v>
      </c>
      <c r="U39" s="220">
        <f t="shared" si="11"/>
        <v>54.54545454545454</v>
      </c>
      <c r="V39" s="210" t="e">
        <f t="shared" si="12"/>
        <v>#VALUE!</v>
      </c>
      <c r="X39" s="239">
        <f>_xll.BDP(C39&amp;" EQUITY",$X$2)*0.01</f>
        <v>4.1483651724834453E-2</v>
      </c>
      <c r="Y39" s="229">
        <f>_xll.BDP(C39&amp;" EQUITY",$Z$1)*0.01</f>
        <v>5.1636672019958495E-2</v>
      </c>
      <c r="AA39" s="232">
        <f>_xll.BDP(C39&amp;" EQUITY",$AA$3)</f>
        <v>346.59400000000005</v>
      </c>
      <c r="AB39" s="231">
        <f t="shared" si="10"/>
        <v>2.5676902005249715E-2</v>
      </c>
      <c r="AD39" s="236">
        <f>_xll.BDP(C39&amp;" EQUITY",$AD$2)</f>
        <v>4.3895416336685917</v>
      </c>
      <c r="AE39" s="237">
        <f>_xll.BDP(C39&amp;" EQUITY",$AE$2)</f>
        <v>54.718411452661627</v>
      </c>
      <c r="AG39" s="242">
        <f>_xll.BDP(C39&amp;" EQUITY",$AG$3)</f>
        <v>8</v>
      </c>
      <c r="AH39" s="242">
        <f>_xll.BDP(C39&amp;" EQUITY",$AH$3)</f>
        <v>14</v>
      </c>
      <c r="AI39" s="242">
        <f>_xll.BDP(C39&amp;" EQUITY",$AI$3)</f>
        <v>0</v>
      </c>
      <c r="AJ39" s="243">
        <f t="shared" si="6"/>
        <v>22</v>
      </c>
    </row>
    <row r="40" spans="2:36" ht="15.75" x14ac:dyDescent="0.25">
      <c r="B40" s="225">
        <f>_xll.BDP(C40&amp;" EQUITY",$B$2)/1000000000</f>
        <v>101.95857049999999</v>
      </c>
      <c r="C40" s="3" t="s">
        <v>392</v>
      </c>
      <c r="D40" s="101">
        <v>35000</v>
      </c>
      <c r="E40" s="199">
        <f>_xll.BDP(C40&amp;" EQUITY",$E$1)</f>
        <v>109.84</v>
      </c>
      <c r="F40" s="99"/>
      <c r="G40" s="62">
        <f t="shared" si="0"/>
        <v>3844400</v>
      </c>
      <c r="H40" s="99"/>
      <c r="I40" s="205">
        <f>_xll.BDP(C40&amp;" EQUITY",$J$1)</f>
        <v>35.18765903307888</v>
      </c>
      <c r="J40" s="205">
        <f>_xll.BDP(C40&amp;" EQUITY",$K$1)</f>
        <v>23.837907624855742</v>
      </c>
      <c r="K40" s="209">
        <f t="shared" si="1"/>
        <v>3.1215489469402513</v>
      </c>
      <c r="L40" s="193">
        <f>+(K40/N40)-1</f>
        <v>-0.16980081198397567</v>
      </c>
      <c r="M40" s="210">
        <f t="shared" si="3"/>
        <v>18</v>
      </c>
      <c r="N40" s="715">
        <v>3.76</v>
      </c>
      <c r="O40" s="723"/>
      <c r="P40" s="724">
        <v>3.96</v>
      </c>
      <c r="Q40" s="169">
        <f t="shared" si="4"/>
        <v>0.26860096295513802</v>
      </c>
      <c r="R40" s="210">
        <f t="shared" si="5"/>
        <v>24</v>
      </c>
      <c r="S40" s="99"/>
      <c r="T40" s="218">
        <f>_xll.BDP(C40&amp;" EQUITY",$T$1)</f>
        <v>7.57</v>
      </c>
      <c r="U40" s="220">
        <f t="shared" si="11"/>
        <v>4.6483037031808294</v>
      </c>
      <c r="V40" s="210" t="e">
        <f t="shared" si="12"/>
        <v>#VALUE!</v>
      </c>
      <c r="X40" s="239">
        <f>_xll.BDP(C40&amp;" EQUITY",$X$2)*0.01</f>
        <v>3.4869465735930187E-2</v>
      </c>
      <c r="Y40" s="229">
        <f>_xll.BDP(C40&amp;" EQUITY",$Z$1)*0.01</f>
        <v>0.1262270355224609</v>
      </c>
      <c r="AA40" s="232">
        <f>_xll.BDP(C40&amp;" EQUITY",$AA$3)</f>
        <v>1282.088</v>
      </c>
      <c r="AB40" s="231">
        <f t="shared" si="10"/>
        <v>1.2574597640126781E-2</v>
      </c>
      <c r="AD40" s="236">
        <f>_xll.BDP(C40&amp;" EQUITY",$AD$2)</f>
        <v>5.1928173591525963</v>
      </c>
      <c r="AE40" s="237">
        <f>_xll.BDP(C40&amp;" EQUITY",$AE$2)</f>
        <v>33.856623195884453</v>
      </c>
      <c r="AG40" s="242">
        <f>_xll.BDP(C40&amp;" EQUITY",$AG$3)</f>
        <v>21</v>
      </c>
      <c r="AH40" s="242">
        <f>_xll.BDP(C40&amp;" EQUITY",$AH$3)</f>
        <v>6</v>
      </c>
      <c r="AI40" s="242">
        <f>_xll.BDP(C40&amp;" EQUITY",$AI$3)</f>
        <v>0</v>
      </c>
      <c r="AJ40" s="243">
        <f t="shared" si="6"/>
        <v>27</v>
      </c>
    </row>
    <row r="41" spans="2:36" ht="15.75" x14ac:dyDescent="0.25">
      <c r="B41" s="225">
        <f>_xll.BDP(C41&amp;" EQUITY",$B$2)/1000000000</f>
        <v>71.120458944920003</v>
      </c>
      <c r="C41" s="3" t="s">
        <v>545</v>
      </c>
      <c r="D41" s="101">
        <v>5000</v>
      </c>
      <c r="E41" s="199">
        <f>_xll.BDP(C41&amp;" EQUITY",$E$1)</f>
        <v>749.38</v>
      </c>
      <c r="F41" s="99"/>
      <c r="G41" s="62">
        <f t="shared" ref="G41:G42" si="13">+E41*D41</f>
        <v>3746900</v>
      </c>
      <c r="H41" s="99"/>
      <c r="I41" s="205">
        <f>_xll.BDP(C41&amp;" EQUITY",$J$1)</f>
        <v>68.564615243510957</v>
      </c>
      <c r="J41" s="205">
        <f>_xll.BDP(C41&amp;" EQUITY",$K$1)</f>
        <v>24.331489260397042</v>
      </c>
      <c r="K41" s="209"/>
      <c r="L41" s="193"/>
      <c r="M41" s="210"/>
      <c r="N41" s="715"/>
      <c r="O41" s="723"/>
      <c r="P41" s="724"/>
      <c r="Q41" s="169"/>
      <c r="R41" s="210"/>
      <c r="S41" s="99"/>
      <c r="T41" s="218"/>
      <c r="U41" s="220"/>
      <c r="V41" s="210"/>
      <c r="X41" s="239"/>
      <c r="Y41" s="229"/>
      <c r="AA41" s="232"/>
      <c r="AB41" s="231"/>
      <c r="AD41" s="236"/>
      <c r="AE41" s="237"/>
      <c r="AG41" s="242"/>
      <c r="AH41" s="242"/>
      <c r="AI41" s="242"/>
      <c r="AJ41" s="243"/>
    </row>
    <row r="42" spans="2:36" ht="15.75" x14ac:dyDescent="0.25">
      <c r="B42" s="225">
        <f>_xll.BDP(C42&amp;" EQUITY",$B$2)/1000000000</f>
        <v>116.04373777634498</v>
      </c>
      <c r="C42" s="3" t="s">
        <v>403</v>
      </c>
      <c r="D42" s="101">
        <v>23000</v>
      </c>
      <c r="E42" s="199">
        <f>_xll.BDP(C42&amp;" EQUITY",$E$1)</f>
        <v>134.94</v>
      </c>
      <c r="F42" s="99"/>
      <c r="G42" s="62">
        <f t="shared" si="13"/>
        <v>3103620</v>
      </c>
      <c r="H42" s="99"/>
      <c r="I42" s="205">
        <f>_xll.BDP(C42&amp;" EQUITY",$J$1)</f>
        <v>16.548489278752438</v>
      </c>
      <c r="J42" s="205">
        <f>_xll.BDP(C42&amp;" EQUITY",$K$1)</f>
        <v>10.401020409788462</v>
      </c>
      <c r="K42" s="209"/>
      <c r="L42" s="193"/>
      <c r="M42" s="210"/>
      <c r="N42" s="715"/>
      <c r="O42" s="723"/>
      <c r="P42" s="724"/>
      <c r="Q42" s="169"/>
      <c r="R42" s="210"/>
      <c r="S42" s="99"/>
      <c r="T42" s="218"/>
      <c r="U42" s="220"/>
      <c r="V42" s="210"/>
      <c r="X42" s="239"/>
      <c r="Y42" s="229"/>
      <c r="AA42" s="232"/>
      <c r="AB42" s="231"/>
      <c r="AD42" s="236"/>
      <c r="AE42" s="237"/>
      <c r="AG42" s="242"/>
      <c r="AH42" s="242"/>
      <c r="AI42" s="242"/>
      <c r="AJ42" s="243"/>
    </row>
    <row r="43" spans="2:36" x14ac:dyDescent="0.25">
      <c r="C43" s="3"/>
      <c r="D43" s="4"/>
    </row>
    <row r="44" spans="2:36" ht="15.75" x14ac:dyDescent="0.25">
      <c r="B44" s="99"/>
      <c r="I44" s="77"/>
      <c r="J44" s="217"/>
      <c r="K44" s="217"/>
      <c r="L44" s="220"/>
    </row>
    <row r="45" spans="2:36" ht="16.5" thickBot="1" x14ac:dyDescent="0.3">
      <c r="B45" s="99"/>
      <c r="J45" s="217"/>
      <c r="K45" s="217"/>
      <c r="L45" s="220"/>
      <c r="M45" s="77"/>
      <c r="N45" s="77"/>
      <c r="O45" s="77"/>
    </row>
    <row r="46" spans="2:36" ht="29.25" thickBot="1" x14ac:dyDescent="0.3">
      <c r="C46" s="947" t="s">
        <v>479</v>
      </c>
      <c r="D46" s="914"/>
      <c r="E46" s="172" t="s">
        <v>77</v>
      </c>
      <c r="F46" s="47"/>
      <c r="G46" s="110"/>
      <c r="H46" s="110"/>
      <c r="I46" s="201" t="s">
        <v>67</v>
      </c>
      <c r="J46" s="202" t="s">
        <v>123</v>
      </c>
      <c r="K46" s="202" t="s">
        <v>476</v>
      </c>
      <c r="L46" s="948" t="s">
        <v>130</v>
      </c>
      <c r="M46" s="949"/>
      <c r="N46" s="204">
        <v>2022</v>
      </c>
      <c r="O46" s="701"/>
      <c r="P46" s="950" t="s">
        <v>477</v>
      </c>
      <c r="Q46" s="950"/>
      <c r="R46" s="949"/>
      <c r="S46" s="725"/>
      <c r="T46" s="54" t="s">
        <v>132</v>
      </c>
      <c r="U46" s="939" t="s">
        <v>68</v>
      </c>
      <c r="V46" s="940"/>
      <c r="X46" s="939" t="s">
        <v>134</v>
      </c>
      <c r="Y46" s="940"/>
      <c r="Z46" s="946" t="s">
        <v>138</v>
      </c>
      <c r="AA46" s="946"/>
      <c r="AD46" s="939" t="s">
        <v>145</v>
      </c>
      <c r="AE46" s="940"/>
      <c r="AG46" s="941" t="s">
        <v>150</v>
      </c>
      <c r="AH46" s="942"/>
      <c r="AI46" s="943"/>
    </row>
    <row r="47" spans="2:36" ht="19.5" thickBot="1" x14ac:dyDescent="0.35">
      <c r="B47" s="224" t="s">
        <v>139</v>
      </c>
      <c r="C47" s="194"/>
      <c r="D47" s="195"/>
      <c r="E47" s="198"/>
      <c r="F47" s="189"/>
      <c r="G47" s="154" t="s">
        <v>0</v>
      </c>
      <c r="H47" s="189"/>
      <c r="I47" s="203" t="s">
        <v>67</v>
      </c>
      <c r="J47" s="703" t="s">
        <v>478</v>
      </c>
      <c r="K47" s="206" t="s">
        <v>126</v>
      </c>
      <c r="L47" s="200" t="s">
        <v>124</v>
      </c>
      <c r="M47" s="207" t="s">
        <v>125</v>
      </c>
      <c r="N47" s="704" t="s">
        <v>128</v>
      </c>
      <c r="O47" s="705"/>
      <c r="P47" s="706" t="s">
        <v>126</v>
      </c>
      <c r="Q47" s="707" t="s">
        <v>124</v>
      </c>
      <c r="R47" s="207" t="s">
        <v>125</v>
      </c>
      <c r="T47" s="222" t="s">
        <v>160</v>
      </c>
      <c r="U47" s="57"/>
      <c r="V47" s="219" t="s">
        <v>125</v>
      </c>
      <c r="X47" s="944" t="s">
        <v>135</v>
      </c>
      <c r="Y47" s="945"/>
      <c r="AA47" s="227" t="s">
        <v>142</v>
      </c>
      <c r="AB47" s="228" t="s">
        <v>143</v>
      </c>
      <c r="AD47" s="230" t="s">
        <v>144</v>
      </c>
      <c r="AE47" s="233" t="s">
        <v>148</v>
      </c>
      <c r="AG47" s="240" t="s">
        <v>151</v>
      </c>
      <c r="AH47" s="240" t="s">
        <v>152</v>
      </c>
      <c r="AI47" s="240" t="s">
        <v>153</v>
      </c>
    </row>
    <row r="48" spans="2:36" ht="16.5" thickBot="1" x14ac:dyDescent="0.3">
      <c r="B48" s="226" t="s">
        <v>140</v>
      </c>
      <c r="C48" s="2"/>
      <c r="E48" s="710" t="s">
        <v>2</v>
      </c>
      <c r="F48" s="99"/>
      <c r="G48" s="81"/>
      <c r="H48" s="99"/>
      <c r="I48" s="711"/>
      <c r="J48" s="11"/>
      <c r="K48" s="712"/>
      <c r="L48" s="713"/>
      <c r="M48" s="714"/>
      <c r="N48" s="715"/>
      <c r="O48" s="716"/>
      <c r="P48" s="244" t="s">
        <v>127</v>
      </c>
      <c r="R48" s="208"/>
      <c r="T48" s="2"/>
      <c r="V48" s="214"/>
      <c r="X48" s="717" t="s">
        <v>136</v>
      </c>
      <c r="Y48" s="517" t="s">
        <v>137</v>
      </c>
      <c r="AA48" s="718" t="s">
        <v>141</v>
      </c>
      <c r="AB48" s="719"/>
      <c r="AD48" s="223" t="s">
        <v>147</v>
      </c>
      <c r="AE48" s="720" t="s">
        <v>146</v>
      </c>
      <c r="AG48" s="721" t="s">
        <v>154</v>
      </c>
      <c r="AH48" s="721" t="s">
        <v>156</v>
      </c>
      <c r="AI48" s="721" t="s">
        <v>155</v>
      </c>
      <c r="AJ48" s="722"/>
    </row>
    <row r="49" spans="2:36" ht="15.75" x14ac:dyDescent="0.25">
      <c r="B49" s="225">
        <f>_xll.BDP(C49&amp;" EQUITY",$B$2)/1000000000</f>
        <v>61.884083785559994</v>
      </c>
      <c r="C49" s="3" t="s">
        <v>29</v>
      </c>
      <c r="D49" s="101">
        <v>0</v>
      </c>
      <c r="E49" s="199">
        <f>_xll.BDP(C49&amp;" EQUITY",$E$1)</f>
        <v>59.17</v>
      </c>
      <c r="F49" s="99"/>
      <c r="G49" s="62">
        <f t="shared" ref="G49:G57" si="14">+E49*D49</f>
        <v>0</v>
      </c>
      <c r="H49" s="99"/>
      <c r="I49" s="205">
        <f>_xll.BDP(C49&amp;" EQUITY",$J$1)</f>
        <v>14.125924159313138</v>
      </c>
      <c r="J49" s="205">
        <f>_xll.BDP(C49&amp;" EQUITY",$K$1)</f>
        <v>9.0435659983702781</v>
      </c>
      <c r="K49" s="209">
        <f t="shared" ref="K49:K57" si="15">+E49/I49</f>
        <v>4.1887524902920825</v>
      </c>
      <c r="L49" s="193">
        <f t="shared" ref="L49:L57" si="16">+(K49/N49)-1</f>
        <v>0.69585121064456779</v>
      </c>
      <c r="M49" s="210">
        <f t="shared" ref="M49:M57" si="17">+RANK(L49,$L$49:$L$59)</f>
        <v>5</v>
      </c>
      <c r="N49" s="715">
        <v>2.4700000000000002</v>
      </c>
      <c r="O49" s="723"/>
      <c r="P49" s="724">
        <v>5.57</v>
      </c>
      <c r="Q49" s="93">
        <f t="shared" ref="Q49:Q57" si="18">+(P49/K49)-1</f>
        <v>0.32975152217972248</v>
      </c>
      <c r="R49" s="210">
        <f>+RANK(Q49,$Q$49:$Q$59)</f>
        <v>4</v>
      </c>
      <c r="S49" s="99"/>
      <c r="T49" s="218">
        <f>_xll.BDP(C49&amp;" EQUITY",$T$1)</f>
        <v>8.6850000000000005</v>
      </c>
      <c r="U49" s="220">
        <f>+I49/T49</f>
        <v>1.626473708614063</v>
      </c>
      <c r="V49" s="210">
        <f>+RANK(U49,$U$49:$U$59)</f>
        <v>5</v>
      </c>
      <c r="X49" s="239"/>
      <c r="Y49" s="229"/>
      <c r="AA49" s="232">
        <f>_xll.BDP(C49&amp;" EQUITY",$AA$3)</f>
        <v>4220</v>
      </c>
      <c r="AB49" s="231">
        <f t="shared" ref="AB49:AB57" si="19">+AA49/(B49*1000)</f>
        <v>6.8192009024858391E-2</v>
      </c>
      <c r="AD49" s="236">
        <f>_xll.BDP(C49&amp;" EQUITY",$AD$2)</f>
        <v>1.618326568841711</v>
      </c>
      <c r="AE49" s="237">
        <f>_xll.BDP(C49&amp;" EQUITY",$AE$2)</f>
        <v>32.716463706970941</v>
      </c>
      <c r="AG49" s="242">
        <f>_xll.BDP(C49&amp;" EQUITY",$AG$3)</f>
        <v>21</v>
      </c>
      <c r="AH49" s="242">
        <f>_xll.BDP(C49&amp;" EQUITY",$AH$3)</f>
        <v>31</v>
      </c>
      <c r="AI49" s="242">
        <f>_xll.BDP(C49&amp;" EQUITY",$AI$3)</f>
        <v>2</v>
      </c>
      <c r="AJ49" s="243">
        <f t="shared" ref="AJ49:AJ57" si="20">SUM(AG49:AI49)</f>
        <v>54</v>
      </c>
    </row>
    <row r="50" spans="2:36" ht="15.75" x14ac:dyDescent="0.25">
      <c r="B50" s="225">
        <f>_xll.BDP(C50&amp;" EQUITY",$B$2)/1000000000</f>
        <v>103.46309373649001</v>
      </c>
      <c r="C50" s="3" t="s">
        <v>480</v>
      </c>
      <c r="D50" s="101">
        <v>0</v>
      </c>
      <c r="E50" s="199">
        <f>_xll.BDP(C50&amp;" EQUITY",$E$1)</f>
        <v>330.17</v>
      </c>
      <c r="F50" s="99"/>
      <c r="G50" s="62">
        <f t="shared" si="14"/>
        <v>0</v>
      </c>
      <c r="H50" s="99"/>
      <c r="I50" s="205">
        <f>_xll.BDP(C50&amp;" EQUITY",$J$1)</f>
        <v>41.674683544303797</v>
      </c>
      <c r="J50" s="205">
        <f>_xll.BDP(C50&amp;" EQUITY",$K$1)</f>
        <v>39.23437603911453</v>
      </c>
      <c r="K50" s="209">
        <f t="shared" si="15"/>
        <v>7.9225556601767764</v>
      </c>
      <c r="L50" s="193">
        <f t="shared" si="16"/>
        <v>1.0524755596312891</v>
      </c>
      <c r="M50" s="210">
        <f t="shared" si="17"/>
        <v>4</v>
      </c>
      <c r="N50" s="715">
        <v>3.86</v>
      </c>
      <c r="O50" s="723"/>
      <c r="P50" s="724">
        <v>6.79</v>
      </c>
      <c r="Q50" s="169">
        <f t="shared" si="18"/>
        <v>-0.14295332324008003</v>
      </c>
      <c r="R50" s="210">
        <f t="shared" ref="R50:R57" si="21">+RANK(Q50,$Q$49:$Q$59)</f>
        <v>9</v>
      </c>
      <c r="S50" s="99"/>
      <c r="T50" s="218">
        <f>_xll.BDP(C50&amp;" EQUITY",$T$1)</f>
        <v>13.58</v>
      </c>
      <c r="U50" s="220">
        <f>+I50/T50</f>
        <v>3.0688279487705299</v>
      </c>
      <c r="V50" s="210">
        <f>+RANK(U50,$U$49:$U$59)</f>
        <v>4</v>
      </c>
      <c r="X50" s="239"/>
      <c r="Y50" s="229"/>
      <c r="AA50" s="232">
        <f>_xll.BDP(C50&amp;" EQUITY",$AA$3)</f>
        <v>1999.58</v>
      </c>
      <c r="AB50" s="231">
        <f t="shared" si="19"/>
        <v>1.9326505015331622E-2</v>
      </c>
      <c r="AD50" s="236">
        <f>_xll.BDP(C50&amp;" EQUITY",$AD$2)</f>
        <v>0</v>
      </c>
      <c r="AE50" s="237">
        <f>_xll.BDP(C50&amp;" EQUITY",$AE$2)</f>
        <v>0.89942066650943975</v>
      </c>
      <c r="AG50" s="242">
        <f>_xll.BDP(C50&amp;" EQUITY",$AG$3)</f>
        <v>20</v>
      </c>
      <c r="AH50" s="242">
        <f>_xll.BDP(C50&amp;" EQUITY",$AH$3)</f>
        <v>5</v>
      </c>
      <c r="AI50" s="242">
        <f>_xll.BDP(C50&amp;" EQUITY",$AI$3)</f>
        <v>2</v>
      </c>
      <c r="AJ50" s="243">
        <f t="shared" si="20"/>
        <v>27</v>
      </c>
    </row>
    <row r="51" spans="2:36" ht="15.75" x14ac:dyDescent="0.25">
      <c r="B51" s="225">
        <f>_xll.BDP(C51&amp;" EQUITY",$B$2)/1000000000</f>
        <v>102.91983000000002</v>
      </c>
      <c r="C51" s="3" t="s">
        <v>481</v>
      </c>
      <c r="D51" s="101">
        <v>0</v>
      </c>
      <c r="E51" s="199">
        <f>_xll.BDP(C51&amp;" EQUITY",$E$1)</f>
        <v>322.99</v>
      </c>
      <c r="F51" s="99"/>
      <c r="G51" s="62">
        <f t="shared" si="14"/>
        <v>0</v>
      </c>
      <c r="H51" s="99"/>
      <c r="I51" s="205">
        <f>_xll.BDP(C51&amp;" EQUITY",$J$1)</f>
        <v>57.8494623655914</v>
      </c>
      <c r="J51" s="205">
        <f>_xll.BDP(C51&amp;" EQUITY",$K$1)</f>
        <v>100.53666837519219</v>
      </c>
      <c r="K51" s="209">
        <f t="shared" si="15"/>
        <v>5.5832843866171</v>
      </c>
      <c r="L51" s="193">
        <f t="shared" si="16"/>
        <v>3.2297608989523487</v>
      </c>
      <c r="M51" s="210">
        <f t="shared" si="17"/>
        <v>2</v>
      </c>
      <c r="N51" s="715">
        <v>1.32</v>
      </c>
      <c r="O51" s="723"/>
      <c r="P51" s="724">
        <v>6.42</v>
      </c>
      <c r="Q51" s="93">
        <f t="shared" si="18"/>
        <v>0.14986082661103062</v>
      </c>
      <c r="R51" s="210">
        <f t="shared" si="21"/>
        <v>6</v>
      </c>
      <c r="S51" s="99"/>
      <c r="T51" s="218">
        <f>_xll.BDP(C51&amp;" EQUITY",$T$1)</f>
        <v>14.325000000000001</v>
      </c>
      <c r="U51" s="220">
        <f>+I51/T51</f>
        <v>4.038356884159958</v>
      </c>
      <c r="V51" s="210">
        <f t="shared" ref="V51:V57" si="22">+RANK(U51,$U$49:$U$59)</f>
        <v>3</v>
      </c>
      <c r="X51" s="239"/>
      <c r="Y51" s="229"/>
      <c r="AA51" s="232">
        <f>_xll.BDP(C51&amp;" EQUITY",$AA$3)</f>
        <v>2631.2</v>
      </c>
      <c r="AB51" s="231">
        <f t="shared" si="19"/>
        <v>2.5565529985815166E-2</v>
      </c>
      <c r="AD51" s="236">
        <f>_xll.BDP(C51&amp;" EQUITY",$AD$2)</f>
        <v>1.5707842132239878</v>
      </c>
      <c r="AE51" s="237">
        <f>_xll.BDP(C51&amp;" EQUITY",$AE$2)</f>
        <v>56.497723370903941</v>
      </c>
      <c r="AG51" s="242">
        <f>_xll.BDP(C51&amp;" EQUITY",$AG$3)</f>
        <v>41</v>
      </c>
      <c r="AH51" s="242">
        <f>_xll.BDP(C51&amp;" EQUITY",$AH$3)</f>
        <v>13</v>
      </c>
      <c r="AI51" s="242">
        <f>_xll.BDP(C51&amp;" EQUITY",$AI$3)</f>
        <v>0</v>
      </c>
      <c r="AJ51" s="243">
        <f t="shared" si="20"/>
        <v>54</v>
      </c>
    </row>
    <row r="52" spans="2:36" ht="15.75" x14ac:dyDescent="0.25">
      <c r="B52" s="225">
        <f>_xll.BDP(C52&amp;" EQUITY",$B$2)/1000000000</f>
        <v>93.839862398399987</v>
      </c>
      <c r="C52" s="3" t="s">
        <v>482</v>
      </c>
      <c r="D52" s="101">
        <v>0</v>
      </c>
      <c r="E52" s="199">
        <f>_xll.BDP(C52&amp;" EQUITY",$E$1)</f>
        <v>385.56</v>
      </c>
      <c r="F52" s="99"/>
      <c r="G52" s="62">
        <f t="shared" si="14"/>
        <v>0</v>
      </c>
      <c r="H52" s="99"/>
      <c r="I52" s="205">
        <f>_xll.BDP(C52&amp;" EQUITY",$J$1)</f>
        <v>96.158040388930445</v>
      </c>
      <c r="J52" s="205">
        <f>_xll.BDP(C52&amp;" EQUITY",$K$1)</f>
        <v>484.48827921087388</v>
      </c>
      <c r="K52" s="209">
        <f t="shared" si="15"/>
        <v>4.0096490989263653</v>
      </c>
      <c r="L52" s="193">
        <f t="shared" si="16"/>
        <v>39.09649098926365</v>
      </c>
      <c r="M52" s="210">
        <f t="shared" si="17"/>
        <v>1</v>
      </c>
      <c r="N52" s="715">
        <v>0.1</v>
      </c>
      <c r="O52" s="723"/>
      <c r="P52" s="724">
        <v>3.51</v>
      </c>
      <c r="Q52" s="169">
        <f t="shared" si="18"/>
        <v>-0.12461167713158561</v>
      </c>
      <c r="R52" s="210">
        <f t="shared" si="21"/>
        <v>8</v>
      </c>
      <c r="S52" s="99"/>
      <c r="T52" s="218">
        <f>_xll.BDP(C52&amp;" EQUITY",$T$1)</f>
        <v>19.850000000000001</v>
      </c>
      <c r="U52" s="220">
        <f>+I52/T52</f>
        <v>4.8442337727420872</v>
      </c>
      <c r="V52" s="210">
        <f t="shared" si="22"/>
        <v>2</v>
      </c>
      <c r="X52" s="239"/>
      <c r="Y52" s="229"/>
      <c r="AA52" s="232">
        <f>_xll.BDP(C52&amp;" EQUITY",$AA$3)</f>
        <v>940.22100000000012</v>
      </c>
      <c r="AB52" s="231">
        <f t="shared" si="19"/>
        <v>1.001942006274757E-2</v>
      </c>
      <c r="AD52" s="236">
        <f>_xll.BDP(C52&amp;" EQUITY",$AD$2)</f>
        <v>4.2235289104776514</v>
      </c>
      <c r="AE52" s="237">
        <f>_xll.BDP(C52&amp;" EQUITY",$AE$2)</f>
        <v>25.331737148330507</v>
      </c>
      <c r="AG52" s="242">
        <f>_xll.BDP(C52&amp;" EQUITY",$AG$3)</f>
        <v>47</v>
      </c>
      <c r="AH52" s="242">
        <f>_xll.BDP(C52&amp;" EQUITY",$AH$3)</f>
        <v>4</v>
      </c>
      <c r="AI52" s="242">
        <f>_xll.BDP(C52&amp;" EQUITY",$AI$3)</f>
        <v>0</v>
      </c>
      <c r="AJ52" s="243">
        <f t="shared" si="20"/>
        <v>51</v>
      </c>
    </row>
    <row r="53" spans="2:36" ht="15.75" x14ac:dyDescent="0.25">
      <c r="B53" s="225">
        <f>_xll.BDP(C53&amp;" EQUITY",$B$2)/1000000000</f>
        <v>0.63457783574080007</v>
      </c>
      <c r="C53" s="3" t="s">
        <v>483</v>
      </c>
      <c r="D53" s="101">
        <v>0</v>
      </c>
      <c r="E53" s="199">
        <f>_xll.BDP(C53&amp;" EQUITY",$E$1)</f>
        <v>17.805</v>
      </c>
      <c r="F53" s="99"/>
      <c r="G53" s="62">
        <f t="shared" si="14"/>
        <v>0</v>
      </c>
      <c r="H53" s="99"/>
      <c r="I53" s="205">
        <f>_xll.BDP(C53&amp;" EQUITY",$J$1)</f>
        <v>24.798050139275766</v>
      </c>
      <c r="J53" s="205" t="str">
        <f>_xll.BDP(C53&amp;" EQUITY",$K$1)</f>
        <v>#N/A N/A</v>
      </c>
      <c r="K53" s="209">
        <f t="shared" si="15"/>
        <v>0.71799999999999997</v>
      </c>
      <c r="L53" s="193">
        <f t="shared" si="16"/>
        <v>-0.82781774580335732</v>
      </c>
      <c r="M53" s="210">
        <f t="shared" si="17"/>
        <v>9</v>
      </c>
      <c r="N53" s="715">
        <v>4.17</v>
      </c>
      <c r="O53" s="723"/>
      <c r="P53" s="724">
        <v>1.03</v>
      </c>
      <c r="Q53" s="93">
        <f t="shared" si="18"/>
        <v>0.43454038997214495</v>
      </c>
      <c r="R53" s="210">
        <f t="shared" si="21"/>
        <v>3</v>
      </c>
      <c r="S53" s="99"/>
      <c r="T53" s="218"/>
      <c r="U53" s="220"/>
      <c r="V53" s="210"/>
      <c r="X53" s="239"/>
      <c r="Y53" s="229"/>
      <c r="AA53" s="232">
        <f>_xll.BDP(C53&amp;" EQUITY",$AA$3)</f>
        <v>114.83199999999999</v>
      </c>
      <c r="AB53" s="231">
        <f t="shared" si="19"/>
        <v>0.18095810085447786</v>
      </c>
      <c r="AD53" s="236" t="str">
        <f>_xll.BDP(C53&amp;" EQUITY",$AD$2)</f>
        <v>#N/A N/A</v>
      </c>
      <c r="AE53" s="237">
        <f>_xll.BDP(C53&amp;" EQUITY",$AE$2)</f>
        <v>70.33384622557935</v>
      </c>
      <c r="AG53" s="242">
        <f>_xll.BDP(C53&amp;" EQUITY",$AG$3)</f>
        <v>5</v>
      </c>
      <c r="AH53" s="242">
        <f>_xll.BDP(C53&amp;" EQUITY",$AH$3)</f>
        <v>0</v>
      </c>
      <c r="AI53" s="242">
        <f>_xll.BDP(C53&amp;" EQUITY",$AI$3)</f>
        <v>0</v>
      </c>
      <c r="AJ53" s="243">
        <f t="shared" si="20"/>
        <v>5</v>
      </c>
    </row>
    <row r="54" spans="2:36" ht="15.75" x14ac:dyDescent="0.25">
      <c r="B54" s="225">
        <f>_xll.BDP(C54&amp;" EQUITY",$B$2)/1000000000</f>
        <v>48.644511562879998</v>
      </c>
      <c r="C54" s="3" t="s">
        <v>484</v>
      </c>
      <c r="D54" s="101">
        <v>0</v>
      </c>
      <c r="E54" s="199">
        <f>_xll.BDP(C54&amp;" EQUITY",$E$1)</f>
        <v>149.32</v>
      </c>
      <c r="F54" s="99"/>
      <c r="G54" s="62">
        <f t="shared" si="14"/>
        <v>0</v>
      </c>
      <c r="H54" s="99"/>
      <c r="I54" s="205">
        <f>_xll.BDP(C54&amp;" EQUITY",$J$1)</f>
        <v>21.385799828913601</v>
      </c>
      <c r="J54" s="205">
        <f>_xll.BDP(C54&amp;" EQUITY",$K$1)</f>
        <v>17.45183327879899</v>
      </c>
      <c r="K54" s="726">
        <f t="shared" si="15"/>
        <v>6.9822031999999998</v>
      </c>
      <c r="L54" s="193">
        <f t="shared" si="16"/>
        <v>0.17347952941176459</v>
      </c>
      <c r="M54" s="210">
        <f t="shared" si="17"/>
        <v>6</v>
      </c>
      <c r="N54" s="715">
        <v>5.95</v>
      </c>
      <c r="O54" s="723"/>
      <c r="P54" s="724">
        <v>6.51</v>
      </c>
      <c r="Q54" s="169">
        <f t="shared" si="18"/>
        <v>-6.7629541345917921E-2</v>
      </c>
      <c r="R54" s="210">
        <f t="shared" si="21"/>
        <v>7</v>
      </c>
      <c r="S54" s="99"/>
      <c r="T54" s="218">
        <f>_xll.BDP(C54&amp;" EQUITY",$T$1)</f>
        <v>1.31</v>
      </c>
      <c r="U54" s="220">
        <f>+I54/T54</f>
        <v>16.325038037338626</v>
      </c>
      <c r="V54" s="210">
        <f t="shared" si="22"/>
        <v>1</v>
      </c>
      <c r="X54" s="239">
        <f>_xll.BDP(C54&amp;" EQUITY",$X$2)*0.01</f>
        <v>5.3576212161800162E-2</v>
      </c>
      <c r="Y54" s="229">
        <f>_xll.BDP(C54&amp;" EQUITY",$Z$1)*0.01</f>
        <v>-8.7953436374664309E-3</v>
      </c>
      <c r="AA54" s="232">
        <f>_xll.BDP(C54&amp;" EQUITY",$AA$3)</f>
        <v>3137.51</v>
      </c>
      <c r="AB54" s="231">
        <f t="shared" si="19"/>
        <v>6.449874609069349E-2</v>
      </c>
      <c r="AD54" s="236">
        <f>_xll.BDP(C54&amp;" EQUITY",$AD$2)</f>
        <v>6.1278249850363089</v>
      </c>
      <c r="AE54" s="237">
        <f>_xll.BDP(C54&amp;" EQUITY",$AE$2)</f>
        <v>87.791788367576885</v>
      </c>
      <c r="AG54" s="242">
        <f>_xll.BDP(C54&amp;" EQUITY",$AG$3)</f>
        <v>8</v>
      </c>
      <c r="AH54" s="242">
        <f>_xll.BDP(C54&amp;" EQUITY",$AH$3)</f>
        <v>12</v>
      </c>
      <c r="AI54" s="242">
        <f>_xll.BDP(C54&amp;" EQUITY",$AI$3)</f>
        <v>0</v>
      </c>
      <c r="AJ54" s="243">
        <f t="shared" si="20"/>
        <v>20</v>
      </c>
    </row>
    <row r="55" spans="2:36" ht="15.75" x14ac:dyDescent="0.25">
      <c r="B55" s="225">
        <f>_xll.BDP(C55&amp;" EQUITY",$B$2)/1000000000</f>
        <v>2993.82</v>
      </c>
      <c r="C55" s="3" t="s">
        <v>485</v>
      </c>
      <c r="D55" s="101"/>
      <c r="E55" s="199">
        <f>_xll.BDP(C55&amp;" EQUITY",$E$1)</f>
        <v>122.13379999999999</v>
      </c>
      <c r="F55" s="99"/>
      <c r="G55" s="62">
        <f t="shared" si="14"/>
        <v>0</v>
      </c>
      <c r="H55" s="99"/>
      <c r="I55" s="205">
        <f>_xll.BDP(C55&amp;" EQUITY",$J$1)</f>
        <v>45.428994082840234</v>
      </c>
      <c r="J55" s="205">
        <f>_xll.BDP(C55&amp;" EQUITY",$K$1)</f>
        <v>59.994330676888936</v>
      </c>
      <c r="K55" s="209">
        <f t="shared" si="15"/>
        <v>2.6884548616085966</v>
      </c>
      <c r="L55" s="193">
        <f t="shared" si="16"/>
        <v>0.10182576295434287</v>
      </c>
      <c r="M55" s="210">
        <f t="shared" si="17"/>
        <v>7</v>
      </c>
      <c r="N55" s="715">
        <v>2.44</v>
      </c>
      <c r="O55" s="723"/>
      <c r="P55" s="724">
        <v>17.21</v>
      </c>
      <c r="Q55" s="169">
        <f t="shared" si="18"/>
        <v>5.4014465132967331</v>
      </c>
      <c r="R55" s="210">
        <f t="shared" si="21"/>
        <v>1</v>
      </c>
      <c r="S55" s="99"/>
      <c r="T55" s="218">
        <f>_xll.BDP(C55&amp;" EQUITY",$T$1)</f>
        <v>42.800000000000004</v>
      </c>
      <c r="U55" s="220">
        <f>+I55/T55</f>
        <v>1.0614250953934632</v>
      </c>
      <c r="V55" s="210">
        <f t="shared" si="22"/>
        <v>7</v>
      </c>
      <c r="X55" s="239">
        <f>_xll.BDP(C55&amp;" EQUITY",$X$2)*0.01</f>
        <v>3.2249975293237207E-4</v>
      </c>
      <c r="Y55" s="229">
        <f>_xll.BDP(C55&amp;" EQUITY",$Z$1)*0.01</f>
        <v>6.9124841690063485E-2</v>
      </c>
      <c r="AA55" s="232">
        <f>_xll.BDP(C55&amp;" EQUITY",$AA$3)</f>
        <v>27021</v>
      </c>
      <c r="AB55" s="231">
        <f t="shared" si="19"/>
        <v>9.0255927210052701E-3</v>
      </c>
      <c r="AD55" s="236">
        <f>_xll.BDP(C55&amp;" EQUITY",$AD$2)</f>
        <v>0.22671239786139413</v>
      </c>
      <c r="AE55" s="237">
        <f>_xll.BDP(C55&amp;" EQUITY",$AE$2)</f>
        <v>20.461191101898805</v>
      </c>
      <c r="AG55" s="242">
        <f>_xll.BDP(C55&amp;" EQUITY",$AG$3)</f>
        <v>64</v>
      </c>
      <c r="AH55" s="242">
        <f>_xll.BDP(C55&amp;" EQUITY",$AH$3)</f>
        <v>7</v>
      </c>
      <c r="AI55" s="242">
        <f>_xll.BDP(C55&amp;" EQUITY",$AI$3)</f>
        <v>1</v>
      </c>
      <c r="AJ55" s="243">
        <f t="shared" si="20"/>
        <v>72</v>
      </c>
    </row>
    <row r="56" spans="2:36" ht="15.75" x14ac:dyDescent="0.25">
      <c r="B56" s="225">
        <f>_xll.BDP(C56&amp;" EQUITY",$B$2)/1000000000</f>
        <v>254.29466132443</v>
      </c>
      <c r="C56" s="3" t="s">
        <v>486</v>
      </c>
      <c r="D56" s="101"/>
      <c r="E56" s="199">
        <f>_xll.BDP(C56&amp;" EQUITY",$E$1)</f>
        <v>158.81</v>
      </c>
      <c r="F56" s="99"/>
      <c r="G56" s="62">
        <f t="shared" si="14"/>
        <v>0</v>
      </c>
      <c r="H56" s="99"/>
      <c r="I56" s="205">
        <f>_xll.BDP(C56&amp;" EQUITY",$J$1)</f>
        <v>45.262621082621081</v>
      </c>
      <c r="J56" s="205">
        <f>_xll.BDP(C56&amp;" EQUITY",$K$1)</f>
        <v>65.482841106184523</v>
      </c>
      <c r="K56" s="209">
        <f t="shared" si="15"/>
        <v>3.5086346349698312</v>
      </c>
      <c r="L56" s="193">
        <f t="shared" si="16"/>
        <v>2.2189308577704869</v>
      </c>
      <c r="M56" s="210">
        <f t="shared" si="17"/>
        <v>3</v>
      </c>
      <c r="N56" s="715">
        <v>1.0900000000000001</v>
      </c>
      <c r="O56" s="723"/>
      <c r="P56" s="724">
        <v>4.13</v>
      </c>
      <c r="Q56" s="169">
        <f t="shared" si="18"/>
        <v>0.17709605863122646</v>
      </c>
      <c r="R56" s="210">
        <f t="shared" si="21"/>
        <v>5</v>
      </c>
      <c r="S56" s="99"/>
      <c r="T56" s="218">
        <f>_xll.BDP(C56&amp;" EQUITY",$T$1)</f>
        <v>31.82</v>
      </c>
      <c r="U56" s="220">
        <f>+I56/T56</f>
        <v>1.4224582364117246</v>
      </c>
      <c r="V56" s="210">
        <f t="shared" si="22"/>
        <v>6</v>
      </c>
      <c r="X56" s="239"/>
      <c r="Y56" s="229"/>
      <c r="AA56" s="232">
        <f>_xll.BDP(C56&amp;" EQUITY",$AA$3)</f>
        <v>1121</v>
      </c>
      <c r="AB56" s="231">
        <f t="shared" si="19"/>
        <v>4.4082718613184897E-3</v>
      </c>
      <c r="AD56" s="236">
        <f>_xll.BDP(C56&amp;" EQUITY",$AD$2)</f>
        <v>0.78133958821996352</v>
      </c>
      <c r="AE56" s="237">
        <f>_xll.BDP(C56&amp;" EQUITY",$AE$2)</f>
        <v>5.2694022135218042</v>
      </c>
      <c r="AG56" s="242">
        <f>_xll.BDP(C56&amp;" EQUITY",$AG$3)</f>
        <v>52</v>
      </c>
      <c r="AH56" s="242">
        <f>_xll.BDP(C56&amp;" EQUITY",$AH$3)</f>
        <v>12</v>
      </c>
      <c r="AI56" s="242">
        <f>_xll.BDP(C56&amp;" EQUITY",$AI$3)</f>
        <v>0</v>
      </c>
      <c r="AJ56" s="243">
        <f t="shared" si="20"/>
        <v>64</v>
      </c>
    </row>
    <row r="57" spans="2:36" ht="15.75" x14ac:dyDescent="0.25">
      <c r="B57" s="225">
        <f>_xll.BDP(C57&amp;" EQUITY",$B$2)/1000000000</f>
        <v>586.09452559042506</v>
      </c>
      <c r="C57" s="3" t="s">
        <v>487</v>
      </c>
      <c r="D57" s="101"/>
      <c r="E57" s="199">
        <f>_xll.BDP(C57&amp;" EQUITY",$E$1)</f>
        <v>185.69479999999999</v>
      </c>
      <c r="F57" s="99"/>
      <c r="G57" s="62">
        <f t="shared" si="14"/>
        <v>0</v>
      </c>
      <c r="H57" s="99"/>
      <c r="I57" s="205">
        <f>_xll.BDP(C57&amp;" EQUITY",$J$1)</f>
        <v>75.834150326797385</v>
      </c>
      <c r="J57" s="205">
        <f>_xll.BDP(C57&amp;" EQUITY",$K$1)</f>
        <v>46.469182681649002</v>
      </c>
      <c r="K57" s="209">
        <f t="shared" si="15"/>
        <v>2.4486962562351189</v>
      </c>
      <c r="L57" s="193">
        <f t="shared" si="16"/>
        <v>-0.33095730703958504</v>
      </c>
      <c r="M57" s="210">
        <f t="shared" si="17"/>
        <v>8</v>
      </c>
      <c r="N57" s="715">
        <v>3.66</v>
      </c>
      <c r="O57" s="723"/>
      <c r="P57" s="724">
        <v>4.07</v>
      </c>
      <c r="Q57" s="169">
        <f t="shared" si="18"/>
        <v>0.66210896497944693</v>
      </c>
      <c r="R57" s="210">
        <f t="shared" si="21"/>
        <v>2</v>
      </c>
      <c r="S57" s="99"/>
      <c r="T57" s="218">
        <f>_xll.BDP(C57&amp;" EQUITY",$T$1)</f>
        <v>-7</v>
      </c>
      <c r="U57" s="220">
        <f>+I57/T57</f>
        <v>-10.833450046685341</v>
      </c>
      <c r="V57" s="210">
        <f t="shared" si="22"/>
        <v>8</v>
      </c>
      <c r="X57" s="239"/>
      <c r="Y57" s="229"/>
      <c r="AA57" s="232">
        <f>_xll.BDP(C57&amp;" EQUITY",$AA$3)</f>
        <v>4358</v>
      </c>
      <c r="AB57" s="231">
        <f t="shared" si="19"/>
        <v>7.4356606481007477E-3</v>
      </c>
      <c r="AD57" s="236">
        <f>_xll.BDP(C57&amp;" EQUITY",$AD$2)</f>
        <v>0.80807174887892375</v>
      </c>
      <c r="AE57" s="237">
        <f>_xll.BDP(C57&amp;" EQUITY",$AE$2)</f>
        <v>13.081085512831022</v>
      </c>
      <c r="AG57" s="242">
        <f>_xll.BDP(C57&amp;" EQUITY",$AG$3)</f>
        <v>24</v>
      </c>
      <c r="AH57" s="242">
        <f>_xll.BDP(C57&amp;" EQUITY",$AH$3)</f>
        <v>22</v>
      </c>
      <c r="AI57" s="242">
        <f>_xll.BDP(C57&amp;" EQUITY",$AI$3)</f>
        <v>13</v>
      </c>
      <c r="AJ57" s="243">
        <f t="shared" si="20"/>
        <v>59</v>
      </c>
    </row>
    <row r="58" spans="2:36" ht="15.75" x14ac:dyDescent="0.25">
      <c r="B58" s="225"/>
      <c r="C58" s="3"/>
      <c r="D58" s="101"/>
      <c r="E58" s="199"/>
      <c r="F58" s="99"/>
      <c r="G58" s="62"/>
      <c r="H58" s="99"/>
      <c r="I58" s="205"/>
      <c r="J58" s="205"/>
      <c r="K58" s="209"/>
      <c r="L58" s="193"/>
      <c r="M58" s="210"/>
      <c r="N58" s="715"/>
      <c r="O58" s="723"/>
      <c r="P58" s="724"/>
      <c r="Q58" s="169"/>
      <c r="R58" s="210"/>
      <c r="S58" s="99"/>
      <c r="T58" s="218"/>
      <c r="U58" s="220"/>
      <c r="V58" s="210"/>
      <c r="X58" s="239"/>
      <c r="Y58" s="229"/>
      <c r="AA58" s="232"/>
      <c r="AB58" s="231"/>
      <c r="AD58" s="236"/>
      <c r="AE58" s="237"/>
      <c r="AG58" s="242"/>
      <c r="AH58" s="242"/>
      <c r="AI58" s="242"/>
      <c r="AJ58" s="243"/>
    </row>
    <row r="59" spans="2:36" ht="15.75" x14ac:dyDescent="0.25">
      <c r="B59" s="225"/>
      <c r="C59" s="3"/>
      <c r="D59" s="101"/>
      <c r="E59" s="199"/>
      <c r="F59" s="99"/>
      <c r="G59" s="62"/>
      <c r="H59" s="99"/>
      <c r="I59" s="205"/>
      <c r="J59" s="205"/>
      <c r="K59" s="209"/>
      <c r="L59" s="193"/>
      <c r="M59" s="210"/>
      <c r="N59" s="715"/>
      <c r="O59" s="723"/>
      <c r="P59" s="724"/>
      <c r="Q59" s="93"/>
      <c r="R59" s="210"/>
      <c r="S59" s="99"/>
      <c r="T59" s="218"/>
      <c r="U59" s="220"/>
      <c r="V59" s="210"/>
      <c r="X59" s="239"/>
      <c r="Y59" s="229"/>
      <c r="AA59" s="232"/>
      <c r="AB59" s="231"/>
      <c r="AD59" s="236"/>
      <c r="AE59" s="237"/>
      <c r="AG59" s="242"/>
      <c r="AH59" s="242"/>
      <c r="AI59" s="242"/>
      <c r="AJ59" s="243"/>
    </row>
    <row r="60" spans="2:36" x14ac:dyDescent="0.25">
      <c r="L60" s="77"/>
      <c r="M60" s="77"/>
      <c r="N60" s="77"/>
      <c r="O60" s="77"/>
    </row>
    <row r="61" spans="2:36" x14ac:dyDescent="0.25">
      <c r="L61" s="77"/>
      <c r="M61" s="77"/>
      <c r="N61" s="77"/>
      <c r="O61" s="77"/>
    </row>
    <row r="62" spans="2:36" x14ac:dyDescent="0.25">
      <c r="L62" s="77"/>
      <c r="M62" s="77"/>
      <c r="N62" s="77"/>
      <c r="O62" s="77"/>
    </row>
    <row r="63" spans="2:36" x14ac:dyDescent="0.25">
      <c r="L63" s="77"/>
      <c r="M63" s="77"/>
      <c r="N63" s="77"/>
      <c r="O63" s="77"/>
    </row>
    <row r="64" spans="2:36" x14ac:dyDescent="0.25">
      <c r="L64" s="77"/>
      <c r="M64" s="77"/>
      <c r="N64" s="77"/>
      <c r="O64" s="77"/>
    </row>
    <row r="65" spans="12:15" x14ac:dyDescent="0.25">
      <c r="L65" s="77"/>
      <c r="M65" s="77"/>
      <c r="N65" s="77"/>
      <c r="O65" s="77"/>
    </row>
    <row r="66" spans="12:15" x14ac:dyDescent="0.25">
      <c r="L66" s="77"/>
      <c r="M66" s="77"/>
      <c r="N66" s="77"/>
      <c r="O66" s="77"/>
    </row>
    <row r="67" spans="12:15" x14ac:dyDescent="0.25">
      <c r="L67" s="77"/>
      <c r="M67" s="77"/>
      <c r="N67" s="77"/>
      <c r="O67" s="77"/>
    </row>
    <row r="68" spans="12:15" x14ac:dyDescent="0.25">
      <c r="L68" s="77"/>
      <c r="M68" s="77"/>
      <c r="N68" s="77"/>
      <c r="O68" s="77"/>
    </row>
    <row r="69" spans="12:15" x14ac:dyDescent="0.25">
      <c r="L69" s="77"/>
      <c r="M69" s="77"/>
      <c r="N69" s="77"/>
      <c r="O69" s="77"/>
    </row>
    <row r="70" spans="12:15" x14ac:dyDescent="0.25">
      <c r="L70" s="77"/>
      <c r="M70" s="77"/>
      <c r="N70" s="77"/>
      <c r="O70" s="77"/>
    </row>
    <row r="71" spans="12:15" x14ac:dyDescent="0.25">
      <c r="L71" s="77"/>
      <c r="M71" s="77"/>
      <c r="N71" s="77"/>
      <c r="O71" s="77"/>
    </row>
    <row r="72" spans="12:15" x14ac:dyDescent="0.25">
      <c r="L72" s="77"/>
      <c r="M72" s="77"/>
      <c r="N72" s="77"/>
      <c r="O72" s="77"/>
    </row>
    <row r="73" spans="12:15" x14ac:dyDescent="0.25">
      <c r="L73" s="77"/>
      <c r="M73" s="77"/>
      <c r="N73" s="77"/>
      <c r="O73" s="77"/>
    </row>
    <row r="74" spans="12:15" x14ac:dyDescent="0.25">
      <c r="L74" s="77"/>
      <c r="M74" s="77"/>
      <c r="N74" s="77"/>
      <c r="O74" s="77"/>
    </row>
    <row r="75" spans="12:15" x14ac:dyDescent="0.25">
      <c r="L75" s="77"/>
      <c r="M75" s="77"/>
      <c r="N75" s="77"/>
      <c r="O75" s="77"/>
    </row>
    <row r="76" spans="12:15" x14ac:dyDescent="0.25">
      <c r="L76" s="77"/>
      <c r="M76" s="77"/>
      <c r="N76" s="77"/>
      <c r="O76" s="77"/>
    </row>
    <row r="77" spans="12:15" x14ac:dyDescent="0.25">
      <c r="L77" s="77"/>
      <c r="M77" s="77"/>
      <c r="N77" s="77"/>
      <c r="O77" s="77"/>
    </row>
    <row r="78" spans="12:15" x14ac:dyDescent="0.25">
      <c r="L78" s="84"/>
      <c r="M78" s="84"/>
      <c r="N78" s="84"/>
      <c r="O78" s="84"/>
    </row>
    <row r="79" spans="12:15" x14ac:dyDescent="0.25">
      <c r="L79" s="77"/>
      <c r="M79" s="77"/>
      <c r="N79" s="77"/>
      <c r="O79" s="77"/>
    </row>
    <row r="80" spans="12:15" x14ac:dyDescent="0.25">
      <c r="L80" s="77"/>
      <c r="M80" s="77"/>
      <c r="N80" s="77"/>
      <c r="O80" s="77"/>
    </row>
    <row r="81" spans="12:15" x14ac:dyDescent="0.25">
      <c r="L81" s="77"/>
      <c r="M81" s="77"/>
      <c r="N81" s="77"/>
      <c r="O81" s="77"/>
    </row>
    <row r="82" spans="12:15" x14ac:dyDescent="0.25">
      <c r="L82" s="77"/>
      <c r="M82" s="77"/>
      <c r="N82" s="77"/>
      <c r="O82" s="77"/>
    </row>
    <row r="83" spans="12:15" x14ac:dyDescent="0.25">
      <c r="L83" s="77"/>
      <c r="M83" s="77"/>
      <c r="N83" s="77"/>
      <c r="O83" s="77"/>
    </row>
    <row r="84" spans="12:15" x14ac:dyDescent="0.25">
      <c r="L84" s="77"/>
      <c r="M84" s="77"/>
      <c r="N84" s="77"/>
      <c r="O84" s="77"/>
    </row>
    <row r="85" spans="12:15" x14ac:dyDescent="0.25">
      <c r="L85" s="77"/>
      <c r="M85" s="77"/>
      <c r="N85" s="77"/>
      <c r="O85" s="77"/>
    </row>
    <row r="86" spans="12:15" x14ac:dyDescent="0.25">
      <c r="L86" s="77"/>
      <c r="M86" s="77"/>
      <c r="N86" s="77"/>
      <c r="O86" s="77"/>
    </row>
    <row r="87" spans="12:15" x14ac:dyDescent="0.25">
      <c r="L87" s="77"/>
      <c r="M87" s="77"/>
      <c r="N87" s="77"/>
      <c r="O87" s="77"/>
    </row>
    <row r="88" spans="12:15" x14ac:dyDescent="0.25">
      <c r="L88" s="77"/>
      <c r="M88" s="77"/>
      <c r="N88" s="77"/>
      <c r="O88" s="77"/>
    </row>
    <row r="89" spans="12:15" x14ac:dyDescent="0.25">
      <c r="L89" s="77"/>
      <c r="M89" s="77"/>
      <c r="N89" s="77"/>
      <c r="O89" s="77"/>
    </row>
    <row r="90" spans="12:15" x14ac:dyDescent="0.25">
      <c r="L90" s="77"/>
      <c r="M90" s="77"/>
      <c r="N90" s="77"/>
      <c r="O90" s="77"/>
    </row>
    <row r="91" spans="12:15" x14ac:dyDescent="0.25">
      <c r="L91" s="77"/>
      <c r="M91" s="77"/>
      <c r="N91" s="77"/>
      <c r="O91" s="77"/>
    </row>
    <row r="92" spans="12:15" x14ac:dyDescent="0.25">
      <c r="L92" s="77"/>
      <c r="M92" s="77"/>
      <c r="N92" s="77"/>
      <c r="O92" s="77"/>
    </row>
    <row r="93" spans="12:15" x14ac:dyDescent="0.25">
      <c r="L93" s="77"/>
      <c r="M93" s="77"/>
      <c r="N93" s="77"/>
      <c r="O93" s="77"/>
    </row>
    <row r="94" spans="12:15" x14ac:dyDescent="0.25">
      <c r="L94" s="77"/>
      <c r="M94" s="77"/>
      <c r="N94" s="77"/>
      <c r="O94" s="77"/>
    </row>
    <row r="95" spans="12:15" x14ac:dyDescent="0.25">
      <c r="L95" s="77"/>
      <c r="M95" s="77"/>
      <c r="N95" s="77"/>
      <c r="O95" s="77"/>
    </row>
    <row r="96" spans="12:15" x14ac:dyDescent="0.25">
      <c r="L96" s="77"/>
      <c r="M96" s="77"/>
      <c r="N96" s="77"/>
      <c r="O96" s="77"/>
    </row>
    <row r="97" spans="12:15" x14ac:dyDescent="0.25">
      <c r="L97" s="77"/>
      <c r="M97" s="77"/>
      <c r="N97" s="77"/>
      <c r="O97" s="77"/>
    </row>
    <row r="98" spans="12:15" x14ac:dyDescent="0.25">
      <c r="L98" s="77"/>
      <c r="M98" s="77"/>
      <c r="N98" s="77"/>
      <c r="O98" s="77"/>
    </row>
    <row r="100" spans="12:15" x14ac:dyDescent="0.25">
      <c r="L100" s="11"/>
      <c r="M100" s="11"/>
      <c r="N100" s="11"/>
      <c r="O100" s="11"/>
    </row>
    <row r="104" spans="12:15" x14ac:dyDescent="0.25">
      <c r="L104" s="77"/>
      <c r="M104" s="77"/>
      <c r="N104" s="77"/>
      <c r="O104" s="77"/>
    </row>
    <row r="105" spans="12:15" x14ac:dyDescent="0.25">
      <c r="L105" s="77"/>
      <c r="M105" s="77"/>
      <c r="N105" s="77"/>
      <c r="O105" s="77"/>
    </row>
    <row r="106" spans="12:15" x14ac:dyDescent="0.25">
      <c r="L106" s="77"/>
      <c r="M106" s="77"/>
      <c r="N106" s="77"/>
      <c r="O106" s="77"/>
    </row>
    <row r="107" spans="12:15" x14ac:dyDescent="0.25">
      <c r="L107" s="84"/>
      <c r="M107" s="84"/>
      <c r="N107" s="84"/>
      <c r="O107" s="84"/>
    </row>
    <row r="108" spans="12:15" x14ac:dyDescent="0.25">
      <c r="L108" s="77"/>
      <c r="M108" s="77"/>
      <c r="N108" s="77"/>
      <c r="O108" s="77"/>
    </row>
    <row r="109" spans="12:15" x14ac:dyDescent="0.25">
      <c r="L109" s="77"/>
      <c r="M109" s="77"/>
      <c r="N109" s="77"/>
      <c r="O109" s="77"/>
    </row>
    <row r="110" spans="12:15" x14ac:dyDescent="0.25">
      <c r="L110" s="77"/>
      <c r="M110" s="77"/>
      <c r="N110" s="77"/>
      <c r="O110" s="77"/>
    </row>
    <row r="111" spans="12:15" x14ac:dyDescent="0.25">
      <c r="L111" s="77"/>
      <c r="M111" s="77"/>
      <c r="N111" s="77"/>
      <c r="O111" s="77"/>
    </row>
    <row r="112" spans="12:15" x14ac:dyDescent="0.25">
      <c r="L112" s="77"/>
      <c r="M112" s="77"/>
      <c r="N112" s="77"/>
      <c r="O112" s="77"/>
    </row>
    <row r="113" spans="3:15" x14ac:dyDescent="0.25">
      <c r="L113" s="77"/>
      <c r="M113" s="77"/>
      <c r="N113" s="77"/>
      <c r="O113" s="77"/>
    </row>
    <row r="115" spans="3:15" x14ac:dyDescent="0.25">
      <c r="L115" s="10"/>
      <c r="M115" s="10"/>
      <c r="N115" s="10"/>
      <c r="O115" s="10"/>
    </row>
    <row r="118" spans="3:15" x14ac:dyDescent="0.25">
      <c r="L118" s="190"/>
      <c r="M118" s="190"/>
      <c r="N118" s="190"/>
      <c r="O118" s="190"/>
    </row>
    <row r="121" spans="3:15" x14ac:dyDescent="0.25">
      <c r="L121" s="60"/>
      <c r="M121" s="60"/>
      <c r="N121" s="60"/>
      <c r="O121" s="60"/>
    </row>
    <row r="124" spans="3:15" x14ac:dyDescent="0.25">
      <c r="L124" s="5"/>
      <c r="M124" s="5"/>
      <c r="N124" s="5"/>
      <c r="O124" s="5"/>
    </row>
    <row r="125" spans="3:15" x14ac:dyDescent="0.25">
      <c r="L125" s="5"/>
      <c r="M125" s="5"/>
      <c r="N125" s="5"/>
      <c r="O125" s="5"/>
    </row>
    <row r="126" spans="3:15" x14ac:dyDescent="0.25">
      <c r="C126" s="3"/>
      <c r="D126" s="4"/>
      <c r="E126" s="9"/>
      <c r="H126" s="5"/>
      <c r="I126" s="5"/>
      <c r="J126" s="5"/>
      <c r="K126" s="5"/>
      <c r="L126" s="5"/>
      <c r="M126" s="5"/>
      <c r="N126" s="5"/>
      <c r="O126" s="5"/>
    </row>
    <row r="127" spans="3:15" x14ac:dyDescent="0.25">
      <c r="C127" s="3"/>
      <c r="D127" s="4"/>
      <c r="E127" s="9"/>
    </row>
  </sheetData>
  <sortState xmlns:xlrd2="http://schemas.microsoft.com/office/spreadsheetml/2017/richdata2" ref="C87:L103">
    <sortCondition descending="1" ref="H87:H103"/>
  </sortState>
  <mergeCells count="18">
    <mergeCell ref="C1:D1"/>
    <mergeCell ref="L1:M1"/>
    <mergeCell ref="P1:R1"/>
    <mergeCell ref="C46:D46"/>
    <mergeCell ref="L46:M46"/>
    <mergeCell ref="P46:R46"/>
    <mergeCell ref="U46:V46"/>
    <mergeCell ref="X46:Y46"/>
    <mergeCell ref="U1:V1"/>
    <mergeCell ref="X1:Y1"/>
    <mergeCell ref="X47:Y47"/>
    <mergeCell ref="AD1:AE1"/>
    <mergeCell ref="AG1:AI1"/>
    <mergeCell ref="X2:Y2"/>
    <mergeCell ref="Z46:AA46"/>
    <mergeCell ref="AD46:AE46"/>
    <mergeCell ref="AG46:AI46"/>
    <mergeCell ref="Z1:AA1"/>
  </mergeCells>
  <conditionalFormatting sqref="I4:I42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9:I5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4:J42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49:J59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:M42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9:M59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:R42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9:R5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4:T42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9:T5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:V42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9:V5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4:AB42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49:AB5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4:AD4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49:AD5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4:AE4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49:AE5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10B1-8FC4-49B8-9B6E-E458A8042833}">
  <sheetPr codeName="Sheet15"/>
  <dimension ref="A1:R112"/>
  <sheetViews>
    <sheetView tabSelected="1" zoomScale="90" zoomScaleNormal="90" workbookViewId="0">
      <selection activeCell="I56" sqref="I56"/>
    </sheetView>
  </sheetViews>
  <sheetFormatPr defaultRowHeight="15" x14ac:dyDescent="0.25"/>
  <cols>
    <col min="1" max="1" width="22.140625" customWidth="1"/>
    <col min="2" max="2" width="22.5703125" customWidth="1"/>
    <col min="4" max="4" width="10.7109375" customWidth="1"/>
    <col min="6" max="6" width="18.5703125" customWidth="1"/>
    <col min="7" max="7" width="13.85546875" customWidth="1"/>
    <col min="8" max="8" width="9.5703125" customWidth="1"/>
    <col min="9" max="9" width="17.28515625" bestFit="1" customWidth="1"/>
    <col min="12" max="12" width="12.5703125" customWidth="1"/>
    <col min="13" max="13" width="18.7109375" customWidth="1"/>
    <col min="15" max="15" width="12.85546875" customWidth="1"/>
    <col min="16" max="16" width="13.85546875" customWidth="1"/>
    <col min="17" max="17" width="13.7109375" customWidth="1"/>
    <col min="18" max="18" width="13.85546875" bestFit="1" customWidth="1"/>
  </cols>
  <sheetData>
    <row r="1" spans="1:18" ht="15.75" x14ac:dyDescent="0.25">
      <c r="A1" s="951">
        <v>2024</v>
      </c>
      <c r="L1" s="492" t="s">
        <v>388</v>
      </c>
      <c r="M1" s="537">
        <f>+M18+M82+M66</f>
        <v>721044.27</v>
      </c>
    </row>
    <row r="2" spans="1:18" x14ac:dyDescent="0.25">
      <c r="A2" s="951"/>
    </row>
    <row r="3" spans="1:18" x14ac:dyDescent="0.25">
      <c r="B3" s="168"/>
      <c r="C3" s="78"/>
      <c r="D3" s="78" t="s">
        <v>357</v>
      </c>
      <c r="E3" s="78"/>
      <c r="F3" s="78" t="s">
        <v>358</v>
      </c>
      <c r="G3" s="78"/>
      <c r="H3" s="168"/>
      <c r="I3" s="168"/>
    </row>
    <row r="4" spans="1:18" x14ac:dyDescent="0.25">
      <c r="B4" s="479"/>
      <c r="C4" s="83" t="s">
        <v>359</v>
      </c>
      <c r="D4" s="83" t="s">
        <v>360</v>
      </c>
      <c r="E4" s="83" t="s">
        <v>77</v>
      </c>
      <c r="F4" s="83" t="s">
        <v>360</v>
      </c>
      <c r="G4" s="83" t="s">
        <v>361</v>
      </c>
      <c r="H4" s="83" t="s">
        <v>369</v>
      </c>
      <c r="I4" s="83" t="s">
        <v>370</v>
      </c>
      <c r="J4" s="83" t="s">
        <v>371</v>
      </c>
      <c r="K4" s="83" t="s">
        <v>375</v>
      </c>
      <c r="L4" s="83" t="s">
        <v>372</v>
      </c>
      <c r="M4" s="83" t="s">
        <v>373</v>
      </c>
      <c r="N4" s="34"/>
      <c r="O4" s="514" t="s">
        <v>387</v>
      </c>
      <c r="P4" s="95" t="s">
        <v>386</v>
      </c>
      <c r="Q4" s="95" t="s">
        <v>789</v>
      </c>
    </row>
    <row r="5" spans="1:18" ht="15.75" x14ac:dyDescent="0.25">
      <c r="A5" s="480" t="s">
        <v>347</v>
      </c>
      <c r="B5" t="str">
        <f t="shared" ref="B5" si="0">C5 &amp; " US EQUITY"</f>
        <v>CMCSA US EQUITY</v>
      </c>
      <c r="C5" t="s">
        <v>34</v>
      </c>
      <c r="D5" s="4">
        <v>0</v>
      </c>
      <c r="E5" s="9">
        <f>_xll.BDP(C5&amp;" EQUITY",$E$4)</f>
        <v>38.143799999999999</v>
      </c>
      <c r="F5" s="99">
        <f t="shared" ref="F5" si="1">D5*E5</f>
        <v>0</v>
      </c>
      <c r="G5" s="473">
        <v>45464</v>
      </c>
      <c r="H5">
        <v>47.5</v>
      </c>
      <c r="I5" s="546">
        <f t="shared" ref="I5" si="2">+(H5/E5)-1</f>
        <v>0.24528756967056253</v>
      </c>
      <c r="J5" s="9">
        <v>0.53</v>
      </c>
      <c r="K5" s="9">
        <v>0.78</v>
      </c>
      <c r="L5" s="9">
        <v>0</v>
      </c>
      <c r="M5" s="79"/>
      <c r="O5" s="9"/>
      <c r="P5" s="8"/>
      <c r="Q5" s="473"/>
      <c r="R5" s="133"/>
    </row>
    <row r="6" spans="1:18" ht="15.75" x14ac:dyDescent="0.25">
      <c r="A6" t="s">
        <v>362</v>
      </c>
      <c r="D6" s="4"/>
      <c r="E6" s="9"/>
      <c r="F6" s="99"/>
      <c r="G6" s="473"/>
      <c r="I6" s="547"/>
      <c r="R6" s="10"/>
    </row>
    <row r="7" spans="1:18" ht="15.75" x14ac:dyDescent="0.25">
      <c r="D7" s="4"/>
      <c r="E7" s="9"/>
      <c r="F7" s="99"/>
      <c r="G7" s="473"/>
      <c r="I7" s="547"/>
    </row>
    <row r="8" spans="1:18" ht="15.75" x14ac:dyDescent="0.25">
      <c r="D8" s="4"/>
      <c r="E8" s="9"/>
      <c r="I8" s="547"/>
      <c r="R8" s="10"/>
    </row>
    <row r="9" spans="1:18" ht="15.75" x14ac:dyDescent="0.25">
      <c r="A9" s="480" t="s">
        <v>198</v>
      </c>
      <c r="B9" t="str">
        <f t="shared" ref="B9:B11" si="3">C9 &amp; " US EQUITY"</f>
        <v>PLNT US EQUITY</v>
      </c>
      <c r="C9" t="s">
        <v>3</v>
      </c>
      <c r="D9" s="4">
        <v>85000</v>
      </c>
      <c r="E9" s="9">
        <f>_xll.BDP(C9&amp;" EQUITY",$E$4)</f>
        <v>73.22</v>
      </c>
      <c r="F9" s="99">
        <f t="shared" ref="F9:F11" si="4">D9*E9</f>
        <v>6223700</v>
      </c>
      <c r="G9" s="495">
        <v>45520</v>
      </c>
      <c r="H9">
        <v>75</v>
      </c>
      <c r="I9" s="546">
        <f t="shared" ref="I9" si="5">+(H9/E9)-1</f>
        <v>2.4310297732859976E-2</v>
      </c>
      <c r="J9" s="9">
        <v>1.3</v>
      </c>
      <c r="K9" s="9">
        <v>0.88</v>
      </c>
      <c r="L9" s="9">
        <v>2550</v>
      </c>
      <c r="M9" s="79">
        <f t="shared" ref="M9" si="6">+(J9*D9)-L9-K9</f>
        <v>107949.12</v>
      </c>
      <c r="O9" s="9">
        <v>61.09</v>
      </c>
      <c r="P9" s="8">
        <f t="shared" ref="P9:P10" si="7">+H9/O9-1</f>
        <v>0.22769684072679652</v>
      </c>
      <c r="Q9" s="473">
        <v>45406</v>
      </c>
      <c r="R9" s="133"/>
    </row>
    <row r="10" spans="1:18" ht="15.75" x14ac:dyDescent="0.25">
      <c r="A10" s="168"/>
      <c r="B10" t="str">
        <f t="shared" si="3"/>
        <v>ULTA US EQUITY</v>
      </c>
      <c r="C10" t="s">
        <v>4</v>
      </c>
      <c r="D10" s="4">
        <v>20000</v>
      </c>
      <c r="E10" s="9">
        <f>_xll.BDP(C10&amp;" EQUITY",$E$4)</f>
        <v>387.98</v>
      </c>
      <c r="F10" s="99">
        <f t="shared" si="4"/>
        <v>7759600</v>
      </c>
      <c r="G10" s="997">
        <v>45555</v>
      </c>
      <c r="H10">
        <v>455</v>
      </c>
      <c r="I10" s="546">
        <f>+(H10/E10)-1</f>
        <v>0.17274086293107893</v>
      </c>
      <c r="J10" s="9">
        <v>4.3</v>
      </c>
      <c r="K10" s="9">
        <v>0.54</v>
      </c>
      <c r="L10" s="9">
        <v>600</v>
      </c>
      <c r="M10" s="79">
        <f>+(J10*D10)-L10-K10</f>
        <v>85399.46</v>
      </c>
      <c r="O10">
        <v>386.99</v>
      </c>
      <c r="P10" s="8">
        <f t="shared" si="7"/>
        <v>0.17574097521899779</v>
      </c>
      <c r="Q10" s="473">
        <v>45468</v>
      </c>
    </row>
    <row r="11" spans="1:18" ht="15.75" x14ac:dyDescent="0.25">
      <c r="A11" s="168"/>
      <c r="D11" s="4"/>
      <c r="E11" s="9"/>
      <c r="F11" s="99"/>
      <c r="G11" s="473"/>
      <c r="I11" s="546"/>
      <c r="J11" s="9"/>
      <c r="K11" s="9"/>
      <c r="L11" s="9"/>
      <c r="M11" s="79"/>
      <c r="O11" s="9"/>
      <c r="P11" s="8"/>
    </row>
    <row r="12" spans="1:18" ht="15.75" x14ac:dyDescent="0.25">
      <c r="D12" s="4"/>
      <c r="E12" s="9"/>
      <c r="F12" s="99"/>
      <c r="G12" s="473"/>
      <c r="I12" s="546"/>
      <c r="J12" s="9"/>
      <c r="K12" s="9"/>
      <c r="L12" s="9"/>
      <c r="M12" s="79"/>
      <c r="O12" s="9"/>
      <c r="P12" s="8"/>
    </row>
    <row r="13" spans="1:18" ht="15.75" x14ac:dyDescent="0.25">
      <c r="D13" s="4"/>
      <c r="E13" s="9"/>
      <c r="F13" s="99"/>
      <c r="G13" s="473"/>
      <c r="I13" s="546"/>
      <c r="J13" s="9"/>
      <c r="K13" s="9"/>
      <c r="L13" s="9"/>
      <c r="M13" s="79"/>
      <c r="O13" s="9"/>
      <c r="P13" s="8"/>
    </row>
    <row r="14" spans="1:18" ht="15.75" x14ac:dyDescent="0.25">
      <c r="D14" s="4"/>
      <c r="E14" s="9"/>
      <c r="F14" s="99"/>
      <c r="G14" s="473"/>
      <c r="I14" s="546"/>
      <c r="J14" s="9"/>
      <c r="K14" s="9"/>
      <c r="L14" s="9"/>
      <c r="M14" s="79"/>
      <c r="O14" s="9"/>
      <c r="P14" s="8"/>
    </row>
    <row r="15" spans="1:18" x14ac:dyDescent="0.25">
      <c r="D15" s="4"/>
      <c r="E15" s="9"/>
      <c r="F15" s="99"/>
      <c r="G15" s="473"/>
      <c r="I15" s="535"/>
      <c r="J15" s="9"/>
      <c r="K15" s="9"/>
      <c r="L15" s="9"/>
      <c r="M15" s="79"/>
      <c r="O15" s="9"/>
      <c r="P15" s="8"/>
    </row>
    <row r="18" spans="1:15" ht="15.75" x14ac:dyDescent="0.25">
      <c r="E18" s="475" t="s">
        <v>364</v>
      </c>
      <c r="F18" s="476">
        <f>SUM(F5:F17)</f>
        <v>13983300</v>
      </c>
      <c r="M18" s="16">
        <f>SUM(M9:M17)+SUM(M5:M6)</f>
        <v>193348.58000000002</v>
      </c>
    </row>
    <row r="19" spans="1:15" ht="15.75" x14ac:dyDescent="0.25">
      <c r="E19" s="477"/>
      <c r="F19" s="478">
        <f>F18/F24</f>
        <v>1.3832597309083601E-2</v>
      </c>
    </row>
    <row r="21" spans="1:15" x14ac:dyDescent="0.25">
      <c r="F21" s="10">
        <f>+'Dvd Holdings'!O46</f>
        <v>288990127.60000002</v>
      </c>
      <c r="G21" t="s">
        <v>134</v>
      </c>
      <c r="I21" s="60" cm="1">
        <f t="array" ref="I21">_xll.BDP(".DIVIDEND Index", "IN089")</f>
        <v>291810333</v>
      </c>
    </row>
    <row r="22" spans="1:15" x14ac:dyDescent="0.25">
      <c r="F22" s="60">
        <f>+'Core Holdings'!M67</f>
        <v>622904622.5</v>
      </c>
      <c r="G22" t="s">
        <v>363</v>
      </c>
    </row>
    <row r="23" spans="1:15" x14ac:dyDescent="0.25">
      <c r="F23" s="474">
        <v>99000000</v>
      </c>
      <c r="G23" t="s">
        <v>366</v>
      </c>
      <c r="K23" t="s">
        <v>365</v>
      </c>
    </row>
    <row r="24" spans="1:15" x14ac:dyDescent="0.25">
      <c r="F24" s="10">
        <f>SUM(F21:F23)</f>
        <v>1010894750.1</v>
      </c>
      <c r="G24" t="s">
        <v>364</v>
      </c>
    </row>
    <row r="26" spans="1:15" x14ac:dyDescent="0.25">
      <c r="F26" s="118">
        <v>0.1</v>
      </c>
      <c r="G26" t="s">
        <v>367</v>
      </c>
    </row>
    <row r="27" spans="1:15" x14ac:dyDescent="0.25">
      <c r="F27" s="10">
        <f>F24*F26</f>
        <v>101089475.01000001</v>
      </c>
    </row>
    <row r="29" spans="1:15" x14ac:dyDescent="0.25">
      <c r="F29" s="10">
        <f>F27-F18</f>
        <v>87106175.010000005</v>
      </c>
      <c r="G29" t="s">
        <v>368</v>
      </c>
    </row>
    <row r="30" spans="1:15" x14ac:dyDescent="0.25">
      <c r="F30" s="10"/>
    </row>
    <row r="31" spans="1:15" x14ac:dyDescent="0.25">
      <c r="C31" s="78"/>
      <c r="D31" s="78"/>
      <c r="E31" s="78"/>
      <c r="F31" s="78"/>
      <c r="G31" s="78"/>
      <c r="H31" s="168"/>
      <c r="I31" s="168"/>
    </row>
    <row r="32" spans="1:15" x14ac:dyDescent="0.25">
      <c r="A32" s="34"/>
      <c r="B32" s="34"/>
      <c r="C32" s="83" t="s">
        <v>359</v>
      </c>
      <c r="D32" s="83" t="s">
        <v>357</v>
      </c>
      <c r="E32" s="83" t="s">
        <v>77</v>
      </c>
      <c r="F32" s="83" t="s">
        <v>774</v>
      </c>
      <c r="G32" s="83" t="s">
        <v>361</v>
      </c>
      <c r="H32" s="83" t="s">
        <v>369</v>
      </c>
      <c r="I32" s="83" t="s">
        <v>370</v>
      </c>
      <c r="J32" s="83" t="s">
        <v>371</v>
      </c>
      <c r="K32" s="83" t="s">
        <v>375</v>
      </c>
      <c r="L32" s="83" t="s">
        <v>372</v>
      </c>
      <c r="M32" s="83" t="s">
        <v>373</v>
      </c>
      <c r="O32" s="442" t="s">
        <v>385</v>
      </c>
    </row>
    <row r="33" spans="1:16" ht="15.75" x14ac:dyDescent="0.25">
      <c r="A33" s="512" t="s">
        <v>384</v>
      </c>
      <c r="B33" t="str">
        <f t="shared" ref="B33:B39" si="8">C33 &amp; " US EQUITY"</f>
        <v>CVX US EQUITY</v>
      </c>
      <c r="C33" t="s">
        <v>7</v>
      </c>
      <c r="D33" s="4">
        <v>75000</v>
      </c>
      <c r="E33" s="9">
        <f>_xll.BDP(C33&amp;" EQUITY",$E$4)</f>
        <v>159.11000000000001</v>
      </c>
      <c r="F33" s="99">
        <f t="shared" ref="F33:F39" si="9">D33*E33</f>
        <v>11933250.000000002</v>
      </c>
      <c r="G33" s="473">
        <v>45401</v>
      </c>
      <c r="H33">
        <v>170</v>
      </c>
      <c r="I33" s="546">
        <f t="shared" ref="I33:I39" si="10">+(H33/E33)-1</f>
        <v>6.844321538558229E-2</v>
      </c>
      <c r="J33" s="9">
        <v>0.9</v>
      </c>
      <c r="K33" s="9"/>
      <c r="L33" s="9"/>
      <c r="M33" s="79">
        <f t="shared" ref="M33:M39" si="11">+(J33*D33)-L33-K33</f>
        <v>67500</v>
      </c>
      <c r="O33" s="9">
        <v>155</v>
      </c>
      <c r="P33" s="8">
        <f t="shared" ref="P33:P39" si="12">+H33/O33-1</f>
        <v>9.6774193548387011E-2</v>
      </c>
    </row>
    <row r="34" spans="1:16" ht="15.75" x14ac:dyDescent="0.25">
      <c r="A34" s="168"/>
      <c r="B34" t="str">
        <f t="shared" si="8"/>
        <v>CVX US EQUITY</v>
      </c>
      <c r="C34" t="s">
        <v>7</v>
      </c>
      <c r="D34" s="4">
        <v>75000</v>
      </c>
      <c r="E34" s="9">
        <f>_xll.BDP(C34&amp;" EQUITY",$E$4)</f>
        <v>159.11000000000001</v>
      </c>
      <c r="F34" s="99">
        <f t="shared" si="9"/>
        <v>11933250.000000002</v>
      </c>
      <c r="G34" s="473">
        <v>45429</v>
      </c>
      <c r="H34">
        <v>175</v>
      </c>
      <c r="I34" s="546">
        <f t="shared" si="10"/>
        <v>9.9868015838099344E-2</v>
      </c>
      <c r="J34" s="9">
        <v>1.01</v>
      </c>
      <c r="K34" s="9"/>
      <c r="L34" s="9"/>
      <c r="M34" s="79">
        <f t="shared" si="11"/>
        <v>75750</v>
      </c>
      <c r="O34" s="9">
        <v>155</v>
      </c>
      <c r="P34" s="8">
        <f t="shared" si="12"/>
        <v>0.12903225806451624</v>
      </c>
    </row>
    <row r="35" spans="1:16" ht="15.75" x14ac:dyDescent="0.25">
      <c r="B35" t="str">
        <f t="shared" si="8"/>
        <v>POOL US EQUITY</v>
      </c>
      <c r="C35" t="s">
        <v>26</v>
      </c>
      <c r="D35" s="4">
        <v>25000</v>
      </c>
      <c r="E35" s="9">
        <f>_xll.BDP(C35&amp;" EQUITY",$E$4)</f>
        <v>310.54000000000002</v>
      </c>
      <c r="F35" s="99">
        <f t="shared" si="9"/>
        <v>7763500.0000000009</v>
      </c>
      <c r="G35" s="473">
        <v>45401</v>
      </c>
      <c r="H35">
        <v>460</v>
      </c>
      <c r="I35" s="546">
        <f t="shared" si="10"/>
        <v>0.4812906549880851</v>
      </c>
      <c r="J35" s="9">
        <v>4</v>
      </c>
      <c r="K35" s="9"/>
      <c r="L35" s="9"/>
      <c r="M35" s="79">
        <f t="shared" si="11"/>
        <v>100000</v>
      </c>
      <c r="O35" s="9">
        <v>389</v>
      </c>
      <c r="P35" s="8">
        <f t="shared" si="12"/>
        <v>0.18251928020565544</v>
      </c>
    </row>
    <row r="36" spans="1:16" ht="15.75" x14ac:dyDescent="0.25">
      <c r="B36" t="str">
        <f t="shared" si="8"/>
        <v>POOL US EQUITY</v>
      </c>
      <c r="C36" t="s">
        <v>26</v>
      </c>
      <c r="D36" s="4">
        <v>25000</v>
      </c>
      <c r="E36" s="9">
        <f>_xll.BDP(C36&amp;" EQUITY",$E$4)</f>
        <v>310.54000000000002</v>
      </c>
      <c r="F36" s="99">
        <f t="shared" si="9"/>
        <v>7763500.0000000009</v>
      </c>
      <c r="G36" s="473">
        <v>45401</v>
      </c>
      <c r="H36">
        <v>470</v>
      </c>
      <c r="I36" s="546">
        <f t="shared" si="10"/>
        <v>0.51349262574869581</v>
      </c>
      <c r="J36" s="9">
        <v>1.7</v>
      </c>
      <c r="K36" s="9"/>
      <c r="L36" s="9"/>
      <c r="M36" s="79">
        <f t="shared" si="11"/>
        <v>42500</v>
      </c>
      <c r="O36" s="9">
        <v>389</v>
      </c>
      <c r="P36" s="8">
        <f t="shared" si="12"/>
        <v>0.20822622107969146</v>
      </c>
    </row>
    <row r="37" spans="1:16" ht="15.75" x14ac:dyDescent="0.25">
      <c r="B37" t="str">
        <f t="shared" si="8"/>
        <v>INTU US EQUITY</v>
      </c>
      <c r="C37" t="s">
        <v>21</v>
      </c>
      <c r="D37" s="4">
        <v>17000</v>
      </c>
      <c r="E37" s="9">
        <f>_xll.BDP(C37&amp;" EQUITY",$E$4)</f>
        <v>626.51</v>
      </c>
      <c r="F37" s="99">
        <f t="shared" si="9"/>
        <v>10650670</v>
      </c>
      <c r="G37" s="473">
        <v>45401</v>
      </c>
      <c r="H37">
        <v>740</v>
      </c>
      <c r="I37" s="546">
        <f t="shared" si="10"/>
        <v>0.18114635041739158</v>
      </c>
      <c r="J37" s="9">
        <v>4.9000000000000004</v>
      </c>
      <c r="K37" s="9"/>
      <c r="L37" s="9"/>
      <c r="M37" s="79">
        <f t="shared" si="11"/>
        <v>83300</v>
      </c>
      <c r="O37" s="9">
        <v>638</v>
      </c>
      <c r="P37" s="8">
        <f t="shared" si="12"/>
        <v>0.15987460815047028</v>
      </c>
    </row>
    <row r="38" spans="1:16" ht="15.75" x14ac:dyDescent="0.25">
      <c r="B38" t="str">
        <f t="shared" si="8"/>
        <v>INTU US EQUITY</v>
      </c>
      <c r="C38" t="s">
        <v>21</v>
      </c>
      <c r="D38" s="4">
        <v>17000</v>
      </c>
      <c r="E38" s="9">
        <f>_xll.BDP(C38&amp;" EQUITY",$E$4)</f>
        <v>626.51</v>
      </c>
      <c r="F38" s="99">
        <f t="shared" si="9"/>
        <v>10650670</v>
      </c>
      <c r="G38" s="473">
        <v>45401</v>
      </c>
      <c r="H38">
        <v>750</v>
      </c>
      <c r="I38" s="546">
        <f t="shared" si="10"/>
        <v>0.19710778758519409</v>
      </c>
      <c r="J38" s="9">
        <v>3.65</v>
      </c>
      <c r="K38" s="9"/>
      <c r="L38" s="9"/>
      <c r="M38" s="79">
        <f t="shared" si="11"/>
        <v>62050</v>
      </c>
      <c r="O38" s="9">
        <v>638</v>
      </c>
      <c r="P38" s="8">
        <f t="shared" si="12"/>
        <v>0.17554858934169282</v>
      </c>
    </row>
    <row r="39" spans="1:16" ht="15.75" x14ac:dyDescent="0.25">
      <c r="B39" t="str">
        <f t="shared" si="8"/>
        <v>IDXX US EQUITY</v>
      </c>
      <c r="C39" t="s">
        <v>16</v>
      </c>
      <c r="D39" s="4">
        <v>23000</v>
      </c>
      <c r="E39" s="9">
        <f>_xll.BDP(C39&amp;" EQUITY",$E$4)</f>
        <v>489.23500000000001</v>
      </c>
      <c r="F39" s="99">
        <f t="shared" si="9"/>
        <v>11252405</v>
      </c>
      <c r="G39" s="473">
        <v>45401</v>
      </c>
      <c r="H39">
        <v>640</v>
      </c>
      <c r="I39" s="546">
        <f t="shared" si="10"/>
        <v>0.30816478788312351</v>
      </c>
      <c r="J39" s="9">
        <v>3.2749999999999999</v>
      </c>
      <c r="K39" s="9"/>
      <c r="L39" s="9"/>
      <c r="M39" s="79">
        <f t="shared" si="11"/>
        <v>75325</v>
      </c>
      <c r="O39" s="9">
        <v>554</v>
      </c>
      <c r="P39" s="8">
        <f t="shared" si="12"/>
        <v>0.15523465703971118</v>
      </c>
    </row>
    <row r="40" spans="1:16" ht="15.75" x14ac:dyDescent="0.25">
      <c r="D40" s="4"/>
      <c r="E40" s="9"/>
      <c r="F40" s="99"/>
      <c r="G40" s="473"/>
      <c r="I40" s="546"/>
      <c r="J40" s="9"/>
      <c r="K40" s="9"/>
      <c r="L40" s="9"/>
      <c r="M40" s="79"/>
      <c r="O40" s="9"/>
      <c r="P40" s="8"/>
    </row>
    <row r="41" spans="1:16" ht="15.75" x14ac:dyDescent="0.25">
      <c r="D41" s="4"/>
      <c r="E41" s="9"/>
      <c r="F41" s="99"/>
      <c r="G41" s="473"/>
      <c r="I41" s="546"/>
      <c r="J41" s="9"/>
      <c r="K41" s="9"/>
      <c r="L41" s="9"/>
      <c r="M41" s="79"/>
      <c r="O41" s="9"/>
      <c r="P41" s="8"/>
    </row>
    <row r="42" spans="1:16" ht="15.75" x14ac:dyDescent="0.25">
      <c r="D42" s="4"/>
      <c r="E42" s="9"/>
      <c r="F42" s="99"/>
      <c r="G42" s="473"/>
      <c r="I42" s="546"/>
      <c r="J42" s="9"/>
      <c r="K42" s="9"/>
      <c r="L42" s="9"/>
      <c r="M42" s="79"/>
      <c r="O42" s="9"/>
      <c r="P42" s="8"/>
    </row>
    <row r="43" spans="1:16" ht="15.75" x14ac:dyDescent="0.25">
      <c r="D43" s="4"/>
      <c r="E43" s="9"/>
      <c r="F43" s="99"/>
      <c r="G43" s="473"/>
      <c r="I43" s="546"/>
      <c r="J43" s="9"/>
      <c r="K43" s="9"/>
      <c r="L43" s="9"/>
      <c r="M43" s="79"/>
      <c r="O43" s="9"/>
      <c r="P43" s="8"/>
    </row>
    <row r="44" spans="1:16" ht="15.75" x14ac:dyDescent="0.25">
      <c r="D44" s="4"/>
      <c r="E44" s="9"/>
      <c r="F44" s="99"/>
      <c r="G44" s="473"/>
      <c r="I44" s="546"/>
      <c r="J44" s="9"/>
      <c r="K44" s="9"/>
      <c r="L44" s="9"/>
      <c r="M44" s="79"/>
      <c r="O44" s="9"/>
      <c r="P44" s="8"/>
    </row>
    <row r="45" spans="1:16" ht="15.75" x14ac:dyDescent="0.25">
      <c r="D45" s="4"/>
      <c r="E45" s="9"/>
      <c r="F45" s="99"/>
      <c r="G45" s="473"/>
      <c r="I45" s="546"/>
      <c r="J45" s="9"/>
      <c r="K45" s="9"/>
      <c r="L45" s="9"/>
      <c r="M45" s="79"/>
      <c r="O45" s="9"/>
      <c r="P45" s="8"/>
    </row>
    <row r="46" spans="1:16" x14ac:dyDescent="0.25">
      <c r="D46" s="4"/>
      <c r="E46" s="9"/>
      <c r="F46" s="99"/>
      <c r="G46" s="473"/>
    </row>
    <row r="47" spans="1:16" x14ac:dyDescent="0.25">
      <c r="C47" s="78"/>
      <c r="D47" s="78" t="s">
        <v>357</v>
      </c>
      <c r="E47" s="78"/>
      <c r="F47" s="78" t="s">
        <v>358</v>
      </c>
      <c r="G47" s="78"/>
      <c r="H47" s="168"/>
      <c r="I47" s="168"/>
    </row>
    <row r="48" spans="1:16" x14ac:dyDescent="0.25">
      <c r="A48" s="34"/>
      <c r="B48" s="1003"/>
      <c r="C48" s="1002" t="s">
        <v>359</v>
      </c>
      <c r="D48" s="1002" t="s">
        <v>360</v>
      </c>
      <c r="E48" s="1002" t="s">
        <v>77</v>
      </c>
      <c r="F48" s="1002" t="s">
        <v>360</v>
      </c>
      <c r="G48" s="1002" t="s">
        <v>361</v>
      </c>
      <c r="H48" s="1002" t="s">
        <v>369</v>
      </c>
      <c r="I48" s="1002" t="s">
        <v>370</v>
      </c>
      <c r="J48" s="1002" t="s">
        <v>371</v>
      </c>
      <c r="K48" s="1002" t="s">
        <v>375</v>
      </c>
      <c r="L48" s="1002" t="s">
        <v>372</v>
      </c>
      <c r="M48" s="1002" t="s">
        <v>373</v>
      </c>
      <c r="O48" s="1001" t="s">
        <v>385</v>
      </c>
    </row>
    <row r="49" spans="1:18" ht="15.75" x14ac:dyDescent="0.25">
      <c r="A49" s="481" t="s">
        <v>374</v>
      </c>
      <c r="B49" s="1006" t="str">
        <f>C49 &amp; " US EQUITY"</f>
        <v>AMT US EQUITY</v>
      </c>
      <c r="C49" s="73" t="s">
        <v>40</v>
      </c>
      <c r="D49" s="1007">
        <v>60600</v>
      </c>
      <c r="E49" s="1008">
        <f>_xll.BDP(C49&amp;" EQUITY",$E$4)</f>
        <v>193.8</v>
      </c>
      <c r="F49" s="1009">
        <f t="shared" ref="F49:F53" si="13">D49*E49</f>
        <v>11744280</v>
      </c>
      <c r="G49" s="1010">
        <v>45310</v>
      </c>
      <c r="H49" s="73">
        <v>210</v>
      </c>
      <c r="I49" s="1011">
        <f>+(H49/E49)-1</f>
        <v>8.35913312693497E-2</v>
      </c>
      <c r="J49" s="1008">
        <v>1.1000000000000001</v>
      </c>
      <c r="K49" s="1008">
        <v>0.53</v>
      </c>
      <c r="L49" s="1008">
        <v>1818</v>
      </c>
      <c r="M49" s="1012">
        <f>+(J49*D49)-L49-K49</f>
        <v>64841.47</v>
      </c>
      <c r="N49" s="73"/>
      <c r="O49" s="73">
        <v>185.54</v>
      </c>
      <c r="P49" s="1013">
        <f t="shared" ref="P49:P53" si="14">+H49/O49-1</f>
        <v>0.13183141101649243</v>
      </c>
      <c r="Q49" s="73"/>
      <c r="R49" s="1004" t="s">
        <v>760</v>
      </c>
    </row>
    <row r="50" spans="1:18" ht="15.75" x14ac:dyDescent="0.25">
      <c r="B50" s="1014" t="str">
        <f t="shared" ref="B50:B51" si="15">C50 &amp; " US EQUITY"</f>
        <v>PLNT US EQUITY</v>
      </c>
      <c r="C50" s="1015" t="s">
        <v>3</v>
      </c>
      <c r="D50" s="416">
        <v>85000</v>
      </c>
      <c r="E50" s="1016">
        <f>_xll.BDP(C50&amp;" EQUITY",$E$4)</f>
        <v>73.22</v>
      </c>
      <c r="F50" s="1017">
        <f t="shared" si="13"/>
        <v>6223700</v>
      </c>
      <c r="G50" s="1018">
        <v>45338</v>
      </c>
      <c r="H50" s="1015">
        <v>80</v>
      </c>
      <c r="I50" s="1019">
        <f t="shared" ref="I50:I51" si="16">+(H50/E50)-1</f>
        <v>9.2597650915050567E-2</v>
      </c>
      <c r="J50" s="1016">
        <v>0.63</v>
      </c>
      <c r="K50" s="1016">
        <v>0.43</v>
      </c>
      <c r="L50" s="1016">
        <v>1700</v>
      </c>
      <c r="M50" s="422">
        <f t="shared" ref="M50:M51" si="17">+(J50*D50)-L50-K50</f>
        <v>51849.57</v>
      </c>
      <c r="N50" s="1015"/>
      <c r="O50" s="1016">
        <v>71.11</v>
      </c>
      <c r="P50" s="1020">
        <f t="shared" si="14"/>
        <v>0.12501757839966254</v>
      </c>
      <c r="Q50" s="1015"/>
      <c r="R50" s="1005" t="s">
        <v>760</v>
      </c>
    </row>
    <row r="51" spans="1:18" ht="15.75" x14ac:dyDescent="0.25">
      <c r="B51" s="1014" t="str">
        <f t="shared" si="15"/>
        <v>CMCSA US EQUITY</v>
      </c>
      <c r="C51" s="1015" t="s">
        <v>34</v>
      </c>
      <c r="D51" s="416">
        <v>185000</v>
      </c>
      <c r="E51" s="1016">
        <f>_xll.BDP(C51&amp;" EQUITY",$E$4)</f>
        <v>38.143799999999999</v>
      </c>
      <c r="F51" s="1017">
        <f t="shared" si="13"/>
        <v>7056603</v>
      </c>
      <c r="G51" s="1018">
        <v>45338</v>
      </c>
      <c r="H51" s="1015">
        <v>47.5</v>
      </c>
      <c r="I51" s="1019">
        <f t="shared" si="16"/>
        <v>0.24528756967056253</v>
      </c>
      <c r="J51" s="1016">
        <v>0.28999999999999998</v>
      </c>
      <c r="K51" s="1016">
        <v>0.43</v>
      </c>
      <c r="L51" s="1016">
        <v>1850</v>
      </c>
      <c r="M51" s="422">
        <f t="shared" si="17"/>
        <v>51799.569999999992</v>
      </c>
      <c r="N51" s="1015"/>
      <c r="O51" s="1016">
        <v>44.7</v>
      </c>
      <c r="P51" s="1020">
        <f t="shared" si="14"/>
        <v>6.263982102908261E-2</v>
      </c>
      <c r="Q51" s="1015"/>
      <c r="R51" s="1005" t="s">
        <v>760</v>
      </c>
    </row>
    <row r="52" spans="1:18" ht="15.75" x14ac:dyDescent="0.25">
      <c r="B52" s="1014" t="str">
        <f>C52 &amp; " US EQUITY"</f>
        <v>ULTA US EQUITY</v>
      </c>
      <c r="C52" s="1015" t="s">
        <v>4</v>
      </c>
      <c r="D52" s="416">
        <v>20000</v>
      </c>
      <c r="E52" s="1016">
        <f>_xll.BDP(C52&amp;" EQUITY",$E$4)</f>
        <v>387.98</v>
      </c>
      <c r="F52" s="1017">
        <f t="shared" si="13"/>
        <v>7759600</v>
      </c>
      <c r="G52" s="1018">
        <v>45000</v>
      </c>
      <c r="H52" s="1015">
        <v>595</v>
      </c>
      <c r="I52" s="1019">
        <f>+(H52/E52)-1</f>
        <v>0.53358420537141082</v>
      </c>
      <c r="J52" s="1016">
        <v>4</v>
      </c>
      <c r="K52" s="1016">
        <v>0.64</v>
      </c>
      <c r="L52" s="1016">
        <v>600</v>
      </c>
      <c r="M52" s="422">
        <f>+(J52*D52)-L52-K52</f>
        <v>79399.360000000001</v>
      </c>
      <c r="N52" s="1015"/>
      <c r="O52" s="1015">
        <v>495</v>
      </c>
      <c r="P52" s="1020">
        <f t="shared" si="14"/>
        <v>0.20202020202020199</v>
      </c>
      <c r="Q52" s="1015"/>
      <c r="R52" s="1005" t="s">
        <v>760</v>
      </c>
    </row>
    <row r="53" spans="1:18" ht="15.75" x14ac:dyDescent="0.25">
      <c r="B53" s="1014" t="str">
        <f t="shared" ref="B53" si="18">C53 &amp; " US EQUITY"</f>
        <v>XLE US EQUITY</v>
      </c>
      <c r="C53" s="1015" t="s">
        <v>112</v>
      </c>
      <c r="D53" s="416">
        <v>180000</v>
      </c>
      <c r="E53" s="1016">
        <f>_xll.BDP(C53&amp;" EQUITY",$E$4)</f>
        <v>91.084999999999994</v>
      </c>
      <c r="F53" s="1017">
        <f t="shared" si="13"/>
        <v>16395299.999999998</v>
      </c>
      <c r="G53" s="1018">
        <v>45366</v>
      </c>
      <c r="H53" s="1015">
        <v>97</v>
      </c>
      <c r="I53" s="1019">
        <f t="shared" ref="I53" si="19">+(H53/E53)-1</f>
        <v>6.4939342372509312E-2</v>
      </c>
      <c r="J53" s="1016">
        <v>0.49</v>
      </c>
      <c r="K53" s="1016">
        <v>0.71</v>
      </c>
      <c r="L53" s="1016">
        <v>1800</v>
      </c>
      <c r="M53" s="422">
        <f t="shared" ref="M53" si="20">+(J53*D53)-L53-K53</f>
        <v>86399.29</v>
      </c>
      <c r="N53" s="1015"/>
      <c r="O53" s="1016">
        <v>85.19</v>
      </c>
      <c r="P53" s="1020">
        <f t="shared" si="14"/>
        <v>0.13863129475290537</v>
      </c>
      <c r="Q53" s="1015"/>
      <c r="R53" s="1005" t="s">
        <v>760</v>
      </c>
    </row>
    <row r="54" spans="1:18" x14ac:dyDescent="0.25">
      <c r="B54" s="1014"/>
      <c r="C54" s="1015"/>
      <c r="D54" s="416"/>
      <c r="E54" s="1016"/>
      <c r="F54" s="1017"/>
      <c r="G54" s="1018"/>
      <c r="H54" s="1015"/>
      <c r="I54" s="1021"/>
      <c r="J54" s="1016"/>
      <c r="K54" s="1016"/>
      <c r="L54" s="1016"/>
      <c r="M54" s="422"/>
      <c r="N54" s="1015"/>
      <c r="O54" s="1015"/>
      <c r="P54" s="1015"/>
      <c r="Q54" s="1015"/>
      <c r="R54" s="1031"/>
    </row>
    <row r="55" spans="1:18" ht="15.75" x14ac:dyDescent="0.25">
      <c r="B55" s="1022"/>
      <c r="C55" s="1023"/>
      <c r="D55" s="1024"/>
      <c r="E55" s="1025"/>
      <c r="F55" s="1026"/>
      <c r="G55" s="1027"/>
      <c r="H55" s="1023"/>
      <c r="I55" s="1028"/>
      <c r="J55" s="1025"/>
      <c r="K55" s="1025"/>
      <c r="L55" s="1025"/>
      <c r="M55" s="1029">
        <f>SUM(M49:M54)</f>
        <v>334289.25999999995</v>
      </c>
      <c r="N55" s="1030">
        <v>2023</v>
      </c>
      <c r="O55" s="1023"/>
      <c r="P55" s="1023"/>
      <c r="Q55" s="1023"/>
      <c r="R55" s="1032"/>
    </row>
    <row r="56" spans="1:18" x14ac:dyDescent="0.25">
      <c r="D56" s="4"/>
      <c r="E56" s="9"/>
      <c r="F56" s="99"/>
      <c r="G56" s="473"/>
      <c r="I56" s="535"/>
      <c r="J56" s="9"/>
      <c r="K56" s="9"/>
      <c r="L56" s="9"/>
      <c r="M56" s="5"/>
    </row>
    <row r="57" spans="1:18" ht="15.75" x14ac:dyDescent="0.25">
      <c r="B57" t="str">
        <f t="shared" ref="B57:B61" si="21">C57 &amp; " US EQUITY"</f>
        <v>PLNT US EQUITY</v>
      </c>
      <c r="C57" t="s">
        <v>3</v>
      </c>
      <c r="D57" s="4">
        <v>85000</v>
      </c>
      <c r="E57" s="9">
        <f>_xll.BDP(C57&amp;" EQUITY",$E$4)</f>
        <v>73.22</v>
      </c>
      <c r="F57" s="99">
        <f t="shared" ref="F57:F61" si="22">D57*E57</f>
        <v>6223700</v>
      </c>
      <c r="G57" s="473">
        <v>45401</v>
      </c>
      <c r="H57">
        <v>75</v>
      </c>
      <c r="I57" s="546">
        <f t="shared" ref="I57:I59" si="23">+(H57/E57)-1</f>
        <v>2.4310297732859976E-2</v>
      </c>
      <c r="J57" s="9">
        <v>1.3</v>
      </c>
      <c r="K57" s="9">
        <v>0.88</v>
      </c>
      <c r="L57" s="9">
        <v>2550</v>
      </c>
      <c r="M57" s="79">
        <f t="shared" ref="M57:M59" si="24">+(J57*D57)-L57-K57</f>
        <v>107949.12</v>
      </c>
      <c r="O57" s="9">
        <v>65.86</v>
      </c>
      <c r="P57" s="8">
        <f t="shared" ref="P57:P58" si="25">+H57/O57-1</f>
        <v>0.1387792286668692</v>
      </c>
      <c r="Q57" s="473">
        <v>45343</v>
      </c>
    </row>
    <row r="58" spans="1:18" ht="15.75" x14ac:dyDescent="0.25">
      <c r="B58" t="str">
        <f t="shared" si="21"/>
        <v>ALGN US EQUITY</v>
      </c>
      <c r="C58" t="s">
        <v>10</v>
      </c>
      <c r="D58" s="4">
        <v>10000</v>
      </c>
      <c r="E58" s="9">
        <f>_xll.BDP(C58&amp;" EQUITY",$E$4)</f>
        <v>235.54499999999999</v>
      </c>
      <c r="F58" s="99">
        <f t="shared" si="22"/>
        <v>2355450</v>
      </c>
      <c r="G58" s="473">
        <v>45429</v>
      </c>
      <c r="H58">
        <v>360</v>
      </c>
      <c r="I58" s="546">
        <f t="shared" si="23"/>
        <v>0.52837037508756302</v>
      </c>
      <c r="J58" s="9">
        <v>8.6999999999999993</v>
      </c>
      <c r="K58" s="9">
        <v>0.7</v>
      </c>
      <c r="L58" s="9">
        <v>300</v>
      </c>
      <c r="M58" s="79">
        <f t="shared" si="24"/>
        <v>86699.3</v>
      </c>
      <c r="O58" s="9">
        <v>304.64999999999998</v>
      </c>
      <c r="P58" s="8">
        <f t="shared" si="25"/>
        <v>0.18168389955686859</v>
      </c>
      <c r="Q58" s="473">
        <v>45343</v>
      </c>
    </row>
    <row r="59" spans="1:18" ht="15.75" x14ac:dyDescent="0.25">
      <c r="B59" t="str">
        <f t="shared" si="21"/>
        <v>XLE US EQUITY</v>
      </c>
      <c r="C59" t="s">
        <v>112</v>
      </c>
      <c r="D59" s="4">
        <v>180000</v>
      </c>
      <c r="E59" s="9">
        <f>_xll.BDP(C59&amp;" EQUITY",$E$4)</f>
        <v>91.12</v>
      </c>
      <c r="F59" s="99">
        <f t="shared" si="22"/>
        <v>16401600</v>
      </c>
      <c r="G59" s="473">
        <v>45464</v>
      </c>
      <c r="H59">
        <v>105</v>
      </c>
      <c r="I59" s="546">
        <f t="shared" si="23"/>
        <v>0.15232660228270412</v>
      </c>
      <c r="J59" s="9">
        <v>0.43</v>
      </c>
      <c r="K59" s="9">
        <v>0.62</v>
      </c>
      <c r="L59" s="9">
        <v>1800</v>
      </c>
      <c r="M59" s="79">
        <f t="shared" si="24"/>
        <v>75599.38</v>
      </c>
      <c r="O59" s="9">
        <v>92.18</v>
      </c>
      <c r="P59" s="8">
        <f>+H59/O59-1</f>
        <v>0.13907572141462343</v>
      </c>
      <c r="Q59" s="473">
        <v>45370</v>
      </c>
    </row>
    <row r="60" spans="1:18" ht="15.75" x14ac:dyDescent="0.25">
      <c r="B60" t="str">
        <f t="shared" si="21"/>
        <v>ULTA US EQUITY</v>
      </c>
      <c r="C60" t="s">
        <v>4</v>
      </c>
      <c r="D60" s="4">
        <v>20000</v>
      </c>
      <c r="E60" s="9">
        <f>_xll.BDP(C60&amp;" EQUITY",$E$4)</f>
        <v>386.99</v>
      </c>
      <c r="F60" s="99">
        <f t="shared" si="22"/>
        <v>7739800</v>
      </c>
      <c r="G60" s="997">
        <v>45464</v>
      </c>
      <c r="H60">
        <v>620</v>
      </c>
      <c r="I60" s="546">
        <f>+(H60/E60)-1</f>
        <v>0.60210858161709591</v>
      </c>
      <c r="J60" s="9">
        <v>3.4</v>
      </c>
      <c r="K60" s="9">
        <v>0.54</v>
      </c>
      <c r="L60" s="9">
        <v>600</v>
      </c>
      <c r="M60" s="79">
        <f>+(J60*D60)-L60-K60</f>
        <v>67399.460000000006</v>
      </c>
      <c r="O60">
        <v>522.88</v>
      </c>
      <c r="P60" s="8">
        <f t="shared" ref="P60:P61" si="26">+H60/O60-1</f>
        <v>0.18574051407588743</v>
      </c>
      <c r="Q60" s="473">
        <v>45379</v>
      </c>
    </row>
    <row r="61" spans="1:18" ht="15.75" x14ac:dyDescent="0.25">
      <c r="B61" t="str">
        <f t="shared" si="21"/>
        <v>CMCSA US EQUITY</v>
      </c>
      <c r="C61" t="s">
        <v>34</v>
      </c>
      <c r="D61" s="4">
        <v>185000</v>
      </c>
      <c r="E61" s="9">
        <f>_xll.BDP(C61&amp;" EQUITY",$E$4)</f>
        <v>38.07</v>
      </c>
      <c r="F61" s="99">
        <f t="shared" si="22"/>
        <v>7042950</v>
      </c>
      <c r="G61" s="997">
        <v>45464</v>
      </c>
      <c r="H61">
        <v>47.5</v>
      </c>
      <c r="I61" s="546">
        <f t="shared" ref="I61" si="27">+(H61/E61)-1</f>
        <v>0.24770160231153149</v>
      </c>
      <c r="J61" s="9">
        <v>0.53</v>
      </c>
      <c r="K61" s="9">
        <v>0.78</v>
      </c>
      <c r="L61" s="9">
        <v>3700</v>
      </c>
      <c r="M61" s="79">
        <f t="shared" ref="M61" si="28">+(J61*D61)-L61-K61</f>
        <v>94349.22</v>
      </c>
      <c r="O61" s="9">
        <v>42.74</v>
      </c>
      <c r="P61" s="8">
        <f t="shared" si="26"/>
        <v>0.11137108095460913</v>
      </c>
      <c r="Q61" s="473">
        <v>45373</v>
      </c>
      <c r="R61" s="133"/>
    </row>
    <row r="62" spans="1:18" x14ac:dyDescent="0.25">
      <c r="P62" s="6"/>
    </row>
    <row r="63" spans="1:18" x14ac:dyDescent="0.25">
      <c r="D63" s="4"/>
      <c r="E63" s="9"/>
      <c r="F63" s="99"/>
      <c r="G63" s="473"/>
      <c r="I63" s="535"/>
      <c r="J63" s="9"/>
      <c r="K63" s="9"/>
      <c r="L63" s="9"/>
      <c r="M63" s="79"/>
      <c r="O63" s="9"/>
      <c r="P63" s="8"/>
    </row>
    <row r="64" spans="1:18" x14ac:dyDescent="0.25">
      <c r="D64" s="4"/>
      <c r="E64" s="9"/>
      <c r="F64" s="99"/>
      <c r="G64" s="473"/>
      <c r="I64" s="535"/>
      <c r="J64" s="9"/>
      <c r="K64" s="9"/>
      <c r="L64" s="9"/>
      <c r="M64" s="79"/>
      <c r="O64" s="9"/>
      <c r="P64" s="8"/>
      <c r="R64" s="10"/>
    </row>
    <row r="66" spans="1:18" ht="15.75" x14ac:dyDescent="0.25">
      <c r="M66" s="16">
        <f>SUM(M57:M65)</f>
        <v>431996.48</v>
      </c>
      <c r="N66" s="221">
        <v>2024</v>
      </c>
    </row>
    <row r="69" spans="1:18" x14ac:dyDescent="0.25">
      <c r="C69" s="78"/>
      <c r="D69" s="78" t="s">
        <v>357</v>
      </c>
      <c r="E69" s="78"/>
      <c r="F69" s="78" t="s">
        <v>358</v>
      </c>
      <c r="G69" s="78"/>
      <c r="H69" s="168"/>
      <c r="I69" s="168"/>
    </row>
    <row r="70" spans="1:18" x14ac:dyDescent="0.25">
      <c r="A70" s="34"/>
      <c r="B70" s="1003"/>
      <c r="C70" s="1002" t="s">
        <v>359</v>
      </c>
      <c r="D70" s="1002" t="s">
        <v>360</v>
      </c>
      <c r="E70" s="1002" t="s">
        <v>77</v>
      </c>
      <c r="F70" s="1002" t="s">
        <v>360</v>
      </c>
      <c r="G70" s="1002" t="s">
        <v>361</v>
      </c>
      <c r="H70" s="1002" t="s">
        <v>369</v>
      </c>
      <c r="I70" s="1002" t="s">
        <v>370</v>
      </c>
      <c r="J70" s="1002" t="s">
        <v>371</v>
      </c>
      <c r="K70" s="1002" t="s">
        <v>375</v>
      </c>
      <c r="L70" s="1002" t="s">
        <v>372</v>
      </c>
      <c r="M70" s="1002" t="s">
        <v>373</v>
      </c>
      <c r="O70" s="1001" t="s">
        <v>385</v>
      </c>
    </row>
    <row r="71" spans="1:18" ht="15.75" x14ac:dyDescent="0.25">
      <c r="A71" s="481" t="s">
        <v>399</v>
      </c>
      <c r="B71" s="1006" t="str">
        <f t="shared" ref="B71:B77" si="29">C71 &amp; " US EQUITY"</f>
        <v>BKNG US EQUITY</v>
      </c>
      <c r="C71" s="73" t="s">
        <v>12</v>
      </c>
      <c r="D71" s="1007">
        <v>2600</v>
      </c>
      <c r="E71" s="1008">
        <f>_xll.BDP(C71&amp;" EQUITY",$E$4)</f>
        <v>4009.42</v>
      </c>
      <c r="F71" s="1009">
        <f>D71*E71</f>
        <v>10424492</v>
      </c>
      <c r="G71" s="1010">
        <v>45310</v>
      </c>
      <c r="H71" s="73">
        <v>3350</v>
      </c>
      <c r="I71" s="1011">
        <f t="shared" ref="I71:I77" si="30">+(H71/E71)-1</f>
        <v>-0.16446767861685729</v>
      </c>
      <c r="J71" s="1008">
        <v>23.5</v>
      </c>
      <c r="K71" s="1008">
        <v>0.49</v>
      </c>
      <c r="L71" s="1008">
        <v>78</v>
      </c>
      <c r="M71" s="1012">
        <f t="shared" ref="M71:M72" si="31">+(J71*D71)-L71-K71</f>
        <v>61021.51</v>
      </c>
      <c r="N71" s="73"/>
      <c r="O71" s="73">
        <v>2815.51</v>
      </c>
      <c r="P71" s="1013">
        <f>+H71/O71-1</f>
        <v>0.18983772034196278</v>
      </c>
      <c r="Q71" s="73"/>
      <c r="R71" s="1004" t="s">
        <v>760</v>
      </c>
    </row>
    <row r="72" spans="1:18" ht="15.75" x14ac:dyDescent="0.25">
      <c r="B72" s="1014" t="str">
        <f t="shared" si="29"/>
        <v>CRM US EQUITY</v>
      </c>
      <c r="C72" s="1015" t="s">
        <v>33</v>
      </c>
      <c r="D72" s="416">
        <v>50000</v>
      </c>
      <c r="E72" s="1016">
        <f>_xll.BDP(C72&amp;" EQUITY",$E$4)</f>
        <v>242.08</v>
      </c>
      <c r="F72" s="1017">
        <f>D72*E72</f>
        <v>12104000</v>
      </c>
      <c r="G72" s="1018">
        <v>45310</v>
      </c>
      <c r="H72" s="1015">
        <v>240</v>
      </c>
      <c r="I72" s="1019">
        <f t="shared" si="30"/>
        <v>-8.5922009253139864E-3</v>
      </c>
      <c r="J72" s="1016">
        <v>1.77</v>
      </c>
      <c r="K72" s="1016">
        <v>0.71</v>
      </c>
      <c r="L72" s="1016">
        <v>1500</v>
      </c>
      <c r="M72" s="422">
        <f t="shared" si="31"/>
        <v>86999.29</v>
      </c>
      <c r="N72" s="1015"/>
      <c r="O72" s="1015">
        <v>200.83</v>
      </c>
      <c r="P72" s="1020">
        <f>+H72/O72-1</f>
        <v>0.19504058158641624</v>
      </c>
      <c r="Q72" s="1015"/>
      <c r="R72" s="1005" t="s">
        <v>760</v>
      </c>
    </row>
    <row r="73" spans="1:18" ht="15.75" x14ac:dyDescent="0.25">
      <c r="B73" s="1014" t="str">
        <f t="shared" si="29"/>
        <v>AVGO US EQUITY</v>
      </c>
      <c r="C73" s="1015" t="s">
        <v>223</v>
      </c>
      <c r="D73" s="416">
        <v>4000</v>
      </c>
      <c r="E73" s="1016">
        <f>_xll.BDP(C73&amp;" EQUITY",$E$4)</f>
        <v>1579.97</v>
      </c>
      <c r="F73" s="1017">
        <f t="shared" ref="F73:F77" si="32">D73*E73</f>
        <v>6319880</v>
      </c>
      <c r="G73" s="1018">
        <v>45310</v>
      </c>
      <c r="H73" s="1015">
        <v>1050</v>
      </c>
      <c r="I73" s="1019">
        <f t="shared" si="30"/>
        <v>-0.33543041956492847</v>
      </c>
      <c r="J73" s="1016">
        <v>15</v>
      </c>
      <c r="K73" s="1016">
        <v>0.48</v>
      </c>
      <c r="L73" s="1016">
        <v>120</v>
      </c>
      <c r="M73" s="422">
        <f>+(J73*D73)-L73-K73</f>
        <v>59879.519999999997</v>
      </c>
      <c r="N73" s="1015"/>
      <c r="O73" s="1015">
        <v>957</v>
      </c>
      <c r="P73" s="1020">
        <f t="shared" ref="P73:P77" si="33">+H73/O73-1</f>
        <v>9.7178683385579889E-2</v>
      </c>
      <c r="Q73" s="1015"/>
      <c r="R73" s="1005" t="s">
        <v>760</v>
      </c>
    </row>
    <row r="74" spans="1:18" ht="15.75" x14ac:dyDescent="0.25">
      <c r="B74" s="1014"/>
      <c r="C74" s="1015"/>
      <c r="D74" s="416"/>
      <c r="E74" s="1016"/>
      <c r="F74" s="1017"/>
      <c r="G74" s="1018"/>
      <c r="H74" s="1015"/>
      <c r="I74" s="1019"/>
      <c r="J74" s="1016"/>
      <c r="K74" s="1016"/>
      <c r="L74" s="1016"/>
      <c r="M74" s="422"/>
      <c r="N74" s="1015"/>
      <c r="O74" s="1015"/>
      <c r="P74" s="1020"/>
      <c r="Q74" s="1015"/>
      <c r="R74" s="1036"/>
    </row>
    <row r="75" spans="1:18" ht="15.75" x14ac:dyDescent="0.25">
      <c r="B75" s="1022"/>
      <c r="C75" s="1023"/>
      <c r="D75" s="1024"/>
      <c r="E75" s="1025"/>
      <c r="F75" s="1026"/>
      <c r="G75" s="1027"/>
      <c r="H75" s="1023"/>
      <c r="I75" s="1033"/>
      <c r="J75" s="1025"/>
      <c r="K75" s="1025"/>
      <c r="L75" s="1025"/>
      <c r="M75" s="1034">
        <f>SUM(M71:M74)</f>
        <v>207900.31999999998</v>
      </c>
      <c r="N75" s="1030">
        <v>2023</v>
      </c>
      <c r="O75" s="1023"/>
      <c r="P75" s="1035"/>
      <c r="Q75" s="1023"/>
      <c r="R75" s="1037"/>
    </row>
    <row r="76" spans="1:18" ht="15.75" x14ac:dyDescent="0.25">
      <c r="D76" s="553"/>
      <c r="E76" s="9"/>
      <c r="F76" s="99"/>
      <c r="G76" s="473"/>
      <c r="I76" s="546"/>
      <c r="J76" s="9"/>
      <c r="K76" s="9"/>
      <c r="L76" s="9"/>
      <c r="M76" s="5"/>
      <c r="P76" s="8"/>
      <c r="R76" s="133"/>
    </row>
    <row r="77" spans="1:18" ht="15.75" x14ac:dyDescent="0.25">
      <c r="B77" t="str">
        <f t="shared" si="29"/>
        <v>BAC US EQUITY</v>
      </c>
      <c r="C77" t="s">
        <v>11</v>
      </c>
      <c r="D77" s="4">
        <v>330000</v>
      </c>
      <c r="E77" s="9">
        <f>_xll.BDP(C77&amp;" EQUITY",$E$4)</f>
        <v>39.555</v>
      </c>
      <c r="F77" s="99">
        <f t="shared" si="32"/>
        <v>13053150</v>
      </c>
      <c r="G77" s="473">
        <v>45429</v>
      </c>
      <c r="H77">
        <v>38</v>
      </c>
      <c r="I77" s="546">
        <f t="shared" si="30"/>
        <v>-3.931234989255461E-2</v>
      </c>
      <c r="J77" s="9">
        <v>0.3</v>
      </c>
      <c r="K77" s="9">
        <v>0.79</v>
      </c>
      <c r="L77" s="9">
        <v>3300</v>
      </c>
      <c r="M77" s="79">
        <f t="shared" ref="M77" si="34">+(J77*D77)-L77-K77</f>
        <v>95699.21</v>
      </c>
      <c r="O77" s="9">
        <v>33.700000000000003</v>
      </c>
      <c r="P77" s="8">
        <f t="shared" si="33"/>
        <v>0.12759643916913932</v>
      </c>
      <c r="Q77" s="473">
        <v>45343</v>
      </c>
    </row>
    <row r="82" spans="2:14" ht="15.75" x14ac:dyDescent="0.25">
      <c r="M82" s="16">
        <f>SUM(M77:M81)</f>
        <v>95699.21</v>
      </c>
      <c r="N82" s="221">
        <v>2024</v>
      </c>
    </row>
    <row r="93" spans="2:14" x14ac:dyDescent="0.25">
      <c r="C93" t="s">
        <v>359</v>
      </c>
      <c r="D93" t="s">
        <v>357</v>
      </c>
      <c r="E93" t="s">
        <v>77</v>
      </c>
      <c r="F93" t="s">
        <v>774</v>
      </c>
      <c r="G93" t="s">
        <v>361</v>
      </c>
      <c r="H93" t="s">
        <v>369</v>
      </c>
      <c r="I93" t="s">
        <v>370</v>
      </c>
      <c r="J93" t="s">
        <v>371</v>
      </c>
      <c r="K93" t="s">
        <v>373</v>
      </c>
    </row>
    <row r="94" spans="2:14" x14ac:dyDescent="0.25">
      <c r="B94" t="s">
        <v>775</v>
      </c>
      <c r="C94" t="s">
        <v>10</v>
      </c>
      <c r="D94" s="4">
        <v>10000</v>
      </c>
      <c r="E94" s="537">
        <v>304.82499999999999</v>
      </c>
      <c r="F94" s="4">
        <v>3048250</v>
      </c>
      <c r="G94" s="473">
        <v>45401</v>
      </c>
      <c r="H94" s="806">
        <v>350</v>
      </c>
      <c r="I94" s="805">
        <v>0.1481997867628968</v>
      </c>
      <c r="J94">
        <v>5.15</v>
      </c>
      <c r="K94" s="4">
        <v>51500</v>
      </c>
    </row>
    <row r="95" spans="2:14" x14ac:dyDescent="0.25">
      <c r="B95" t="s">
        <v>775</v>
      </c>
      <c r="C95" t="s">
        <v>10</v>
      </c>
      <c r="D95" s="4">
        <v>10000</v>
      </c>
      <c r="E95" s="537">
        <v>304.82499999999999</v>
      </c>
      <c r="F95" s="4">
        <v>3048250</v>
      </c>
      <c r="G95" s="473">
        <v>45429</v>
      </c>
      <c r="H95" s="806">
        <v>360</v>
      </c>
      <c r="I95" s="805">
        <v>0.18100549495612239</v>
      </c>
      <c r="J95">
        <v>10.15</v>
      </c>
      <c r="K95" s="4">
        <v>101500</v>
      </c>
    </row>
    <row r="96" spans="2:14" x14ac:dyDescent="0.25">
      <c r="B96" t="s">
        <v>776</v>
      </c>
      <c r="C96" t="s">
        <v>3</v>
      </c>
      <c r="D96" s="4">
        <v>85000</v>
      </c>
      <c r="E96" s="537">
        <v>65.5</v>
      </c>
      <c r="F96" s="4">
        <v>5567500</v>
      </c>
      <c r="G96" s="473">
        <v>45401</v>
      </c>
      <c r="H96" s="806">
        <v>75</v>
      </c>
      <c r="I96" s="805">
        <v>0.14503816793893121</v>
      </c>
      <c r="J96">
        <f>2.65/2</f>
        <v>1.325</v>
      </c>
      <c r="K96" s="4">
        <f>+J96*D96</f>
        <v>112625</v>
      </c>
    </row>
    <row r="97" spans="2:13" x14ac:dyDescent="0.25">
      <c r="B97" t="s">
        <v>777</v>
      </c>
      <c r="C97" t="s">
        <v>11</v>
      </c>
      <c r="D97" s="4">
        <v>330000</v>
      </c>
      <c r="E97" s="537">
        <v>33.454999999999998</v>
      </c>
      <c r="F97" s="4">
        <v>11040150</v>
      </c>
      <c r="G97" s="473">
        <v>45401</v>
      </c>
      <c r="H97" s="806">
        <v>38</v>
      </c>
      <c r="I97" s="805">
        <v>0.1358541324166791</v>
      </c>
      <c r="J97">
        <v>0.16</v>
      </c>
      <c r="K97" s="4">
        <v>52800</v>
      </c>
    </row>
    <row r="98" spans="2:13" x14ac:dyDescent="0.25">
      <c r="B98" t="s">
        <v>777</v>
      </c>
      <c r="C98" t="s">
        <v>11</v>
      </c>
      <c r="D98" s="4">
        <v>330000</v>
      </c>
      <c r="E98" s="537">
        <v>33.454999999999998</v>
      </c>
      <c r="F98" s="4">
        <v>11040150</v>
      </c>
      <c r="G98" s="473">
        <v>45429</v>
      </c>
      <c r="H98" s="806">
        <v>38</v>
      </c>
      <c r="I98" s="805">
        <v>0.1358541324166791</v>
      </c>
      <c r="J98">
        <v>0.28999999999999998</v>
      </c>
      <c r="K98" s="4">
        <v>95700</v>
      </c>
    </row>
    <row r="99" spans="2:13" x14ac:dyDescent="0.25">
      <c r="B99" t="s">
        <v>778</v>
      </c>
      <c r="C99" t="s">
        <v>7</v>
      </c>
      <c r="D99" s="4">
        <v>75000</v>
      </c>
      <c r="E99" s="537">
        <v>154.9</v>
      </c>
      <c r="F99" s="4">
        <v>11617500</v>
      </c>
      <c r="G99" s="473">
        <v>45401</v>
      </c>
      <c r="H99" s="806">
        <v>170</v>
      </c>
      <c r="I99" s="805">
        <v>9.7482246610716583E-2</v>
      </c>
      <c r="J99">
        <v>0.9</v>
      </c>
      <c r="K99" s="4">
        <v>67500</v>
      </c>
    </row>
    <row r="100" spans="2:13" x14ac:dyDescent="0.25">
      <c r="B100" t="s">
        <v>778</v>
      </c>
      <c r="C100" t="s">
        <v>7</v>
      </c>
      <c r="D100" s="4">
        <v>75000</v>
      </c>
      <c r="E100" s="537">
        <v>154.9</v>
      </c>
      <c r="F100" s="4">
        <v>11617500</v>
      </c>
      <c r="G100" s="473">
        <v>45429</v>
      </c>
      <c r="H100" s="806">
        <v>175</v>
      </c>
      <c r="I100" s="805">
        <v>0.12976113621691399</v>
      </c>
      <c r="J100">
        <v>1.01</v>
      </c>
      <c r="K100" s="4">
        <v>75750</v>
      </c>
    </row>
    <row r="101" spans="2:13" x14ac:dyDescent="0.25">
      <c r="B101" t="s">
        <v>779</v>
      </c>
      <c r="C101" t="s">
        <v>26</v>
      </c>
      <c r="D101" s="4">
        <v>25000</v>
      </c>
      <c r="E101" s="537">
        <v>383.245</v>
      </c>
      <c r="F101" s="4">
        <v>9581125</v>
      </c>
      <c r="G101" s="473">
        <v>45401</v>
      </c>
      <c r="H101" s="806">
        <v>460</v>
      </c>
      <c r="I101" s="805">
        <v>0.20027658547404403</v>
      </c>
      <c r="J101">
        <v>4</v>
      </c>
      <c r="K101" s="4">
        <v>100000</v>
      </c>
    </row>
    <row r="102" spans="2:13" x14ac:dyDescent="0.25">
      <c r="B102" t="s">
        <v>779</v>
      </c>
      <c r="C102" t="s">
        <v>26</v>
      </c>
      <c r="D102" s="4">
        <v>25000</v>
      </c>
      <c r="E102" s="537">
        <v>383.245</v>
      </c>
      <c r="F102" s="4">
        <v>9581125</v>
      </c>
      <c r="G102" s="473">
        <v>45401</v>
      </c>
      <c r="H102" s="806">
        <v>470</v>
      </c>
      <c r="I102" s="805">
        <v>0.22636955472347964</v>
      </c>
      <c r="J102">
        <v>3</v>
      </c>
      <c r="K102" s="4">
        <v>75000</v>
      </c>
    </row>
    <row r="103" spans="2:13" x14ac:dyDescent="0.25">
      <c r="B103" t="s">
        <v>780</v>
      </c>
      <c r="C103" t="s">
        <v>39</v>
      </c>
      <c r="D103" s="4">
        <v>42000</v>
      </c>
      <c r="E103" s="537">
        <v>248.26990000000001</v>
      </c>
      <c r="F103" s="4">
        <v>10427335.800000001</v>
      </c>
      <c r="G103" s="473">
        <v>45401</v>
      </c>
      <c r="H103" s="806">
        <v>290</v>
      </c>
      <c r="I103" s="805">
        <v>0.16808360578547776</v>
      </c>
      <c r="J103">
        <v>4.5</v>
      </c>
      <c r="K103" s="4">
        <v>189000</v>
      </c>
    </row>
    <row r="104" spans="2:13" x14ac:dyDescent="0.25">
      <c r="B104" t="s">
        <v>780</v>
      </c>
      <c r="C104" t="s">
        <v>39</v>
      </c>
      <c r="D104" s="4">
        <v>42000</v>
      </c>
      <c r="E104" s="537">
        <v>248.26990000000001</v>
      </c>
      <c r="F104" s="4">
        <v>10427335.800000001</v>
      </c>
      <c r="G104" s="473">
        <v>45401</v>
      </c>
      <c r="H104" s="806">
        <v>300</v>
      </c>
      <c r="I104" s="805">
        <v>0.20836235081256316</v>
      </c>
      <c r="J104">
        <v>2.7</v>
      </c>
      <c r="K104" s="4">
        <v>113400.00000000001</v>
      </c>
    </row>
    <row r="105" spans="2:13" x14ac:dyDescent="0.25">
      <c r="B105" t="s">
        <v>781</v>
      </c>
      <c r="C105" t="s">
        <v>21</v>
      </c>
      <c r="D105" s="4">
        <v>17000</v>
      </c>
      <c r="E105" s="537">
        <v>633.87</v>
      </c>
      <c r="F105" s="4">
        <v>10775790</v>
      </c>
      <c r="G105" s="473">
        <v>45401</v>
      </c>
      <c r="H105" s="806">
        <v>740</v>
      </c>
      <c r="I105" s="805">
        <v>0.16743180778393052</v>
      </c>
      <c r="J105">
        <v>4.9000000000000004</v>
      </c>
      <c r="K105" s="4">
        <v>83300</v>
      </c>
    </row>
    <row r="106" spans="2:13" x14ac:dyDescent="0.25">
      <c r="B106" t="s">
        <v>781</v>
      </c>
      <c r="C106" t="s">
        <v>21</v>
      </c>
      <c r="D106" s="4">
        <v>17000</v>
      </c>
      <c r="E106" s="537">
        <v>633.87</v>
      </c>
      <c r="F106" s="4">
        <v>10775790</v>
      </c>
      <c r="G106" s="473">
        <v>45401</v>
      </c>
      <c r="H106" s="806">
        <v>750</v>
      </c>
      <c r="I106" s="805">
        <v>0.18320791329452413</v>
      </c>
      <c r="J106">
        <v>3.65</v>
      </c>
      <c r="K106" s="4">
        <v>62050</v>
      </c>
    </row>
    <row r="107" spans="2:13" x14ac:dyDescent="0.25">
      <c r="B107" t="s">
        <v>782</v>
      </c>
      <c r="C107" t="s">
        <v>16</v>
      </c>
      <c r="D107" s="4">
        <v>23000</v>
      </c>
      <c r="E107" s="537">
        <v>547.20320000000004</v>
      </c>
      <c r="F107" s="4">
        <v>12585673.600000001</v>
      </c>
      <c r="G107" s="473">
        <v>45401</v>
      </c>
      <c r="H107" s="806">
        <v>640</v>
      </c>
      <c r="I107" s="805">
        <v>0.16958380360348757</v>
      </c>
      <c r="J107">
        <v>3.2749999999999999</v>
      </c>
      <c r="K107" s="4">
        <v>75325</v>
      </c>
    </row>
    <row r="108" spans="2:13" x14ac:dyDescent="0.25">
      <c r="D108" s="4"/>
      <c r="E108" s="537"/>
      <c r="G108" s="473"/>
      <c r="I108" s="805"/>
      <c r="K108" s="4"/>
    </row>
    <row r="109" spans="2:13" x14ac:dyDescent="0.25">
      <c r="E109" s="537"/>
      <c r="G109" s="473"/>
      <c r="K109" s="4"/>
    </row>
    <row r="110" spans="2:13" x14ac:dyDescent="0.25">
      <c r="G110" s="473"/>
      <c r="M110" s="4"/>
    </row>
    <row r="111" spans="2:13" x14ac:dyDescent="0.25">
      <c r="M111" s="4"/>
    </row>
    <row r="112" spans="2:13" x14ac:dyDescent="0.25">
      <c r="M112" s="4"/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AY274"/>
  <sheetViews>
    <sheetView zoomScale="80" zoomScaleNormal="80" zoomScaleSheetLayoutView="70" workbookViewId="0">
      <selection activeCell="AI28" sqref="AI28"/>
    </sheetView>
  </sheetViews>
  <sheetFormatPr defaultRowHeight="15" x14ac:dyDescent="0.25"/>
  <cols>
    <col min="1" max="1" width="10.5703125" customWidth="1"/>
    <col min="2" max="3" width="9.140625" customWidth="1"/>
    <col min="4" max="4" width="10.28515625" customWidth="1"/>
    <col min="6" max="6" width="10.5703125" bestFit="1" customWidth="1"/>
    <col min="7" max="7" width="11.85546875" customWidth="1"/>
    <col min="8" max="8" width="18.140625" customWidth="1"/>
    <col min="9" max="9" width="13.42578125" customWidth="1"/>
    <col min="10" max="10" width="13.140625" style="47" customWidth="1"/>
    <col min="11" max="11" width="13.28515625" customWidth="1"/>
    <col min="12" max="12" width="8.5703125" customWidth="1"/>
    <col min="13" max="13" width="23.85546875" customWidth="1"/>
    <col min="14" max="14" width="8.140625" customWidth="1"/>
    <col min="15" max="16" width="12.5703125" customWidth="1"/>
    <col min="17" max="17" width="10.28515625" customWidth="1"/>
    <col min="18" max="18" width="10.140625" customWidth="1"/>
    <col min="19" max="19" width="8.140625" customWidth="1"/>
    <col min="20" max="21" width="12.5703125" customWidth="1"/>
    <col min="22" max="22" width="10.28515625" customWidth="1"/>
    <col min="23" max="23" width="10.140625" customWidth="1"/>
    <col min="24" max="24" width="8.5703125" customWidth="1"/>
    <col min="25" max="25" width="13.42578125" customWidth="1"/>
    <col min="26" max="26" width="11.5703125" customWidth="1"/>
    <col min="27" max="27" width="12" customWidth="1"/>
    <col min="28" max="28" width="8" customWidth="1"/>
    <col min="29" max="29" width="15" customWidth="1"/>
    <col min="30" max="30" width="13.85546875" customWidth="1"/>
    <col min="31" max="31" width="12.5703125" customWidth="1"/>
    <col min="32" max="32" width="5.140625" customWidth="1"/>
    <col min="33" max="33" width="10.5703125" customWidth="1"/>
    <col min="34" max="34" width="5.85546875" customWidth="1"/>
    <col min="35" max="35" width="17.140625" customWidth="1"/>
    <col min="36" max="36" width="14.42578125" customWidth="1"/>
    <col min="37" max="37" width="11.5703125" customWidth="1"/>
    <col min="38" max="38" width="9.140625" customWidth="1"/>
    <col min="39" max="39" width="6.85546875" customWidth="1"/>
    <col min="40" max="40" width="15" customWidth="1"/>
    <col min="41" max="41" width="15.42578125" customWidth="1"/>
    <col min="45" max="45" width="9.140625" style="22"/>
    <col min="46" max="46" width="8.42578125" customWidth="1"/>
    <col min="47" max="47" width="9.140625" style="96"/>
    <col min="48" max="49" width="8.7109375" customWidth="1"/>
    <col min="50" max="50" width="10.140625" bestFit="1" customWidth="1"/>
    <col min="56" max="56" width="16.28515625" bestFit="1" customWidth="1"/>
  </cols>
  <sheetData>
    <row r="1" spans="1:47" ht="35.25" customHeight="1" thickBot="1" x14ac:dyDescent="0.3">
      <c r="A1" s="952"/>
      <c r="B1" s="952"/>
      <c r="C1" s="952"/>
      <c r="D1" s="952"/>
      <c r="E1" s="947">
        <v>2024</v>
      </c>
      <c r="F1" s="914"/>
      <c r="G1" s="172" t="s">
        <v>77</v>
      </c>
      <c r="H1" s="172" t="s">
        <v>87</v>
      </c>
      <c r="I1" s="172" t="s">
        <v>88</v>
      </c>
      <c r="K1" s="47"/>
      <c r="L1" s="47"/>
      <c r="M1" s="110"/>
      <c r="N1" s="110"/>
      <c r="O1" s="899" t="s">
        <v>117</v>
      </c>
      <c r="P1" s="900"/>
      <c r="Q1" s="171" t="e">
        <f>+#REF!/#REF!-1</f>
        <v>#REF!</v>
      </c>
      <c r="R1" s="47"/>
      <c r="S1" s="110"/>
      <c r="T1" s="899" t="s">
        <v>117</v>
      </c>
      <c r="U1" s="900"/>
      <c r="V1" s="171">
        <f>+AJ1/AI1-1</f>
        <v>0.42250813908060958</v>
      </c>
      <c r="W1" s="47"/>
      <c r="X1" s="47"/>
      <c r="Y1" s="121" t="s">
        <v>81</v>
      </c>
      <c r="Z1" s="121" t="s">
        <v>80</v>
      </c>
      <c r="AA1" s="47"/>
      <c r="AB1" s="47"/>
      <c r="AC1" s="121" t="s">
        <v>86</v>
      </c>
      <c r="AD1" s="121" t="s">
        <v>85</v>
      </c>
      <c r="AE1" s="47"/>
      <c r="AF1" s="47"/>
      <c r="AG1" s="47"/>
      <c r="AH1" s="22" t="s">
        <v>73</v>
      </c>
      <c r="AI1">
        <v>3839.5</v>
      </c>
      <c r="AJ1" s="9">
        <f>_xll.BDP(AH1&amp;" Index",$G$1)</f>
        <v>5461.72</v>
      </c>
      <c r="AK1" s="47"/>
      <c r="AL1" s="47"/>
      <c r="AM1" s="47"/>
      <c r="AN1" s="47"/>
      <c r="AS1"/>
      <c r="AU1"/>
    </row>
    <row r="2" spans="1:47" ht="18.75" x14ac:dyDescent="0.25">
      <c r="A2" s="68"/>
      <c r="B2" s="47"/>
      <c r="C2" s="47"/>
      <c r="D2" s="47"/>
      <c r="E2" s="470">
        <v>47</v>
      </c>
      <c r="F2" s="195"/>
      <c r="G2" s="72"/>
      <c r="H2" s="72"/>
      <c r="I2" s="73"/>
      <c r="J2" s="156"/>
      <c r="K2" s="160" t="s">
        <v>113</v>
      </c>
      <c r="L2" s="189"/>
      <c r="M2" s="154" t="s">
        <v>0</v>
      </c>
      <c r="N2" s="189"/>
      <c r="O2" s="1">
        <v>45291</v>
      </c>
      <c r="P2" s="49" t="s">
        <v>1</v>
      </c>
      <c r="Q2" s="80" t="s">
        <v>57</v>
      </c>
      <c r="R2" s="197" t="s">
        <v>58</v>
      </c>
      <c r="S2" s="189"/>
      <c r="T2" s="1">
        <v>44926</v>
      </c>
      <c r="U2" s="80" t="s">
        <v>542</v>
      </c>
      <c r="V2" s="80" t="s">
        <v>57</v>
      </c>
      <c r="W2" s="197" t="s">
        <v>58</v>
      </c>
      <c r="X2" s="47"/>
      <c r="Y2" s="80" t="s">
        <v>83</v>
      </c>
      <c r="Z2" s="104" t="s">
        <v>82</v>
      </c>
      <c r="AA2" s="49"/>
      <c r="AB2" s="47"/>
      <c r="AC2" s="80" t="s">
        <v>83</v>
      </c>
      <c r="AD2" s="104" t="s">
        <v>84</v>
      </c>
      <c r="AE2" s="49"/>
      <c r="AF2" s="47"/>
      <c r="AS2"/>
      <c r="AU2"/>
    </row>
    <row r="3" spans="1:47" x14ac:dyDescent="0.25">
      <c r="B3" s="69" t="s">
        <v>64</v>
      </c>
      <c r="C3" s="69" t="s">
        <v>63</v>
      </c>
      <c r="D3" s="70" t="s">
        <v>62</v>
      </c>
      <c r="E3" s="12"/>
      <c r="F3" s="52"/>
      <c r="G3" s="74" t="s">
        <v>2</v>
      </c>
      <c r="H3" s="115" t="s">
        <v>89</v>
      </c>
      <c r="I3" s="128" t="s">
        <v>90</v>
      </c>
      <c r="J3" s="2"/>
      <c r="K3" s="132"/>
      <c r="M3" s="51"/>
      <c r="O3" s="2"/>
      <c r="R3" s="45"/>
      <c r="T3" s="2"/>
      <c r="W3" s="45"/>
      <c r="X3" s="47"/>
      <c r="Y3" s="2"/>
      <c r="AA3" s="28"/>
      <c r="AB3" s="47"/>
      <c r="AC3" s="2"/>
      <c r="AD3" s="2"/>
      <c r="AE3" s="28"/>
      <c r="AF3" s="47"/>
      <c r="AS3"/>
      <c r="AU3"/>
    </row>
    <row r="4" spans="1:47" x14ac:dyDescent="0.25">
      <c r="B4" s="24">
        <f t="shared" ref="B4:B46" si="0">+D4-C4</f>
        <v>2.6023505239760741E-3</v>
      </c>
      <c r="C4" s="25">
        <v>7.3300000000000004E-2</v>
      </c>
      <c r="D4" s="25">
        <f>+M4/$M$67</f>
        <v>7.5902350523976078E-2</v>
      </c>
      <c r="E4" s="3" t="s">
        <v>38</v>
      </c>
      <c r="F4" s="29">
        <v>105000</v>
      </c>
      <c r="G4" s="9">
        <f>_xll.BDP(E4&amp;" EQUITY",$G$1)</f>
        <v>450.28500000000003</v>
      </c>
      <c r="H4" s="111">
        <f>_xll.BDP(E4&amp;" EQUITY",$H$1)</f>
        <v>2.6150000000000002</v>
      </c>
      <c r="I4" s="129">
        <f>_xll.BDP(E4&amp;" EQUITY",$I$1)*0.01</f>
        <v>5.8413559999999998E-3</v>
      </c>
      <c r="J4" s="157">
        <f>+RANK(I4,$I$4:$I$62)</f>
        <v>14</v>
      </c>
      <c r="K4" s="161">
        <f t="shared" ref="K4:K46" si="1">+H4*F4</f>
        <v>274575</v>
      </c>
      <c r="L4" s="99"/>
      <c r="M4" s="62">
        <f t="shared" ref="M4:M46" si="2">+G4*F4</f>
        <v>47279925</v>
      </c>
      <c r="N4" s="99"/>
      <c r="O4" s="173">
        <v>376.04</v>
      </c>
      <c r="P4" s="37">
        <f t="shared" ref="P4:P46" si="3">+G4/O4-1</f>
        <v>0.19743910222316785</v>
      </c>
      <c r="Q4" s="102">
        <f>+RANK(P4,$P$4:$P$62)</f>
        <v>12</v>
      </c>
      <c r="R4" s="45" t="s">
        <v>61</v>
      </c>
      <c r="S4" s="99"/>
      <c r="T4" s="173">
        <v>239.82</v>
      </c>
      <c r="U4" s="37">
        <f t="shared" ref="U4:U46" si="4">+G4/T4-1</f>
        <v>0.87759569677257954</v>
      </c>
      <c r="V4" s="102">
        <f>+RANK(U4,$U$4:$U$62)</f>
        <v>11</v>
      </c>
      <c r="W4" s="45" t="s">
        <v>61</v>
      </c>
      <c r="X4" s="48"/>
      <c r="Y4" s="105" t="str">
        <f>_xll.BDP(E4&amp;" EQUITY",$Y$1)</f>
        <v>6/24/2024</v>
      </c>
      <c r="Z4" s="84">
        <f>_xll.BDP(E4&amp;" EQUITY",$Z$1)</f>
        <v>452.75</v>
      </c>
      <c r="AA4" s="591">
        <f t="shared" ref="AA4:AA46" si="5">+G4/Z4-1</f>
        <v>-5.4445057979016775E-3</v>
      </c>
      <c r="AB4" s="119"/>
      <c r="AC4" s="105" t="str">
        <f>_xll.BDP(E4&amp;" EQUITY",$AC$1)</f>
        <v>9/28/2023</v>
      </c>
      <c r="AD4" s="77">
        <f>_xll.BDP(E4&amp;" EQUITY",$AD$1)</f>
        <v>309.45</v>
      </c>
      <c r="AE4" s="591">
        <f>+G4/AD4-1</f>
        <v>0.45511391177896288</v>
      </c>
      <c r="AF4" s="47"/>
      <c r="AS4"/>
      <c r="AU4"/>
    </row>
    <row r="5" spans="1:47" x14ac:dyDescent="0.25">
      <c r="B5" s="24">
        <f t="shared" si="0"/>
        <v>2.8281097972185941E-2</v>
      </c>
      <c r="C5" s="25">
        <v>3.7499999999999999E-2</v>
      </c>
      <c r="D5" s="25">
        <f>+M5/$M$67</f>
        <v>6.578109797218594E-2</v>
      </c>
      <c r="E5" s="3" t="s">
        <v>37</v>
      </c>
      <c r="F5" s="29">
        <v>195000</v>
      </c>
      <c r="G5" s="9">
        <f>_xll.BDP(E5&amp;" EQUITY",$G$1)</f>
        <v>210.13</v>
      </c>
      <c r="H5" s="112">
        <f>_xll.BDP(E5&amp;" EQUITY",$H$1)</f>
        <v>1.99</v>
      </c>
      <c r="I5" s="127">
        <f>_xll.BDP(E5&amp;" EQUITY",$I$1)*0.01</f>
        <v>9.5608719999999998E-3</v>
      </c>
      <c r="J5" s="157">
        <f>+RANK(I5,$I$4:$I$62)</f>
        <v>13</v>
      </c>
      <c r="K5" s="161">
        <f t="shared" si="1"/>
        <v>388050</v>
      </c>
      <c r="L5" s="99"/>
      <c r="M5" s="62">
        <f t="shared" si="2"/>
        <v>40975350</v>
      </c>
      <c r="N5" s="99"/>
      <c r="O5" s="173">
        <v>192.53</v>
      </c>
      <c r="P5" s="37">
        <f t="shared" si="3"/>
        <v>9.1414325040253486E-2</v>
      </c>
      <c r="Q5" s="102">
        <f>+RANK(P5,$P$4:$P$62)</f>
        <v>25</v>
      </c>
      <c r="R5" s="45"/>
      <c r="S5" s="99"/>
      <c r="T5" s="173">
        <v>129.93</v>
      </c>
      <c r="U5" s="37">
        <f t="shared" si="4"/>
        <v>0.61725544523974429</v>
      </c>
      <c r="V5" s="82">
        <f>+RANK(U5,$U$4:$U$62)</f>
        <v>17</v>
      </c>
      <c r="W5" s="45" t="s">
        <v>61</v>
      </c>
      <c r="X5" s="48"/>
      <c r="Y5" s="105" t="str">
        <f>_xll.BDP(E5&amp;" EQUITY",$Y$1)</f>
        <v>6/12/2024</v>
      </c>
      <c r="Z5" s="84">
        <f>_xll.BDP(E5&amp;" EQUITY",$Z$1)</f>
        <v>220.2</v>
      </c>
      <c r="AA5" s="591">
        <f t="shared" si="5"/>
        <v>-4.5731153496820998E-2</v>
      </c>
      <c r="AB5" s="119"/>
      <c r="AC5" s="105" t="str">
        <f>_xll.BDP(E5&amp;" EQUITY",$AC$1)</f>
        <v>4/19/2024</v>
      </c>
      <c r="AD5" s="77">
        <f>_xll.BDP(E5&amp;" EQUITY",$AD$1)</f>
        <v>164.07499999999999</v>
      </c>
      <c r="AE5" s="591">
        <f>+G5/AD5-1</f>
        <v>0.28069480420539383</v>
      </c>
      <c r="AF5" s="47"/>
      <c r="AS5"/>
      <c r="AU5"/>
    </row>
    <row r="6" spans="1:47" x14ac:dyDescent="0.25">
      <c r="B6" s="24">
        <f t="shared" si="0"/>
        <v>1.5666865257128508E-2</v>
      </c>
      <c r="C6" s="25">
        <v>4.0500000000000001E-2</v>
      </c>
      <c r="D6" s="25">
        <f>+M6/$M$67</f>
        <v>5.6166865257128509E-2</v>
      </c>
      <c r="E6" s="3" t="s">
        <v>28</v>
      </c>
      <c r="F6" s="29">
        <v>190000</v>
      </c>
      <c r="G6" s="9">
        <f>_xll.BDP(E6&amp;" EQUITY",$G$1)</f>
        <v>184.14</v>
      </c>
      <c r="H6" s="112">
        <f>_xll.BDP(E6&amp;" EQUITY",$H$1)</f>
        <v>3.3500999999999999</v>
      </c>
      <c r="I6" s="127">
        <f>_xll.BDP(E6&amp;" EQUITY",$I$1)*0.01</f>
        <v>1.8530340000000003E-2</v>
      </c>
      <c r="J6" s="157">
        <f>+RANK(I6,$I$4:$I$62)</f>
        <v>8</v>
      </c>
      <c r="K6" s="161">
        <f t="shared" si="1"/>
        <v>636519</v>
      </c>
      <c r="L6" s="99"/>
      <c r="M6" s="62">
        <f t="shared" si="2"/>
        <v>34986600</v>
      </c>
      <c r="N6" s="99"/>
      <c r="O6" s="173">
        <v>140.93</v>
      </c>
      <c r="P6" s="37">
        <f t="shared" si="3"/>
        <v>0.3066061165117433</v>
      </c>
      <c r="Q6" s="102">
        <f>+RANK(P6,$P$4:$P$62)</f>
        <v>6</v>
      </c>
      <c r="R6" s="45" t="s">
        <v>61</v>
      </c>
      <c r="S6" s="99"/>
      <c r="T6" s="173">
        <v>88.73</v>
      </c>
      <c r="U6" s="37">
        <f t="shared" si="4"/>
        <v>1.0752845711709678</v>
      </c>
      <c r="V6" s="82">
        <f>+RANK(U6,$U$4:$U$62)</f>
        <v>9</v>
      </c>
      <c r="W6" s="45" t="s">
        <v>61</v>
      </c>
      <c r="X6" s="48"/>
      <c r="Y6" s="105" t="str">
        <f>_xll.BDP(E6&amp;" EQUITY",$Y$1)</f>
        <v>6/25/2024</v>
      </c>
      <c r="Z6" s="84">
        <f>_xll.BDP(E6&amp;" EQUITY",$Z$1)</f>
        <v>184.35</v>
      </c>
      <c r="AA6" s="591">
        <f t="shared" si="5"/>
        <v>-1.1391375101709178E-3</v>
      </c>
      <c r="AB6" s="119"/>
      <c r="AC6" s="105" t="str">
        <f>_xll.BDP(E6&amp;" EQUITY",$AC$1)</f>
        <v>7/11/2023</v>
      </c>
      <c r="AD6" s="77">
        <f>_xll.BDP(E6&amp;" EQUITY",$AD$1)</f>
        <v>115.83</v>
      </c>
      <c r="AE6" s="591">
        <f>+G6/AD6-1</f>
        <v>0.58974358974358965</v>
      </c>
      <c r="AF6" s="47"/>
      <c r="AS6"/>
      <c r="AU6"/>
    </row>
    <row r="7" spans="1:47" x14ac:dyDescent="0.25">
      <c r="B7" s="24">
        <f t="shared" si="0"/>
        <v>6.0977101285678778E-3</v>
      </c>
      <c r="C7" s="25">
        <v>3.5299999999999998E-2</v>
      </c>
      <c r="D7" s="25">
        <f>+M7/$M$67</f>
        <v>4.1397710128567876E-2</v>
      </c>
      <c r="E7" s="3" t="s">
        <v>42</v>
      </c>
      <c r="F7" s="29">
        <v>137000</v>
      </c>
      <c r="G7" s="9">
        <f>_xll.BDP(E7&amp;" EQUITY",$G$1)</f>
        <v>188.22499999999999</v>
      </c>
      <c r="H7" s="112">
        <f>_xll.BDP(E7&amp;" EQUITY",$H$1)</f>
        <v>2.6549999999999998</v>
      </c>
      <c r="I7" s="127">
        <f>_xll.BDP(E7&amp;" EQUITY",$I$1)*0.01</f>
        <v>1.430727E-2</v>
      </c>
      <c r="J7" s="157">
        <f>+RANK(I7,$I$4:$I$62)</f>
        <v>10</v>
      </c>
      <c r="K7" s="161">
        <f t="shared" si="1"/>
        <v>363735</v>
      </c>
      <c r="L7" s="99"/>
      <c r="M7" s="62">
        <f t="shared" si="2"/>
        <v>25786825</v>
      </c>
      <c r="N7" s="99"/>
      <c r="O7" s="173">
        <v>151.94</v>
      </c>
      <c r="P7" s="37">
        <f t="shared" si="3"/>
        <v>0.23881137291035937</v>
      </c>
      <c r="Q7" s="102">
        <f>+RANK(P7,$P$4:$P$62)</f>
        <v>11</v>
      </c>
      <c r="R7" s="45" t="s">
        <v>61</v>
      </c>
      <c r="S7" s="99"/>
      <c r="T7" s="173">
        <v>84</v>
      </c>
      <c r="U7" s="37">
        <f t="shared" si="4"/>
        <v>1.2407738095238097</v>
      </c>
      <c r="V7" s="82">
        <f>+RANK(U7,$U$4:$U$62)</f>
        <v>7</v>
      </c>
      <c r="W7" s="45" t="s">
        <v>61</v>
      </c>
      <c r="X7" s="48"/>
      <c r="Y7" s="105" t="str">
        <f>_xll.BDP(E7&amp;" EQUITY",$Y$1)</f>
        <v>5/9/2024</v>
      </c>
      <c r="Z7" s="84">
        <f>_xll.BDP(E7&amp;" EQUITY",$Z$1)</f>
        <v>191.7</v>
      </c>
      <c r="AA7" s="591">
        <f t="shared" si="5"/>
        <v>-1.8127282211789275E-2</v>
      </c>
      <c r="AB7" s="47"/>
      <c r="AC7" s="105" t="str">
        <f>_xll.BDP(E7&amp;" EQUITY",$AC$1)</f>
        <v>10/26/2023</v>
      </c>
      <c r="AD7" s="77">
        <f>_xll.BDP(E7&amp;" EQUITY",$AD$1)</f>
        <v>118.35</v>
      </c>
      <c r="AE7" s="591">
        <f>+G7/AD7-1</f>
        <v>0.59040980143641741</v>
      </c>
      <c r="AF7" s="47"/>
      <c r="AS7"/>
      <c r="AU7"/>
    </row>
    <row r="8" spans="1:47" x14ac:dyDescent="0.25">
      <c r="B8" s="24">
        <f t="shared" si="0"/>
        <v>2.1457084262125538E-2</v>
      </c>
      <c r="C8" s="25">
        <v>3.8999999999999998E-3</v>
      </c>
      <c r="D8" s="25">
        <f>+M8/$M$67</f>
        <v>2.5357084262125539E-2</v>
      </c>
      <c r="E8" s="3" t="s">
        <v>24</v>
      </c>
      <c r="F8" s="101">
        <v>21000</v>
      </c>
      <c r="G8" s="9">
        <f>_xll.BDP(E8&amp;" EQUITY",$G$1)</f>
        <v>752.14499999999998</v>
      </c>
      <c r="H8" s="112">
        <f>_xll.BDP(E8&amp;" EQUITY",$H$1)</f>
        <v>12.555</v>
      </c>
      <c r="I8" s="127">
        <f>_xll.BDP(E8&amp;" EQUITY",$I$1)*0.01</f>
        <v>1.697562E-2</v>
      </c>
      <c r="J8" s="157">
        <f>+RANK(I8,$I$4:$I$62)</f>
        <v>9</v>
      </c>
      <c r="K8" s="161">
        <f t="shared" si="1"/>
        <v>263655</v>
      </c>
      <c r="L8" s="99"/>
      <c r="M8" s="62">
        <f t="shared" si="2"/>
        <v>15795045</v>
      </c>
      <c r="N8" s="99"/>
      <c r="O8" s="173">
        <v>706.49</v>
      </c>
      <c r="P8" s="37">
        <f t="shared" si="3"/>
        <v>6.4622287647383425E-2</v>
      </c>
      <c r="Q8" s="102">
        <f>+RANK(P8,$P$4:$P$62)</f>
        <v>30</v>
      </c>
      <c r="R8" s="45" t="s">
        <v>61</v>
      </c>
      <c r="S8" s="99"/>
      <c r="T8" s="173">
        <v>388.27</v>
      </c>
      <c r="U8" s="37">
        <f t="shared" si="4"/>
        <v>0.93717001055966209</v>
      </c>
      <c r="V8" s="102">
        <f>+RANK(U8,$U$4:$U$62)</f>
        <v>10</v>
      </c>
      <c r="W8" s="45" t="s">
        <v>61</v>
      </c>
      <c r="X8" s="48"/>
      <c r="Y8" s="105" t="str">
        <f>_xll.BDP(E8&amp;" EQUITY",$Y$1)</f>
        <v>2/9/2024</v>
      </c>
      <c r="Z8" s="84">
        <f>_xll.BDP(E8&amp;" EQUITY",$Z$1)</f>
        <v>815.32</v>
      </c>
      <c r="AA8" s="591">
        <f t="shared" si="5"/>
        <v>-7.7484913898837382E-2</v>
      </c>
      <c r="AB8" s="47"/>
      <c r="AC8" s="105" t="str">
        <f>_xll.BDP(E8&amp;" EQUITY",$AC$1)</f>
        <v>10/25/2023</v>
      </c>
      <c r="AD8" s="77">
        <f>_xll.BDP(E8&amp;" EQUITY",$AD$1)</f>
        <v>527.24</v>
      </c>
      <c r="AE8" s="591">
        <f>+G8/AD8-1</f>
        <v>0.42657044230331542</v>
      </c>
      <c r="AF8" s="47"/>
      <c r="AS8"/>
      <c r="AU8"/>
    </row>
    <row r="9" spans="1:47" x14ac:dyDescent="0.25">
      <c r="B9" s="24">
        <f t="shared" si="0"/>
        <v>1.4185878548364761E-2</v>
      </c>
      <c r="C9" s="25">
        <v>8.8000000000000005E-3</v>
      </c>
      <c r="D9" s="25">
        <f>+M9/$M$67</f>
        <v>2.2985878548364761E-2</v>
      </c>
      <c r="E9" s="3" t="s">
        <v>17</v>
      </c>
      <c r="F9" s="29">
        <v>31500</v>
      </c>
      <c r="G9" s="9">
        <f>_xll.BDP(E9&amp;" EQUITY",$G$1)</f>
        <v>454.54</v>
      </c>
      <c r="H9" s="112">
        <f>_xll.BDP(E9&amp;" EQUITY",$H$1)</f>
        <v>-2.42</v>
      </c>
      <c r="I9" s="127">
        <f>_xll.BDP(E9&amp;" EQUITY",$I$1)*0.01</f>
        <v>-5.2958680000000005E-3</v>
      </c>
      <c r="J9" s="157">
        <f>+RANK(I9,$I$4:$I$62)</f>
        <v>32</v>
      </c>
      <c r="K9" s="161">
        <f t="shared" si="1"/>
        <v>-76230</v>
      </c>
      <c r="L9" s="99"/>
      <c r="M9" s="62">
        <f t="shared" si="2"/>
        <v>14318010</v>
      </c>
      <c r="N9" s="99"/>
      <c r="O9" s="173">
        <v>426.51</v>
      </c>
      <c r="P9" s="37">
        <f t="shared" si="3"/>
        <v>6.5719443858291759E-2</v>
      </c>
      <c r="Q9" s="102">
        <f>+RANK(P9,$P$4:$P$62)</f>
        <v>29</v>
      </c>
      <c r="R9" s="45" t="s">
        <v>61</v>
      </c>
      <c r="S9" s="99"/>
      <c r="T9" s="173">
        <v>347.73</v>
      </c>
      <c r="U9" s="37">
        <f t="shared" si="4"/>
        <v>0.30716360394559006</v>
      </c>
      <c r="V9" s="17">
        <f>+RANK(U9,$U$4:$U$62)</f>
        <v>26</v>
      </c>
      <c r="W9" s="45" t="s">
        <v>61</v>
      </c>
      <c r="X9" s="48"/>
      <c r="Y9" s="105" t="str">
        <f>_xll.BDP(E9&amp;" EQUITY",$Y$1)</f>
        <v>3/21/2024</v>
      </c>
      <c r="Z9" s="84">
        <f>_xll.BDP(E9&amp;" EQUITY",$Z$1)</f>
        <v>490</v>
      </c>
      <c r="AA9" s="591">
        <f t="shared" si="5"/>
        <v>-7.2367346938775445E-2</v>
      </c>
      <c r="AB9" s="47"/>
      <c r="AC9" s="105" t="str">
        <f>_xll.BDP(E9&amp;" EQUITY",$AC$1)</f>
        <v>10/27/2023</v>
      </c>
      <c r="AD9" s="77">
        <f>_xll.BDP(E9&amp;" EQUITY",$AD$1)</f>
        <v>359.77</v>
      </c>
      <c r="AE9" s="591">
        <f>+G9/AD9-1</f>
        <v>0.26341829502181957</v>
      </c>
      <c r="AF9" s="47"/>
      <c r="AS9"/>
      <c r="AU9"/>
    </row>
    <row r="10" spans="1:47" x14ac:dyDescent="0.25">
      <c r="B10" s="24">
        <f t="shared" si="0"/>
        <v>1.0512537540207449E-2</v>
      </c>
      <c r="C10" s="25">
        <v>1.12E-2</v>
      </c>
      <c r="D10" s="25">
        <f>+M10/$M$67</f>
        <v>2.1712537540207449E-2</v>
      </c>
      <c r="E10" s="3" t="s">
        <v>32</v>
      </c>
      <c r="F10" s="101">
        <v>28000</v>
      </c>
      <c r="G10" s="9">
        <f>_xll.BDP(E10&amp;" EQUITY",$G$1)</f>
        <v>483.03</v>
      </c>
      <c r="H10" s="112">
        <f>_xll.BDP(E10&amp;" EQUITY",$H$1)</f>
        <v>-6.95</v>
      </c>
      <c r="I10" s="127">
        <f>_xll.BDP(E10&amp;" EQUITY",$I$1)*0.01</f>
        <v>-1.4184250000000001E-2</v>
      </c>
      <c r="J10" s="157">
        <f>+RANK(I10,$I$4:$I$62)</f>
        <v>46</v>
      </c>
      <c r="K10" s="161">
        <f t="shared" si="1"/>
        <v>-194600</v>
      </c>
      <c r="L10" s="99"/>
      <c r="M10" s="62">
        <f t="shared" si="2"/>
        <v>13524840</v>
      </c>
      <c r="N10" s="99"/>
      <c r="O10" s="173">
        <v>526.47</v>
      </c>
      <c r="P10" s="37">
        <f t="shared" si="3"/>
        <v>-8.2511824035557679E-2</v>
      </c>
      <c r="Q10" s="102">
        <f>+RANK(P10,$P$4:$P$62)</f>
        <v>43</v>
      </c>
      <c r="R10" s="45"/>
      <c r="S10" s="99"/>
      <c r="T10" s="173">
        <v>530.17999999999995</v>
      </c>
      <c r="U10" s="37">
        <f t="shared" si="4"/>
        <v>-8.8932060809536306E-2</v>
      </c>
      <c r="V10" s="103">
        <f>+RANK(U10,$U$4:$U$62)</f>
        <v>45</v>
      </c>
      <c r="W10" s="45"/>
      <c r="X10" s="48"/>
      <c r="Y10" s="105" t="str">
        <f>_xll.BDP(E10&amp;" EQUITY",$Y$1)</f>
        <v>12/1/2023</v>
      </c>
      <c r="Z10" s="84">
        <f>_xll.BDP(E10&amp;" EQUITY",$Z$1)</f>
        <v>554.70000000000005</v>
      </c>
      <c r="AA10" s="591">
        <f t="shared" si="5"/>
        <v>-0.12920497566252043</v>
      </c>
      <c r="AB10" s="47"/>
      <c r="AC10" s="105" t="str">
        <f>_xll.BDP(E10&amp;" EQUITY",$AC$1)</f>
        <v>4/12/2024</v>
      </c>
      <c r="AD10" s="77">
        <f>_xll.BDP(E10&amp;" EQUITY",$AD$1)</f>
        <v>436.38</v>
      </c>
      <c r="AE10" s="591">
        <f>+G10/AD10-1</f>
        <v>0.10690224116595615</v>
      </c>
      <c r="AF10" s="47"/>
      <c r="AS10"/>
      <c r="AU10"/>
    </row>
    <row r="11" spans="1:47" x14ac:dyDescent="0.25">
      <c r="B11" s="24">
        <f t="shared" si="0"/>
        <v>1.2621236349470178E-2</v>
      </c>
      <c r="C11" s="25">
        <v>1.0500000000000001E-2</v>
      </c>
      <c r="D11" s="25">
        <f>+M11/$M$67</f>
        <v>2.3121236349470178E-2</v>
      </c>
      <c r="E11" s="3" t="s">
        <v>31</v>
      </c>
      <c r="F11" s="29">
        <v>52500</v>
      </c>
      <c r="G11" s="9">
        <f>_xll.BDP(E11&amp;" EQUITY",$G$1)</f>
        <v>274.33</v>
      </c>
      <c r="H11" s="112">
        <f>_xll.BDP(E11&amp;" EQUITY",$H$1)</f>
        <v>-1.97</v>
      </c>
      <c r="I11" s="127">
        <f>_xll.BDP(E11&amp;" EQUITY",$I$1)*0.01</f>
        <v>-7.1299310000000008E-3</v>
      </c>
      <c r="J11" s="157">
        <f>+RANK(I11,$I$4:$I$62)</f>
        <v>37</v>
      </c>
      <c r="K11" s="161">
        <f t="shared" si="1"/>
        <v>-103425</v>
      </c>
      <c r="L11" s="99"/>
      <c r="M11" s="62">
        <f t="shared" si="2"/>
        <v>14402325</v>
      </c>
      <c r="N11" s="99"/>
      <c r="O11" s="173">
        <v>260.35000000000002</v>
      </c>
      <c r="P11" s="37">
        <f t="shared" si="3"/>
        <v>5.369694641828282E-2</v>
      </c>
      <c r="Q11" s="102">
        <f>+RANK(P11,$P$4:$P$62)</f>
        <v>31</v>
      </c>
      <c r="R11" s="45" t="s">
        <v>61</v>
      </c>
      <c r="S11" s="99"/>
      <c r="T11" s="173">
        <v>207.76</v>
      </c>
      <c r="U11" s="37">
        <f t="shared" si="4"/>
        <v>0.32041778975741231</v>
      </c>
      <c r="V11" s="17">
        <f>+RANK(U11,$U$4:$U$62)</f>
        <v>25</v>
      </c>
      <c r="W11" s="45" t="s">
        <v>61</v>
      </c>
      <c r="X11" s="48"/>
      <c r="Y11" s="105" t="str">
        <f>_xll.BDP(E11&amp;" EQUITY",$Y$1)</f>
        <v>3/21/2024</v>
      </c>
      <c r="Z11" s="84">
        <f>_xll.BDP(E11&amp;" EQUITY",$Z$1)</f>
        <v>290.95999999999998</v>
      </c>
      <c r="AA11" s="591">
        <f t="shared" si="5"/>
        <v>-5.7155622766015934E-2</v>
      </c>
      <c r="AB11" s="47"/>
      <c r="AC11" s="105" t="str">
        <f>_xll.BDP(E11&amp;" EQUITY",$AC$1)</f>
        <v>6/28/2023</v>
      </c>
      <c r="AD11" s="77">
        <f>_xll.BDP(E11&amp;" EQUITY",$AD$1)</f>
        <v>226.02</v>
      </c>
      <c r="AE11" s="591">
        <f>+G11/AD11-1</f>
        <v>0.2137421467126801</v>
      </c>
      <c r="AF11" s="47"/>
      <c r="AS11"/>
      <c r="AU11"/>
    </row>
    <row r="12" spans="1:47" x14ac:dyDescent="0.25">
      <c r="B12" s="24">
        <f t="shared" si="0"/>
        <v>1.7232808322914642E-2</v>
      </c>
      <c r="C12" s="25">
        <v>5.1999999999999998E-3</v>
      </c>
      <c r="D12" s="109">
        <f>+M12/$M$67</f>
        <v>2.2432808322914641E-2</v>
      </c>
      <c r="E12" s="3" t="s">
        <v>41</v>
      </c>
      <c r="F12" s="29">
        <v>25000</v>
      </c>
      <c r="G12" s="9">
        <f>_xll.BDP(E12&amp;" EQUITY",$G$1)</f>
        <v>558.94000000000005</v>
      </c>
      <c r="H12" s="112">
        <f>_xll.BDP(E12&amp;" EQUITY",$H$1)</f>
        <v>-7.01</v>
      </c>
      <c r="I12" s="127">
        <f>_xll.BDP(E12&amp;" EQUITY",$I$1)*0.01</f>
        <v>-1.2386250000000001E-2</v>
      </c>
      <c r="J12" s="157">
        <f>+RANK(I12,$I$4:$I$62)</f>
        <v>44</v>
      </c>
      <c r="K12" s="161">
        <f t="shared" si="1"/>
        <v>-175250</v>
      </c>
      <c r="L12" s="99"/>
      <c r="M12" s="62">
        <f t="shared" si="2"/>
        <v>13973500.000000002</v>
      </c>
      <c r="N12" s="99"/>
      <c r="O12" s="173">
        <v>530.79</v>
      </c>
      <c r="P12" s="37">
        <f t="shared" si="3"/>
        <v>5.3034156634450769E-2</v>
      </c>
      <c r="Q12" s="102">
        <f>+RANK(P12,$P$4:$P$62)</f>
        <v>32</v>
      </c>
      <c r="R12" s="45" t="s">
        <v>61</v>
      </c>
      <c r="S12" s="99"/>
      <c r="T12" s="173">
        <v>545.57230000000004</v>
      </c>
      <c r="U12" s="37">
        <f t="shared" si="4"/>
        <v>2.4502160391940642E-2</v>
      </c>
      <c r="V12" s="17">
        <f>+RANK(U12,$U$4:$U$62)</f>
        <v>41</v>
      </c>
      <c r="W12" s="45"/>
      <c r="X12" s="48"/>
      <c r="Y12" s="105" t="str">
        <f>_xll.BDP(E12&amp;" EQUITY",$Y$1)</f>
        <v>3/8/2024</v>
      </c>
      <c r="Z12" s="84">
        <f>_xll.BDP(E12&amp;" EQUITY",$Z$1)</f>
        <v>603.82000000000005</v>
      </c>
      <c r="AA12" s="591">
        <f t="shared" si="5"/>
        <v>-7.4326786128316336E-2</v>
      </c>
      <c r="AB12" s="47"/>
      <c r="AC12" s="105" t="str">
        <f>_xll.BDP(E12&amp;" EQUITY",$AC$1)</f>
        <v>10/25/2023</v>
      </c>
      <c r="AD12" s="77">
        <f>_xll.BDP(E12&amp;" EQUITY",$AD$1)</f>
        <v>415.6</v>
      </c>
      <c r="AE12" s="591">
        <f t="shared" ref="AE12:AE46" si="6">+G12/AD12-1</f>
        <v>0.34489894128970167</v>
      </c>
      <c r="AF12" s="47"/>
      <c r="AS12"/>
      <c r="AU12"/>
    </row>
    <row r="13" spans="1:47" x14ac:dyDescent="0.25">
      <c r="B13" s="24">
        <f t="shared" si="0"/>
        <v>1.429475193371197E-2</v>
      </c>
      <c r="C13" s="25">
        <v>2.8E-3</v>
      </c>
      <c r="D13" s="25">
        <f>+M13/$M$67</f>
        <v>1.7094751933711971E-2</v>
      </c>
      <c r="E13" s="3" t="s">
        <v>110</v>
      </c>
      <c r="F13" s="101">
        <v>20000</v>
      </c>
      <c r="G13" s="9">
        <f>_xll.BDP(E13&amp;" EQUITY",$G$1)</f>
        <v>532.41999999999996</v>
      </c>
      <c r="H13" s="112">
        <f>_xll.BDP(E13&amp;" EQUITY",$H$1)</f>
        <v>-9.2899999999999991</v>
      </c>
      <c r="I13" s="127">
        <f>_xll.BDP(E13&amp;" EQUITY",$I$1)*0.01</f>
        <v>-1.7149399999999999E-2</v>
      </c>
      <c r="J13" s="157">
        <f>+RANK(I13,$I$4:$I$62)</f>
        <v>47</v>
      </c>
      <c r="K13" s="161">
        <f t="shared" si="1"/>
        <v>-185799.99999999997</v>
      </c>
      <c r="L13" s="99"/>
      <c r="M13" s="62">
        <f t="shared" si="2"/>
        <v>10648400</v>
      </c>
      <c r="N13" s="99"/>
      <c r="O13" s="173">
        <v>471.56</v>
      </c>
      <c r="P13" s="37">
        <f t="shared" si="3"/>
        <v>0.129060989057596</v>
      </c>
      <c r="Q13" s="102">
        <f>+RANK(P13,$P$4:$P$62)</f>
        <v>19</v>
      </c>
      <c r="R13" s="45" t="s">
        <v>61</v>
      </c>
      <c r="S13" s="99"/>
      <c r="T13" s="173">
        <v>512.97</v>
      </c>
      <c r="U13" s="37">
        <f t="shared" si="4"/>
        <v>3.7916447355595739E-2</v>
      </c>
      <c r="V13" s="103">
        <f>+RANK(U13,$U$4:$U$62)</f>
        <v>39</v>
      </c>
      <c r="W13" s="45"/>
      <c r="X13" s="48"/>
      <c r="Y13" s="105" t="str">
        <f>_xll.BDP(E13&amp;" EQUITY",$Y$1)</f>
        <v>5/22/2024</v>
      </c>
      <c r="Z13" s="84">
        <f>_xll.BDP(E13&amp;" EQUITY",$Z$1)</f>
        <v>550.34</v>
      </c>
      <c r="AA13" s="591">
        <f t="shared" si="5"/>
        <v>-3.2561689137624139E-2</v>
      </c>
      <c r="AB13" s="47"/>
      <c r="AC13" s="105" t="str">
        <f>_xll.BDP(E13&amp;" EQUITY",$AC$1)</f>
        <v>7/12/2023</v>
      </c>
      <c r="AD13" s="77">
        <f>_xll.BDP(E13&amp;" EQUITY",$AD$1)</f>
        <v>412</v>
      </c>
      <c r="AE13" s="591">
        <f t="shared" si="6"/>
        <v>0.29228155339805806</v>
      </c>
      <c r="AF13" s="47"/>
      <c r="AS13"/>
      <c r="AU13"/>
    </row>
    <row r="14" spans="1:47" x14ac:dyDescent="0.25">
      <c r="B14" s="24">
        <f t="shared" si="0"/>
        <v>1.7077582234911091E-2</v>
      </c>
      <c r="C14" s="25">
        <v>1.1000000000000001E-3</v>
      </c>
      <c r="D14" s="109">
        <f>+M14/$M$67</f>
        <v>1.8177582234911092E-2</v>
      </c>
      <c r="E14" s="3" t="s">
        <v>16</v>
      </c>
      <c r="F14" s="101">
        <v>23000</v>
      </c>
      <c r="G14" s="9">
        <f>_xll.BDP(E14&amp;" EQUITY",$G$1)</f>
        <v>492.3</v>
      </c>
      <c r="H14" s="112">
        <f>_xll.BDP(E14&amp;" EQUITY",$H$1)</f>
        <v>0.81</v>
      </c>
      <c r="I14" s="127">
        <f>_xll.BDP(E14&amp;" EQUITY",$I$1)*0.01</f>
        <v>1.6480500000000001E-3</v>
      </c>
      <c r="J14" s="157">
        <f>+RANK(I14,$I$4:$I$62)</f>
        <v>21</v>
      </c>
      <c r="K14" s="161">
        <f t="shared" si="1"/>
        <v>18630</v>
      </c>
      <c r="L14" s="99"/>
      <c r="M14" s="62">
        <f t="shared" si="2"/>
        <v>11322900</v>
      </c>
      <c r="N14" s="99"/>
      <c r="O14" s="173">
        <v>555.04999999999995</v>
      </c>
      <c r="P14" s="37">
        <f t="shared" si="3"/>
        <v>-0.11305287811908826</v>
      </c>
      <c r="Q14" s="102">
        <f>+RANK(P14,$P$4:$P$62)</f>
        <v>46</v>
      </c>
      <c r="R14" s="45"/>
      <c r="S14" s="99"/>
      <c r="T14" s="173">
        <v>407.96</v>
      </c>
      <c r="U14" s="37">
        <f t="shared" si="4"/>
        <v>0.20673595450534377</v>
      </c>
      <c r="V14" s="102">
        <f>+RANK(U14,$U$4:$U$62)</f>
        <v>30</v>
      </c>
      <c r="W14" s="45" t="s">
        <v>61</v>
      </c>
      <c r="X14" s="48"/>
      <c r="Y14" s="105" t="str">
        <f>_xll.BDP(E14&amp;" EQUITY",$Y$1)</f>
        <v>3/1/2024</v>
      </c>
      <c r="Z14" s="84">
        <f>_xll.BDP(E14&amp;" EQUITY",$Z$1)</f>
        <v>583.39</v>
      </c>
      <c r="AA14" s="591">
        <f t="shared" si="5"/>
        <v>-0.15613911791425972</v>
      </c>
      <c r="AB14" s="47"/>
      <c r="AC14" s="105" t="str">
        <f>_xll.BDP(E14&amp;" EQUITY",$AC$1)</f>
        <v>11/1/2023</v>
      </c>
      <c r="AD14" s="77">
        <f>_xll.BDP(E14&amp;" EQUITY",$AD$1)</f>
        <v>372.5</v>
      </c>
      <c r="AE14" s="591">
        <f t="shared" si="6"/>
        <v>0.3216107382550335</v>
      </c>
      <c r="AF14" s="47"/>
      <c r="AS14"/>
      <c r="AU14"/>
    </row>
    <row r="15" spans="1:47" x14ac:dyDescent="0.25">
      <c r="B15" s="24">
        <f t="shared" si="0"/>
        <v>1.8802251764875932E-2</v>
      </c>
      <c r="C15" s="117">
        <v>1E-4</v>
      </c>
      <c r="D15" s="25">
        <f>+M15/$M$67</f>
        <v>1.8902251764875932E-2</v>
      </c>
      <c r="E15" s="3" t="s">
        <v>14</v>
      </c>
      <c r="F15" s="29">
        <v>95000</v>
      </c>
      <c r="G15" s="9">
        <f>_xll.BDP(E15&amp;" EQUITY",$G$1)</f>
        <v>123.94</v>
      </c>
      <c r="H15" s="112">
        <f>_xll.BDP(E15&amp;" EQUITY",$H$1)</f>
        <v>-1.32</v>
      </c>
      <c r="I15" s="127">
        <f>_xll.BDP(E15&amp;" EQUITY",$I$1)*0.01</f>
        <v>-1.0538080000000002E-2</v>
      </c>
      <c r="J15" s="157">
        <f>+RANK(I15,$I$4:$I$62)</f>
        <v>40</v>
      </c>
      <c r="K15" s="161">
        <f t="shared" si="1"/>
        <v>-125400</v>
      </c>
      <c r="L15" s="99"/>
      <c r="M15" s="62">
        <f t="shared" si="2"/>
        <v>11774300</v>
      </c>
      <c r="N15" s="99"/>
      <c r="O15" s="173">
        <v>130.91999999999999</v>
      </c>
      <c r="P15" s="37">
        <f t="shared" si="3"/>
        <v>-5.3315001527650452E-2</v>
      </c>
      <c r="Q15" s="102">
        <f>+RANK(P15,$P$4:$P$62)</f>
        <v>40</v>
      </c>
      <c r="R15" s="45"/>
      <c r="S15" s="99"/>
      <c r="T15" s="173">
        <v>74.19</v>
      </c>
      <c r="U15" s="37">
        <f t="shared" si="4"/>
        <v>0.67057554926539975</v>
      </c>
      <c r="V15" s="102">
        <f>+RANK(U15,$U$4:$U$62)</f>
        <v>15</v>
      </c>
      <c r="W15" s="45" t="s">
        <v>61</v>
      </c>
      <c r="X15" s="48"/>
      <c r="Y15" s="105" t="str">
        <f>_xll.BDP(E15&amp;" EQUITY",$Y$1)</f>
        <v>3/21/2024</v>
      </c>
      <c r="Z15" s="84">
        <f>_xll.BDP(E15&amp;" EQUITY",$Z$1)</f>
        <v>133.56</v>
      </c>
      <c r="AA15" s="591">
        <f t="shared" si="5"/>
        <v>-7.202755315962861E-2</v>
      </c>
      <c r="AB15" s="47"/>
      <c r="AC15" s="105" t="str">
        <f>_xll.BDP(E15&amp;" EQUITY",$AC$1)</f>
        <v>6/26/2023</v>
      </c>
      <c r="AD15" s="77">
        <f>_xll.BDP(E15&amp;" EQUITY",$AD$1)</f>
        <v>87.59</v>
      </c>
      <c r="AE15" s="591">
        <f t="shared" si="6"/>
        <v>0.41500171252426066</v>
      </c>
      <c r="AF15" s="47"/>
      <c r="AS15"/>
      <c r="AU15"/>
    </row>
    <row r="16" spans="1:47" x14ac:dyDescent="0.25">
      <c r="B16" s="24">
        <f t="shared" si="0"/>
        <v>1.5852628856514867E-2</v>
      </c>
      <c r="C16" s="25">
        <v>7.4000000000000003E-3</v>
      </c>
      <c r="D16" s="109">
        <f>+M16/$M$67</f>
        <v>2.3252628856514867E-2</v>
      </c>
      <c r="E16" s="3" t="s">
        <v>43</v>
      </c>
      <c r="F16" s="101">
        <v>17000</v>
      </c>
      <c r="G16" s="9">
        <f>_xll.BDP(E16&amp;" EQUITY",$G$1)</f>
        <v>852.01</v>
      </c>
      <c r="H16" s="112">
        <f>_xll.BDP(E16&amp;" EQUITY",$H$1)</f>
        <v>3.85</v>
      </c>
      <c r="I16" s="127">
        <f>_xll.BDP(E16&amp;" EQUITY",$I$1)*0.01</f>
        <v>4.5392380000000001E-3</v>
      </c>
      <c r="J16" s="157">
        <f>+RANK(I16,$I$4:$I$62)</f>
        <v>15</v>
      </c>
      <c r="K16" s="161">
        <f t="shared" si="1"/>
        <v>65450</v>
      </c>
      <c r="L16" s="99"/>
      <c r="M16" s="62">
        <f t="shared" si="2"/>
        <v>14484170</v>
      </c>
      <c r="N16" s="99"/>
      <c r="O16" s="173">
        <v>660.08</v>
      </c>
      <c r="P16" s="37">
        <f t="shared" si="3"/>
        <v>0.29076778572294248</v>
      </c>
      <c r="Q16" s="102">
        <f>+RANK(P16,$P$4:$P$62)</f>
        <v>7</v>
      </c>
      <c r="R16" s="45" t="s">
        <v>61</v>
      </c>
      <c r="S16" s="99"/>
      <c r="T16" s="173">
        <v>456.5</v>
      </c>
      <c r="U16" s="37">
        <f t="shared" si="4"/>
        <v>0.86639649507119376</v>
      </c>
      <c r="V16" s="102">
        <f>+RANK(U16,$U$4:$U$62)</f>
        <v>12</v>
      </c>
      <c r="W16" s="45" t="s">
        <v>61</v>
      </c>
      <c r="X16" s="48"/>
      <c r="Y16" s="105" t="str">
        <f>_xll.BDP(E16&amp;" EQUITY",$Y$1)</f>
        <v>6/18/2024</v>
      </c>
      <c r="Z16" s="84">
        <f>_xll.BDP(E16&amp;" EQUITY",$Z$1)</f>
        <v>873.96</v>
      </c>
      <c r="AA16" s="591">
        <f t="shared" si="5"/>
        <v>-2.5115565929790917E-2</v>
      </c>
      <c r="AB16" s="47"/>
      <c r="AC16" s="105" t="str">
        <f>_xll.BDP(E16&amp;" EQUITY",$AC$1)</f>
        <v>6/26/2023</v>
      </c>
      <c r="AD16" s="77">
        <f>_xll.BDP(E16&amp;" EQUITY",$AD$1)</f>
        <v>509.67</v>
      </c>
      <c r="AE16" s="591">
        <f t="shared" si="6"/>
        <v>0.67168952459434528</v>
      </c>
      <c r="AF16" s="47"/>
      <c r="AS16"/>
      <c r="AU16"/>
    </row>
    <row r="17" spans="2:47" x14ac:dyDescent="0.25">
      <c r="B17" s="24">
        <f t="shared" si="0"/>
        <v>1.1993096905858973E-2</v>
      </c>
      <c r="C17" s="85">
        <v>5.3E-3</v>
      </c>
      <c r="D17" s="25">
        <f>+M17/$M$67</f>
        <v>1.7293096905858972E-2</v>
      </c>
      <c r="E17" s="3" t="s">
        <v>307</v>
      </c>
      <c r="F17" s="101">
        <v>35000</v>
      </c>
      <c r="G17" s="9">
        <f>_xll.BDP(E17&amp;" EQUITY",$G$1)</f>
        <v>307.77</v>
      </c>
      <c r="H17" s="112">
        <f>_xll.BDP(E17&amp;" EQUITY",$H$1)</f>
        <v>0.56000000000000005</v>
      </c>
      <c r="I17" s="127">
        <f>_xll.BDP(E17&amp;" EQUITY",$I$1)*0.01</f>
        <v>1.822857E-3</v>
      </c>
      <c r="J17" s="157">
        <f>+RANK(I17,$I$4:$I$62)</f>
        <v>19</v>
      </c>
      <c r="K17" s="161">
        <f t="shared" si="1"/>
        <v>19600.000000000004</v>
      </c>
      <c r="L17" s="99"/>
      <c r="M17" s="62">
        <f t="shared" si="2"/>
        <v>10771950</v>
      </c>
      <c r="N17" s="99"/>
      <c r="O17" s="173">
        <v>350.91</v>
      </c>
      <c r="P17" s="37">
        <f t="shared" si="3"/>
        <v>-0.12293750534325054</v>
      </c>
      <c r="Q17" s="102">
        <f>+RANK(P17,$P$4:$P$62)</f>
        <v>47</v>
      </c>
      <c r="R17" s="45"/>
      <c r="S17" s="99"/>
      <c r="T17" s="173">
        <v>266.83999999999997</v>
      </c>
      <c r="U17" s="37">
        <f t="shared" si="4"/>
        <v>0.15338779793134472</v>
      </c>
      <c r="V17" s="17">
        <f>+RANK(U17,$U$4:$U$62)</f>
        <v>33</v>
      </c>
      <c r="W17" s="45" t="s">
        <v>61</v>
      </c>
      <c r="X17" s="48"/>
      <c r="Y17" s="108">
        <v>44559</v>
      </c>
      <c r="Z17" s="84">
        <v>417.37</v>
      </c>
      <c r="AA17" s="591">
        <f t="shared" si="5"/>
        <v>-0.2625967367084362</v>
      </c>
      <c r="AB17" s="47"/>
      <c r="AC17" s="105" t="str">
        <f>_xll.BDP(E17&amp;" EQUITY",$AC$1)</f>
        <v>5/31/2024</v>
      </c>
      <c r="AD17" s="77">
        <f>_xll.BDP(E17&amp;" EQUITY",$AD$1)</f>
        <v>278.69</v>
      </c>
      <c r="AE17" s="591">
        <f t="shared" si="6"/>
        <v>0.10434532993648848</v>
      </c>
      <c r="AF17" s="47"/>
      <c r="AS17"/>
      <c r="AU17"/>
    </row>
    <row r="18" spans="2:47" x14ac:dyDescent="0.25">
      <c r="B18" s="24">
        <f t="shared" si="0"/>
        <v>-1.3087480269902793E-2</v>
      </c>
      <c r="C18" s="440">
        <v>3.7199999999999997E-2</v>
      </c>
      <c r="D18" s="441">
        <f>+M18/$M$67</f>
        <v>2.4112519730097204E-2</v>
      </c>
      <c r="E18" s="3" t="s">
        <v>485</v>
      </c>
      <c r="F18" s="101">
        <v>120000</v>
      </c>
      <c r="G18" s="9">
        <f>_xll.BDP(E18&amp;" EQUITY",$G$1)</f>
        <v>125.16500000000001</v>
      </c>
      <c r="H18" s="112">
        <f>_xll.BDP(E18&amp;" EQUITY",$H$1)</f>
        <v>7.0549999999999997</v>
      </c>
      <c r="I18" s="127">
        <f>_xll.BDP(E18&amp;" EQUITY",$I$1)*0.01</f>
        <v>5.9732450000000006E-2</v>
      </c>
      <c r="J18" s="157">
        <f>+RANK(I18,$I$4:$I$62)</f>
        <v>1</v>
      </c>
      <c r="K18" s="161">
        <f t="shared" si="1"/>
        <v>846600</v>
      </c>
      <c r="L18" s="99"/>
      <c r="M18" s="62">
        <f t="shared" si="2"/>
        <v>15019800</v>
      </c>
      <c r="N18" s="99"/>
      <c r="O18" s="173">
        <f>495.22/10</f>
        <v>49.522000000000006</v>
      </c>
      <c r="P18" s="37">
        <f t="shared" si="3"/>
        <v>1.5274625419005692</v>
      </c>
      <c r="Q18" s="102">
        <f>+RANK(P18,$P$4:$P$62)</f>
        <v>1</v>
      </c>
      <c r="R18" s="45" t="s">
        <v>61</v>
      </c>
      <c r="S18" s="99"/>
      <c r="T18" s="173">
        <v>14</v>
      </c>
      <c r="U18" s="37">
        <f t="shared" si="4"/>
        <v>7.9403571428571436</v>
      </c>
      <c r="V18" s="103">
        <f>+RANK(U18,$U$4:$U$62)</f>
        <v>1</v>
      </c>
      <c r="W18" s="45" t="s">
        <v>61</v>
      </c>
      <c r="X18" s="48"/>
      <c r="Y18" s="105" t="str">
        <f>_xll.BDP(E18&amp;" EQUITY",$Y$1)</f>
        <v>6/20/2024</v>
      </c>
      <c r="Z18" s="84">
        <f>_xll.BDP(E18&amp;" EQUITY",$Z$1)</f>
        <v>140.76</v>
      </c>
      <c r="AA18" s="591">
        <f t="shared" si="5"/>
        <v>-0.11079141801648185</v>
      </c>
      <c r="AB18" s="47"/>
      <c r="AC18" s="105" t="str">
        <f>_xll.BDP(E18&amp;" EQUITY",$AC$1)</f>
        <v>10/31/2023</v>
      </c>
      <c r="AD18" s="77">
        <f>_xll.BDP(E18&amp;" EQUITY",$AD$1)</f>
        <v>39.229999999999997</v>
      </c>
      <c r="AE18" s="591">
        <f t="shared" si="6"/>
        <v>2.190542951822585</v>
      </c>
      <c r="AF18" s="47"/>
      <c r="AS18"/>
      <c r="AU18"/>
    </row>
    <row r="19" spans="2:47" x14ac:dyDescent="0.25">
      <c r="B19" s="24">
        <f t="shared" si="0"/>
        <v>1.2703581535871488E-2</v>
      </c>
      <c r="C19" s="25">
        <v>4.4000000000000003E-3</v>
      </c>
      <c r="D19" s="25">
        <f>+M19/$M$67</f>
        <v>1.7103581535871489E-2</v>
      </c>
      <c r="E19" s="3" t="s">
        <v>21</v>
      </c>
      <c r="F19" s="101">
        <v>17000</v>
      </c>
      <c r="G19" s="9">
        <f>_xll.BDP(E19&amp;" EQUITY",$G$1)</f>
        <v>626.70000000000005</v>
      </c>
      <c r="H19" s="112">
        <f>_xll.BDP(E19&amp;" EQUITY",$H$1)</f>
        <v>2.82</v>
      </c>
      <c r="I19" s="127">
        <f>_xll.BDP(E19&amp;" EQUITY",$I$1)*0.01</f>
        <v>4.5201E-3</v>
      </c>
      <c r="J19" s="157">
        <f>+RANK(I19,$I$4:$I$62)</f>
        <v>16</v>
      </c>
      <c r="K19" s="161">
        <f t="shared" si="1"/>
        <v>47940</v>
      </c>
      <c r="L19" s="99"/>
      <c r="M19" s="62">
        <f t="shared" si="2"/>
        <v>10653900</v>
      </c>
      <c r="N19" s="99"/>
      <c r="O19" s="173">
        <v>625.03</v>
      </c>
      <c r="P19" s="37">
        <f t="shared" si="3"/>
        <v>2.6718717501561517E-3</v>
      </c>
      <c r="Q19" s="102">
        <f>+RANK(P19,$P$4:$P$62)</f>
        <v>37</v>
      </c>
      <c r="R19" s="45" t="s">
        <v>61</v>
      </c>
      <c r="S19" s="99"/>
      <c r="T19" s="173">
        <v>389.22</v>
      </c>
      <c r="U19" s="37">
        <f t="shared" si="4"/>
        <v>0.61014336365037769</v>
      </c>
      <c r="V19" s="102">
        <f>+RANK(U19,$U$4:$U$62)</f>
        <v>18</v>
      </c>
      <c r="W19" s="45" t="s">
        <v>61</v>
      </c>
      <c r="X19" s="48"/>
      <c r="Y19" s="105" t="str">
        <f>_xll.BDP(E19&amp;" EQUITY",$Y$1)</f>
        <v>5/23/2024</v>
      </c>
      <c r="Z19" s="84">
        <f>_xll.BDP(E19&amp;" EQUITY",$Z$1)</f>
        <v>676.62</v>
      </c>
      <c r="AA19" s="591">
        <f t="shared" si="5"/>
        <v>-7.3778487186308306E-2</v>
      </c>
      <c r="AB19" s="47"/>
      <c r="AC19" s="105" t="str">
        <f>_xll.BDP(E19&amp;" EQUITY",$AC$1)</f>
        <v>7/6/2023</v>
      </c>
      <c r="AD19" s="77">
        <f>_xll.BDP(E19&amp;" EQUITY",$AD$1)</f>
        <v>444.19</v>
      </c>
      <c r="AE19" s="591">
        <f t="shared" si="6"/>
        <v>0.41088273036313305</v>
      </c>
      <c r="AF19" s="47"/>
      <c r="AS19"/>
      <c r="AU19"/>
    </row>
    <row r="20" spans="2:47" x14ac:dyDescent="0.25">
      <c r="B20" s="24">
        <f t="shared" si="0"/>
        <v>1.3502408864769661E-2</v>
      </c>
      <c r="C20" s="25">
        <v>3.7000000000000002E-3</v>
      </c>
      <c r="D20" s="109">
        <f>+M20/$M$67</f>
        <v>1.7202408864769661E-2</v>
      </c>
      <c r="E20" s="3" t="s">
        <v>39</v>
      </c>
      <c r="F20" s="29">
        <v>42000</v>
      </c>
      <c r="G20" s="9">
        <f>_xll.BDP(E20&amp;" EQUITY",$G$1)</f>
        <v>255.13</v>
      </c>
      <c r="H20" s="112">
        <f>_xll.BDP(E20&amp;" EQUITY",$H$1)</f>
        <v>-1.63</v>
      </c>
      <c r="I20" s="127">
        <f>_xll.BDP(E20&amp;" EQUITY",$I$1)*0.01</f>
        <v>-6.3483409999999995E-3</v>
      </c>
      <c r="J20" s="157">
        <f>+RANK(I20,$I$4:$I$62)</f>
        <v>35</v>
      </c>
      <c r="K20" s="161">
        <f t="shared" si="1"/>
        <v>-68460</v>
      </c>
      <c r="L20" s="99"/>
      <c r="M20" s="62">
        <f t="shared" si="2"/>
        <v>10715460</v>
      </c>
      <c r="N20" s="99"/>
      <c r="O20" s="173">
        <v>231.34</v>
      </c>
      <c r="P20" s="37">
        <f t="shared" si="3"/>
        <v>0.10283565315120602</v>
      </c>
      <c r="Q20" s="102">
        <f>+RANK(P20,$P$4:$P$62)</f>
        <v>22</v>
      </c>
      <c r="R20" s="45" t="s">
        <v>61</v>
      </c>
      <c r="S20" s="99"/>
      <c r="T20" s="173">
        <v>265.42</v>
      </c>
      <c r="U20" s="37">
        <f t="shared" si="4"/>
        <v>-3.8768743877627965E-2</v>
      </c>
      <c r="V20" s="103">
        <f>+RANK(U20,$U$4:$U$62)</f>
        <v>43</v>
      </c>
      <c r="W20" s="45"/>
      <c r="X20" s="48"/>
      <c r="Y20" s="105" t="str">
        <f>_xll.BDP(E20&amp;" EQUITY",$Y$1)</f>
        <v>6/6/2024</v>
      </c>
      <c r="Z20" s="84">
        <f>_xll.BDP(E20&amp;" EQUITY",$Z$1)</f>
        <v>269.11</v>
      </c>
      <c r="AA20" s="591">
        <f t="shared" si="5"/>
        <v>-5.1949017130541453E-2</v>
      </c>
      <c r="AB20" s="47"/>
      <c r="AC20" s="105" t="str">
        <f>_xll.BDP(E20&amp;" EQUITY",$AC$1)</f>
        <v>10/30/2023</v>
      </c>
      <c r="AD20" s="77">
        <f>_xll.BDP(E20&amp;" EQUITY",$AD$1)</f>
        <v>182.09</v>
      </c>
      <c r="AE20" s="591">
        <f t="shared" si="6"/>
        <v>0.40112032511395457</v>
      </c>
      <c r="AF20" s="47"/>
      <c r="AS20"/>
      <c r="AU20"/>
    </row>
    <row r="21" spans="2:47" x14ac:dyDescent="0.25">
      <c r="B21" s="24">
        <f t="shared" si="0"/>
        <v>1.5178002602637615E-2</v>
      </c>
      <c r="C21" s="25">
        <v>2.5999999999999999E-3</v>
      </c>
      <c r="D21" s="25">
        <f>+M21/$M$67</f>
        <v>1.7778002602637615E-2</v>
      </c>
      <c r="E21" s="3" t="s">
        <v>6</v>
      </c>
      <c r="F21" s="101">
        <v>100000</v>
      </c>
      <c r="G21" s="9">
        <f>_xll.BDP(E21&amp;" EQUITY",$G$1)</f>
        <v>110.74</v>
      </c>
      <c r="H21" s="112">
        <f>_xll.BDP(E21&amp;" EQUITY",$H$1)</f>
        <v>-0.31</v>
      </c>
      <c r="I21" s="127">
        <f>_xll.BDP(E21&amp;" EQUITY",$I$1)*0.01</f>
        <v>-2.7915349999999999E-3</v>
      </c>
      <c r="J21" s="157">
        <f>+RANK(I21,$I$4:$I$62)</f>
        <v>26</v>
      </c>
      <c r="K21" s="161">
        <f t="shared" si="1"/>
        <v>-31000</v>
      </c>
      <c r="L21" s="99"/>
      <c r="M21" s="62">
        <f t="shared" si="2"/>
        <v>11074000</v>
      </c>
      <c r="N21" s="99"/>
      <c r="O21" s="173">
        <v>93.81</v>
      </c>
      <c r="P21" s="37">
        <f t="shared" si="3"/>
        <v>0.18047116512098915</v>
      </c>
      <c r="Q21" s="102">
        <f>+RANK(P21,$P$4:$P$62)</f>
        <v>14</v>
      </c>
      <c r="R21" s="45" t="s">
        <v>61</v>
      </c>
      <c r="S21" s="99"/>
      <c r="T21" s="173">
        <v>79.599999999999994</v>
      </c>
      <c r="U21" s="37">
        <f t="shared" si="4"/>
        <v>0.39120603015075384</v>
      </c>
      <c r="V21" s="17">
        <f>+RANK(U21,$U$4:$U$62)</f>
        <v>23</v>
      </c>
      <c r="W21" s="45" t="s">
        <v>61</v>
      </c>
      <c r="X21" s="48"/>
      <c r="Y21" s="105" t="str">
        <f>_xll.BDP(E21&amp;" EQUITY",$Y$1)</f>
        <v>6/24/2024</v>
      </c>
      <c r="Z21" s="84">
        <f>_xll.BDP(E21&amp;" EQUITY",$Z$1)</f>
        <v>111.565</v>
      </c>
      <c r="AA21" s="591">
        <f t="shared" si="5"/>
        <v>-7.3947922735625449E-3</v>
      </c>
      <c r="AB21" s="47"/>
      <c r="AC21" s="105" t="str">
        <f>_xll.BDP(E21&amp;" EQUITY",$AC$1)</f>
        <v>6/26/2023</v>
      </c>
      <c r="AD21" s="77">
        <f>_xll.BDP(E21&amp;" EQUITY",$AD$1)</f>
        <v>81.650000000000006</v>
      </c>
      <c r="AE21" s="591">
        <f t="shared" si="6"/>
        <v>0.35627679118187361</v>
      </c>
      <c r="AF21" s="47"/>
      <c r="AS21"/>
      <c r="AU21"/>
    </row>
    <row r="22" spans="2:47" x14ac:dyDescent="0.25">
      <c r="B22" s="24">
        <f t="shared" si="0"/>
        <v>1.2284927538806313E-2</v>
      </c>
      <c r="C22" s="25">
        <v>4.0000000000000002E-4</v>
      </c>
      <c r="D22" s="25">
        <f>+M22/$M$67</f>
        <v>1.2684927538806312E-2</v>
      </c>
      <c r="E22" s="3" t="s">
        <v>26</v>
      </c>
      <c r="F22" s="101">
        <v>25000</v>
      </c>
      <c r="G22" s="9">
        <f>_xll.BDP(E22&amp;" EQUITY",$G$1)</f>
        <v>316.06</v>
      </c>
      <c r="H22" s="112">
        <f>_xll.BDP(E22&amp;" EQUITY",$H$1)</f>
        <v>-21.85</v>
      </c>
      <c r="I22" s="127">
        <f>_xll.BDP(E22&amp;" EQUITY",$I$1)*0.01</f>
        <v>-6.4662189999999994E-2</v>
      </c>
      <c r="J22" s="157">
        <f>+RANK(I22,$I$4:$I$62)</f>
        <v>51</v>
      </c>
      <c r="K22" s="161">
        <f t="shared" si="1"/>
        <v>-546250</v>
      </c>
      <c r="L22" s="99"/>
      <c r="M22" s="62">
        <f t="shared" si="2"/>
        <v>7901500</v>
      </c>
      <c r="N22" s="99"/>
      <c r="O22" s="173">
        <v>398.71</v>
      </c>
      <c r="P22" s="37">
        <f t="shared" si="3"/>
        <v>-0.20729352160718317</v>
      </c>
      <c r="Q22" s="102">
        <f>+RANK(P22,$P$4:$P$62)</f>
        <v>49</v>
      </c>
      <c r="R22" s="45"/>
      <c r="S22" s="99"/>
      <c r="T22" s="173">
        <v>302.33</v>
      </c>
      <c r="U22" s="37">
        <f t="shared" si="4"/>
        <v>4.5413951642245376E-2</v>
      </c>
      <c r="V22" s="102">
        <f>+RANK(U22,$U$4:$U$62)</f>
        <v>37</v>
      </c>
      <c r="W22" s="45" t="s">
        <v>61</v>
      </c>
      <c r="X22" s="48"/>
      <c r="Y22" s="105" t="str">
        <f>_xll.BDP(E22&amp;" EQUITY",$Y$1)</f>
        <v>3/8/2024</v>
      </c>
      <c r="Z22" s="84">
        <f>_xll.BDP(E22&amp;" EQUITY",$Z$1)</f>
        <v>422.73</v>
      </c>
      <c r="AA22" s="591">
        <f t="shared" si="5"/>
        <v>-0.25233600643436715</v>
      </c>
      <c r="AB22" s="47"/>
      <c r="AC22" s="105" t="str">
        <f>_xll.BDP(E22&amp;" EQUITY",$AC$1)</f>
        <v>6/25/2024</v>
      </c>
      <c r="AD22" s="77">
        <f>_xll.BDP(E22&amp;" EQUITY",$AD$1)</f>
        <v>299.24</v>
      </c>
      <c r="AE22" s="591">
        <f t="shared" si="6"/>
        <v>5.6209062959497347E-2</v>
      </c>
      <c r="AF22" s="47"/>
      <c r="AS22"/>
      <c r="AU22"/>
    </row>
    <row r="23" spans="2:47" x14ac:dyDescent="0.25">
      <c r="B23" s="24">
        <f t="shared" si="0"/>
        <v>1.4739427024399711E-2</v>
      </c>
      <c r="C23" s="25">
        <v>5.9999999999999995E-4</v>
      </c>
      <c r="D23" s="25">
        <f>+M23/$M$67</f>
        <v>1.5339427024399711E-2</v>
      </c>
      <c r="E23" s="3" t="s">
        <v>22</v>
      </c>
      <c r="F23" s="101">
        <v>70000</v>
      </c>
      <c r="G23" s="9">
        <f>_xll.BDP(E23&amp;" EQUITY",$G$1)</f>
        <v>136.5</v>
      </c>
      <c r="H23" s="112">
        <f>_xll.BDP(E23&amp;" EQUITY",$H$1)</f>
        <v>-1.84</v>
      </c>
      <c r="I23" s="127">
        <f>_xll.BDP(E23&amp;" EQUITY",$I$1)*0.01</f>
        <v>-1.3300559999999999E-2</v>
      </c>
      <c r="J23" s="157">
        <f>+RANK(I23,$I$4:$I$62)</f>
        <v>45</v>
      </c>
      <c r="K23" s="161">
        <f t="shared" si="1"/>
        <v>-128800</v>
      </c>
      <c r="L23" s="99"/>
      <c r="M23" s="62">
        <f t="shared" si="2"/>
        <v>9555000</v>
      </c>
      <c r="N23" s="99"/>
      <c r="O23" s="173">
        <v>114.36</v>
      </c>
      <c r="P23" s="37">
        <f t="shared" si="3"/>
        <v>0.1935991605456453</v>
      </c>
      <c r="Q23" s="102">
        <f>+RANK(P23,$P$4:$P$62)</f>
        <v>13</v>
      </c>
      <c r="R23" s="45" t="s">
        <v>61</v>
      </c>
      <c r="S23" s="99"/>
      <c r="T23" s="173">
        <v>110.57</v>
      </c>
      <c r="U23" s="37">
        <f t="shared" si="4"/>
        <v>0.23451207379940309</v>
      </c>
      <c r="V23" s="103">
        <f>+RANK(U23,$U$4:$U$62)</f>
        <v>28</v>
      </c>
      <c r="W23" s="45"/>
      <c r="X23" s="48"/>
      <c r="Y23" s="105" t="str">
        <f>_xll.BDP(E23&amp;" EQUITY",$Y$1)</f>
        <v>5/21/2024</v>
      </c>
      <c r="Z23" s="84">
        <f>_xll.BDP(E23&amp;" EQUITY",$Z$1)</f>
        <v>146.08000000000001</v>
      </c>
      <c r="AA23" s="591">
        <f t="shared" si="5"/>
        <v>-6.5580503833515991E-2</v>
      </c>
      <c r="AB23" s="47"/>
      <c r="AC23" s="105" t="str">
        <f>_xll.BDP(E23&amp;" EQUITY",$AC$1)</f>
        <v>10/30/2023</v>
      </c>
      <c r="AD23" s="77">
        <f>_xll.BDP(E23&amp;" EQUITY",$AD$1)</f>
        <v>87.59</v>
      </c>
      <c r="AE23" s="591">
        <f t="shared" si="6"/>
        <v>0.55839707729192822</v>
      </c>
      <c r="AF23" s="47"/>
      <c r="AS23"/>
      <c r="AU23"/>
    </row>
    <row r="24" spans="2:47" x14ac:dyDescent="0.25">
      <c r="B24" s="24">
        <f t="shared" si="0"/>
        <v>1.061E-2</v>
      </c>
      <c r="C24" s="25">
        <v>5.9999999999999995E-4</v>
      </c>
      <c r="D24" s="25">
        <v>1.1209999999999999E-2</v>
      </c>
      <c r="E24" s="3" t="s">
        <v>4</v>
      </c>
      <c r="F24" s="101">
        <v>20000</v>
      </c>
      <c r="G24" s="9">
        <f>_xll.BDP(E24&amp;" EQUITY",$G$1)</f>
        <v>387.80700000000002</v>
      </c>
      <c r="H24" s="112">
        <f>_xll.BDP(E24&amp;" EQUITY",$H$1)</f>
        <v>-1.9132</v>
      </c>
      <c r="I24" s="127">
        <f>_xll.BDP(E24&amp;" EQUITY",$I$1)*0.01</f>
        <v>-4.9091659999999995E-3</v>
      </c>
      <c r="J24" s="157">
        <f>+RANK(I24,$I$4:$I$62)</f>
        <v>31</v>
      </c>
      <c r="K24" s="161">
        <f t="shared" si="1"/>
        <v>-38264</v>
      </c>
      <c r="L24" s="99"/>
      <c r="M24" s="62">
        <f t="shared" si="2"/>
        <v>7756140</v>
      </c>
      <c r="N24" s="99"/>
      <c r="O24" s="173">
        <v>489.99</v>
      </c>
      <c r="P24" s="37">
        <f t="shared" si="3"/>
        <v>-0.2085409906324619</v>
      </c>
      <c r="Q24" s="102">
        <f>+RANK(P24,$P$4:$P$62)</f>
        <v>50</v>
      </c>
      <c r="R24" s="45"/>
      <c r="S24" s="99"/>
      <c r="T24" s="173">
        <v>469.07</v>
      </c>
      <c r="U24" s="37">
        <f t="shared" si="4"/>
        <v>-0.17324279958215183</v>
      </c>
      <c r="V24" s="17">
        <f>+RANK(U24,$U$4:$U$62)</f>
        <v>49</v>
      </c>
      <c r="W24" s="45"/>
      <c r="X24" s="48"/>
      <c r="Y24" s="105" t="str">
        <f>_xll.BDP(E24&amp;" EQUITY",$Y$1)</f>
        <v>3/14/2024</v>
      </c>
      <c r="Z24" s="84">
        <f>_xll.BDP(E24&amp;" EQUITY",$Z$1)</f>
        <v>574.76</v>
      </c>
      <c r="AA24" s="591">
        <f t="shared" si="5"/>
        <v>-0.32527141763518685</v>
      </c>
      <c r="AB24" s="47"/>
      <c r="AC24" s="105" t="str">
        <f>_xll.BDP(E24&amp;" EQUITY",$AC$1)</f>
        <v>10/23/2023</v>
      </c>
      <c r="AD24" s="77">
        <f>_xll.BDP(E24&amp;" EQUITY",$AD$1)</f>
        <v>368.02</v>
      </c>
      <c r="AE24" s="591">
        <f t="shared" si="6"/>
        <v>5.3766099668496325E-2</v>
      </c>
      <c r="AF24" s="47"/>
      <c r="AS24"/>
      <c r="AU24"/>
    </row>
    <row r="25" spans="2:47" x14ac:dyDescent="0.25">
      <c r="B25" s="24">
        <f t="shared" si="0"/>
        <v>1.3150771882014731E-2</v>
      </c>
      <c r="C25" s="25">
        <v>2.8999999999999998E-3</v>
      </c>
      <c r="D25" s="25">
        <f>+M25/$M$67</f>
        <v>1.605077188201473E-2</v>
      </c>
      <c r="E25" s="3" t="s">
        <v>19</v>
      </c>
      <c r="F25" s="101">
        <v>23000</v>
      </c>
      <c r="G25" s="9">
        <f>_xll.BDP(E25&amp;" EQUITY",$G$1)</f>
        <v>434.7</v>
      </c>
      <c r="H25" s="112">
        <f>_xll.BDP(E25&amp;" EQUITY",$H$1)</f>
        <v>5.66</v>
      </c>
      <c r="I25" s="127">
        <f>_xll.BDP(E25&amp;" EQUITY",$I$1)*0.01</f>
        <v>1.3192239999999999E-2</v>
      </c>
      <c r="J25" s="157">
        <f>+RANK(I25,$I$4:$I$62)</f>
        <v>11</v>
      </c>
      <c r="K25" s="161">
        <f t="shared" si="1"/>
        <v>130180</v>
      </c>
      <c r="L25" s="99"/>
      <c r="M25" s="62">
        <f t="shared" si="2"/>
        <v>9998100</v>
      </c>
      <c r="N25" s="99"/>
      <c r="O25" s="173">
        <v>337.36</v>
      </c>
      <c r="P25" s="37">
        <f t="shared" si="3"/>
        <v>0.28853450320132779</v>
      </c>
      <c r="Q25" s="102">
        <f>+RANK(P25,$P$4:$P$62)</f>
        <v>8</v>
      </c>
      <c r="R25" s="45" t="s">
        <v>61</v>
      </c>
      <c r="S25" s="99"/>
      <c r="T25" s="173">
        <v>265.35000000000002</v>
      </c>
      <c r="U25" s="37">
        <f t="shared" si="4"/>
        <v>0.63821368004522316</v>
      </c>
      <c r="V25" s="17">
        <f>+RANK(U25,$U$4:$U$62)</f>
        <v>16</v>
      </c>
      <c r="W25" s="45" t="s">
        <v>61</v>
      </c>
      <c r="X25" s="48"/>
      <c r="Y25" s="105" t="str">
        <f>_xll.BDP(E25&amp;" EQUITY",$Y$1)</f>
        <v>6/20/2024</v>
      </c>
      <c r="Z25" s="84">
        <f>_xll.BDP(E25&amp;" EQUITY",$Z$1)</f>
        <v>437.2</v>
      </c>
      <c r="AA25" s="591">
        <f t="shared" si="5"/>
        <v>-5.7182067703568373E-3</v>
      </c>
      <c r="AB25" s="47"/>
      <c r="AC25" s="105" t="str">
        <f>_xll.BDP(E25&amp;" EQUITY",$AC$1)</f>
        <v>10/30/2023</v>
      </c>
      <c r="AD25" s="77">
        <f>_xll.BDP(E25&amp;" EQUITY",$AD$1)</f>
        <v>254.85</v>
      </c>
      <c r="AE25" s="591">
        <f t="shared" si="6"/>
        <v>0.70570924072984109</v>
      </c>
      <c r="AF25" s="47"/>
      <c r="AS25"/>
      <c r="AU25"/>
    </row>
    <row r="26" spans="2:47" x14ac:dyDescent="0.25">
      <c r="B26" s="24">
        <f t="shared" si="0"/>
        <v>1.3076437763150489E-2</v>
      </c>
      <c r="C26" s="25">
        <v>1.4E-3</v>
      </c>
      <c r="D26" s="25">
        <f>+M26/$M$67</f>
        <v>1.4476437763150489E-2</v>
      </c>
      <c r="E26" s="3" t="s">
        <v>30</v>
      </c>
      <c r="F26" s="101">
        <v>16000</v>
      </c>
      <c r="G26" s="9">
        <f>_xll.BDP(E26&amp;" EQUITY",$G$1)</f>
        <v>563.59</v>
      </c>
      <c r="H26" s="112">
        <f>_xll.BDP(E26&amp;" EQUITY",$H$1)</f>
        <v>1.04</v>
      </c>
      <c r="I26" s="127">
        <f>_xll.BDP(E26&amp;" EQUITY",$I$1)*0.01</f>
        <v>1.8487250000000001E-3</v>
      </c>
      <c r="J26" s="157">
        <f>+RANK(I26,$I$4:$I$62)</f>
        <v>18</v>
      </c>
      <c r="K26" s="161">
        <f t="shared" si="1"/>
        <v>16640</v>
      </c>
      <c r="L26" s="99"/>
      <c r="M26" s="62">
        <f t="shared" si="2"/>
        <v>9017440</v>
      </c>
      <c r="N26" s="99"/>
      <c r="O26" s="173">
        <v>545.16999999999996</v>
      </c>
      <c r="P26" s="37">
        <f t="shared" si="3"/>
        <v>3.3787625878166638E-2</v>
      </c>
      <c r="Q26" s="102">
        <f>+RANK(P26,$P$4:$P$62)</f>
        <v>34</v>
      </c>
      <c r="R26" s="45"/>
      <c r="S26" s="99"/>
      <c r="T26" s="173">
        <v>432.09</v>
      </c>
      <c r="U26" s="37">
        <f t="shared" si="4"/>
        <v>0.30433474507625746</v>
      </c>
      <c r="V26" s="17">
        <f>+RANK(U26,$U$4:$U$62)</f>
        <v>27</v>
      </c>
      <c r="W26" s="45" t="s">
        <v>61</v>
      </c>
      <c r="X26" s="48"/>
      <c r="Y26" s="105" t="str">
        <f>_xll.BDP(E26&amp;" EQUITY",$Y$1)</f>
        <v>6/24/2024</v>
      </c>
      <c r="Z26" s="84">
        <f>_xll.BDP(E26&amp;" EQUITY",$Z$1)</f>
        <v>568.67999999999995</v>
      </c>
      <c r="AA26" s="591">
        <f t="shared" si="5"/>
        <v>-8.9505521558695955E-3</v>
      </c>
      <c r="AB26" s="47"/>
      <c r="AC26" s="105" t="str">
        <f>_xll.BDP(E26&amp;" EQUITY",$AC$1)</f>
        <v>6/26/2023</v>
      </c>
      <c r="AD26" s="77">
        <f>_xll.BDP(E26&amp;" EQUITY",$AD$1)</f>
        <v>457.44</v>
      </c>
      <c r="AE26" s="591">
        <f t="shared" si="6"/>
        <v>0.23205229101084313</v>
      </c>
      <c r="AF26" s="47"/>
      <c r="AS26"/>
      <c r="AU26"/>
    </row>
    <row r="27" spans="2:47" x14ac:dyDescent="0.25">
      <c r="B27" s="24">
        <f t="shared" si="0"/>
        <v>1.4885761323355728E-2</v>
      </c>
      <c r="C27" s="117">
        <v>1E-4</v>
      </c>
      <c r="D27" s="25">
        <f>+M27/$M$67</f>
        <v>1.4985761323355728E-2</v>
      </c>
      <c r="E27" s="3" t="s">
        <v>5</v>
      </c>
      <c r="F27" s="101">
        <v>95000</v>
      </c>
      <c r="G27" s="9">
        <f>_xll.BDP(E27&amp;" EQUITY",$G$1)</f>
        <v>98.26</v>
      </c>
      <c r="H27" s="112">
        <f>_xll.BDP(E27&amp;" EQUITY",$H$1)</f>
        <v>2.5</v>
      </c>
      <c r="I27" s="127">
        <f>_xll.BDP(E27&amp;" EQUITY",$I$1)*0.01</f>
        <v>2.610693E-2</v>
      </c>
      <c r="J27" s="157">
        <f>+RANK(I27,$I$4:$I$62)</f>
        <v>3</v>
      </c>
      <c r="K27" s="161">
        <f t="shared" si="1"/>
        <v>237500</v>
      </c>
      <c r="L27" s="99"/>
      <c r="M27" s="62">
        <f t="shared" si="2"/>
        <v>9334700</v>
      </c>
      <c r="N27" s="99"/>
      <c r="O27" s="173">
        <v>71.959999999999994</v>
      </c>
      <c r="P27" s="37">
        <f t="shared" si="3"/>
        <v>0.36548082267926651</v>
      </c>
      <c r="Q27" s="102">
        <f>+RANK(P27,$P$4:$P$62)</f>
        <v>4</v>
      </c>
      <c r="R27" s="45" t="s">
        <v>61</v>
      </c>
      <c r="S27" s="99"/>
      <c r="T27" s="173">
        <v>44.83</v>
      </c>
      <c r="U27" s="37">
        <f t="shared" si="4"/>
        <v>1.1918358242248495</v>
      </c>
      <c r="V27" s="82">
        <f>+RANK(U27,$U$4:$U$62)</f>
        <v>8</v>
      </c>
      <c r="W27" s="45" t="s">
        <v>61</v>
      </c>
      <c r="X27" s="48"/>
      <c r="Y27" s="105" t="str">
        <f>_xll.BDP(E27&amp;" EQUITY",$Y$1)</f>
        <v>6/18/2024</v>
      </c>
      <c r="Z27" s="84">
        <f>_xll.BDP(E27&amp;" EQUITY",$Z$1)</f>
        <v>99.54</v>
      </c>
      <c r="AA27" s="591">
        <f t="shared" si="5"/>
        <v>-1.2859152099658488E-2</v>
      </c>
      <c r="AB27" s="47"/>
      <c r="AC27" s="105" t="str">
        <f>_xll.BDP(E27&amp;" EQUITY",$AC$1)</f>
        <v>11/10/2023</v>
      </c>
      <c r="AD27" s="77">
        <f>_xll.BDP(E27&amp;" EQUITY",$AD$1)</f>
        <v>60.23</v>
      </c>
      <c r="AE27" s="591">
        <f t="shared" si="6"/>
        <v>0.63141291715092174</v>
      </c>
      <c r="AF27" s="47"/>
      <c r="AS27"/>
      <c r="AU27"/>
    </row>
    <row r="28" spans="2:47" x14ac:dyDescent="0.25">
      <c r="B28" s="24">
        <f t="shared" si="0"/>
        <v>1.5701070732943551E-2</v>
      </c>
      <c r="C28" s="539">
        <v>1E-4</v>
      </c>
      <c r="D28" s="441">
        <f>+M28/$M$67</f>
        <v>1.580107073294355E-2</v>
      </c>
      <c r="E28" s="3" t="s">
        <v>78</v>
      </c>
      <c r="F28" s="101">
        <v>140000</v>
      </c>
      <c r="G28" s="9">
        <f>_xll.BDP(E28&amp;" EQUITY",$G$1)</f>
        <v>70.304000000000002</v>
      </c>
      <c r="H28" s="112">
        <f>_xll.BDP(E28&amp;" EQUITY",$H$1)</f>
        <v>-0.23599999999999999</v>
      </c>
      <c r="I28" s="127">
        <f>_xll.BDP(E28&amp;" EQUITY",$I$1)*0.01</f>
        <v>-3.3456200000000005E-3</v>
      </c>
      <c r="J28" s="157">
        <f>+RANK(I28,$I$4:$I$62)</f>
        <v>27</v>
      </c>
      <c r="K28" s="161">
        <f t="shared" si="1"/>
        <v>-33040</v>
      </c>
      <c r="L28" s="99"/>
      <c r="M28" s="62">
        <f t="shared" si="2"/>
        <v>9842560</v>
      </c>
      <c r="N28" s="99"/>
      <c r="O28" s="173">
        <v>61.57</v>
      </c>
      <c r="P28" s="37">
        <f t="shared" si="3"/>
        <v>0.14185479941529966</v>
      </c>
      <c r="Q28" s="102">
        <f>+RANK(P28,$P$4:$P$62)</f>
        <v>17</v>
      </c>
      <c r="R28" s="45" t="s">
        <v>61</v>
      </c>
      <c r="S28" s="99"/>
      <c r="T28" s="173">
        <v>24.73</v>
      </c>
      <c r="U28" s="37">
        <f t="shared" si="4"/>
        <v>1.8428629195309343</v>
      </c>
      <c r="V28" s="82">
        <f>+RANK(U28,$U$4:$U$62)</f>
        <v>4</v>
      </c>
      <c r="W28" s="45" t="s">
        <v>61</v>
      </c>
      <c r="X28" s="48"/>
      <c r="Y28" s="105" t="str">
        <f>_xll.BDP(E28&amp;" EQUITY",$Y$1)</f>
        <v>3/4/2024</v>
      </c>
      <c r="Z28" s="84">
        <f>_xll.BDP(E28&amp;" EQUITY",$Z$1)</f>
        <v>82.14</v>
      </c>
      <c r="AA28" s="591">
        <f t="shared" si="5"/>
        <v>-0.14409544679814945</v>
      </c>
      <c r="AB28" s="47"/>
      <c r="AC28" s="105" t="str">
        <f>_xll.BDP(E28&amp;" EQUITY",$AC$1)</f>
        <v>10/26/2023</v>
      </c>
      <c r="AD28" s="77">
        <f>_xll.BDP(E28&amp;" EQUITY",$AD$1)</f>
        <v>40.090000000000003</v>
      </c>
      <c r="AE28" s="591">
        <f t="shared" si="6"/>
        <v>0.75365427787478168</v>
      </c>
      <c r="AF28" s="47"/>
      <c r="AS28"/>
      <c r="AU28"/>
    </row>
    <row r="29" spans="2:47" x14ac:dyDescent="0.25">
      <c r="B29" s="24">
        <f t="shared" si="0"/>
        <v>5.2293341670457735E-3</v>
      </c>
      <c r="C29" s="25">
        <v>5.1000000000000004E-3</v>
      </c>
      <c r="D29" s="25">
        <f>+M29/$M$67</f>
        <v>1.0329334167045774E-2</v>
      </c>
      <c r="E29" s="3" t="s">
        <v>18</v>
      </c>
      <c r="F29" s="101">
        <v>63000</v>
      </c>
      <c r="G29" s="9">
        <f>_xll.BDP(E29&amp;" EQUITY",$G$1)</f>
        <v>102.13</v>
      </c>
      <c r="H29" s="112">
        <f>_xll.BDP(E29&amp;" EQUITY",$H$1)</f>
        <v>0.15</v>
      </c>
      <c r="I29" s="127">
        <f>_xll.BDP(E29&amp;" EQUITY",$I$1)*0.01</f>
        <v>1.470877E-3</v>
      </c>
      <c r="J29" s="157">
        <f>+RANK(I29,$I$4:$I$62)</f>
        <v>22</v>
      </c>
      <c r="K29" s="161">
        <f t="shared" si="1"/>
        <v>9450</v>
      </c>
      <c r="L29" s="99"/>
      <c r="M29" s="62">
        <f t="shared" si="2"/>
        <v>6434190</v>
      </c>
      <c r="N29" s="99"/>
      <c r="O29" s="173">
        <v>90.29</v>
      </c>
      <c r="P29" s="37">
        <f t="shared" si="3"/>
        <v>0.13113301583785564</v>
      </c>
      <c r="Q29" s="102">
        <f>+RANK(P29,$P$4:$P$62)</f>
        <v>18</v>
      </c>
      <c r="R29" s="45" t="s">
        <v>61</v>
      </c>
      <c r="S29" s="99"/>
      <c r="T29" s="173">
        <v>86.88</v>
      </c>
      <c r="U29" s="37">
        <f t="shared" si="4"/>
        <v>0.17552946593001839</v>
      </c>
      <c r="V29" s="17">
        <f>+RANK(U29,$U$4:$U$62)</f>
        <v>32</v>
      </c>
      <c r="W29" s="45"/>
      <c r="X29" s="48"/>
      <c r="Y29" s="105" t="str">
        <f>_xll.BDP(E29&amp;" EQUITY",$Y$1)</f>
        <v>3/28/2024</v>
      </c>
      <c r="Z29" s="84">
        <f>_xll.BDP(E29&amp;" EQUITY",$Z$1)</f>
        <v>123.74</v>
      </c>
      <c r="AA29" s="591">
        <f t="shared" si="5"/>
        <v>-0.17464037497979634</v>
      </c>
      <c r="AB29" s="47"/>
      <c r="AC29" s="105" t="str">
        <f>_xll.BDP(E29&amp;" EQUITY",$AC$1)</f>
        <v>10/4/2023</v>
      </c>
      <c r="AD29" s="77">
        <f>_xll.BDP(E29&amp;" EQUITY",$AD$1)</f>
        <v>78.730900000000005</v>
      </c>
      <c r="AE29" s="591">
        <f t="shared" si="6"/>
        <v>0.2972035122169312</v>
      </c>
      <c r="AF29" s="47"/>
      <c r="AS29"/>
      <c r="AU29"/>
    </row>
    <row r="30" spans="2:47" x14ac:dyDescent="0.25">
      <c r="B30" s="24">
        <f t="shared" si="0"/>
        <v>1.3655714505072565E-2</v>
      </c>
      <c r="C30" s="25">
        <v>5.0000000000000001E-4</v>
      </c>
      <c r="D30" s="25">
        <f>+M30/$M$67</f>
        <v>1.4155714505072565E-2</v>
      </c>
      <c r="E30" s="3" t="s">
        <v>36</v>
      </c>
      <c r="F30" s="101">
        <v>18000</v>
      </c>
      <c r="G30" s="9">
        <f>_xll.BDP(E30&amp;" EQUITY",$G$1)</f>
        <v>489.87</v>
      </c>
      <c r="H30" s="112">
        <f>_xll.BDP(E30&amp;" EQUITY",$H$1)</f>
        <v>-1.7</v>
      </c>
      <c r="I30" s="127">
        <f>_xll.BDP(E30&amp;" EQUITY",$I$1)*0.01</f>
        <v>-3.4583069999999999E-3</v>
      </c>
      <c r="J30" s="157">
        <f>+RANK(I30,$I$4:$I$62)</f>
        <v>28</v>
      </c>
      <c r="K30" s="161">
        <f t="shared" si="1"/>
        <v>-30600</v>
      </c>
      <c r="L30" s="99"/>
      <c r="M30" s="62">
        <f t="shared" si="2"/>
        <v>8817660</v>
      </c>
      <c r="N30" s="99"/>
      <c r="O30" s="173">
        <v>418.12</v>
      </c>
      <c r="P30" s="37">
        <f t="shared" si="3"/>
        <v>0.17160145412800154</v>
      </c>
      <c r="Q30" s="102">
        <f>+RANK(P30,$P$4:$P$62)</f>
        <v>15</v>
      </c>
      <c r="R30" s="45"/>
      <c r="S30" s="99"/>
      <c r="T30" s="173">
        <v>322.41000000000003</v>
      </c>
      <c r="U30" s="37">
        <f t="shared" si="4"/>
        <v>0.51940076300362881</v>
      </c>
      <c r="V30" s="17">
        <f>+RANK(U30,$U$4:$U$62)</f>
        <v>20</v>
      </c>
      <c r="W30" s="45" t="s">
        <v>61</v>
      </c>
      <c r="X30" s="48"/>
      <c r="Y30" s="105" t="str">
        <f>_xll.BDP(E30&amp;" EQUITY",$Y$1)</f>
        <v>5/22/2024</v>
      </c>
      <c r="Z30" s="84">
        <f>_xll.BDP(E30&amp;" EQUITY",$Z$1)</f>
        <v>500.49</v>
      </c>
      <c r="AA30" s="591">
        <f t="shared" si="5"/>
        <v>-2.1219205178924616E-2</v>
      </c>
      <c r="AB30" s="47"/>
      <c r="AC30" s="105" t="str">
        <f>_xll.BDP(E30&amp;" EQUITY",$AC$1)</f>
        <v>10/26/2023</v>
      </c>
      <c r="AD30" s="77">
        <f>_xll.BDP(E30&amp;" EQUITY",$AD$1)</f>
        <v>361.15699999999998</v>
      </c>
      <c r="AE30" s="591">
        <f t="shared" si="6"/>
        <v>0.35639071096503749</v>
      </c>
      <c r="AF30" s="47"/>
      <c r="AS30"/>
      <c r="AU30"/>
    </row>
    <row r="31" spans="2:47" x14ac:dyDescent="0.25">
      <c r="B31" s="24">
        <f t="shared" si="0"/>
        <v>7.6093075990939533E-3</v>
      </c>
      <c r="C31" s="440">
        <v>1E-3</v>
      </c>
      <c r="D31" s="441">
        <f>+M31/$M$67</f>
        <v>8.6093075990939533E-3</v>
      </c>
      <c r="E31" s="3" t="s">
        <v>400</v>
      </c>
      <c r="F31" s="101">
        <v>8500</v>
      </c>
      <c r="G31" s="9">
        <f>_xll.BDP(E31&amp;" EQUITY",$G$1)</f>
        <v>630.91499999999996</v>
      </c>
      <c r="H31" s="112">
        <f>_xll.BDP(E31&amp;" EQUITY",$H$1)</f>
        <v>-14.455</v>
      </c>
      <c r="I31" s="127">
        <f>_xll.BDP(E31&amp;" EQUITY",$I$1)*0.01</f>
        <v>-2.2397999999999998E-2</v>
      </c>
      <c r="J31" s="157">
        <f>+RANK(I31,$I$4:$I$62)</f>
        <v>48</v>
      </c>
      <c r="K31" s="161">
        <f t="shared" si="1"/>
        <v>-122867.5</v>
      </c>
      <c r="L31" s="99"/>
      <c r="M31" s="62">
        <f t="shared" si="2"/>
        <v>5362777.5</v>
      </c>
      <c r="N31" s="99"/>
      <c r="O31" s="173">
        <v>573.41999999999996</v>
      </c>
      <c r="P31" s="37">
        <f t="shared" si="3"/>
        <v>0.10026682013184063</v>
      </c>
      <c r="Q31" s="102">
        <f>+RANK(P31,$P$4:$P$62)</f>
        <v>23</v>
      </c>
      <c r="R31" s="45" t="s">
        <v>61</v>
      </c>
      <c r="S31" s="99"/>
      <c r="T31" s="173">
        <v>355.42</v>
      </c>
      <c r="U31" s="37">
        <f t="shared" si="4"/>
        <v>0.77512520398401863</v>
      </c>
      <c r="V31" s="102">
        <f>+RANK(U31,$U$4:$U$62)</f>
        <v>13</v>
      </c>
      <c r="W31" s="45" t="s">
        <v>61</v>
      </c>
      <c r="X31" s="48"/>
      <c r="Y31" s="105" t="str">
        <f>_xll.BDP(E31&amp;" EQUITY",$Y$1)</f>
        <v>3/4/2024</v>
      </c>
      <c r="Z31" s="84">
        <f>_xll.BDP(E31&amp;" EQUITY",$Z$1)</f>
        <v>732.36990000000003</v>
      </c>
      <c r="AA31" s="591">
        <f t="shared" si="5"/>
        <v>-0.13852958730280973</v>
      </c>
      <c r="AB31" s="47"/>
      <c r="AC31" s="105" t="str">
        <f>_xll.BDP(E31&amp;" EQUITY",$AC$1)</f>
        <v>10/26/2023</v>
      </c>
      <c r="AD31" s="77">
        <f>_xll.BDP(E31&amp;" EQUITY",$AD$1)</f>
        <v>387.01</v>
      </c>
      <c r="AE31" s="591">
        <f t="shared" si="6"/>
        <v>0.63022919304410729</v>
      </c>
      <c r="AF31" s="47"/>
      <c r="AS31"/>
      <c r="AU31"/>
    </row>
    <row r="32" spans="2:47" x14ac:dyDescent="0.25">
      <c r="B32" s="24">
        <f t="shared" si="0"/>
        <v>5.7589119861604487E-3</v>
      </c>
      <c r="C32" s="440">
        <v>3.7000000000000002E-3</v>
      </c>
      <c r="D32" s="441">
        <f>+M32/$M$67</f>
        <v>9.4589119861604488E-3</v>
      </c>
      <c r="E32" s="3" t="s">
        <v>149</v>
      </c>
      <c r="F32" s="101">
        <v>80000</v>
      </c>
      <c r="G32" s="9">
        <f>_xll.BDP(E32&amp;" EQUITY",$G$1)</f>
        <v>73.650000000000006</v>
      </c>
      <c r="H32" s="112">
        <f>_xll.BDP(E32&amp;" EQUITY",$H$1)</f>
        <v>-0.88</v>
      </c>
      <c r="I32" s="127">
        <f>_xll.BDP(E32&amp;" EQUITY",$I$1)*0.01</f>
        <v>-1.1807330000000001E-2</v>
      </c>
      <c r="J32" s="157">
        <f>+RANK(I32,$I$4:$I$62)</f>
        <v>41</v>
      </c>
      <c r="K32" s="161">
        <f t="shared" si="1"/>
        <v>-70400</v>
      </c>
      <c r="L32" s="99"/>
      <c r="M32" s="62">
        <f t="shared" si="2"/>
        <v>5892000</v>
      </c>
      <c r="N32" s="99"/>
      <c r="O32" s="173">
        <v>68.8</v>
      </c>
      <c r="P32" s="37">
        <f t="shared" si="3"/>
        <v>7.0494186046511809E-2</v>
      </c>
      <c r="Q32" s="102">
        <f>+RANK(P32,$P$4:$P$62)</f>
        <v>28</v>
      </c>
      <c r="R32" s="45"/>
      <c r="S32" s="99"/>
      <c r="T32" s="173">
        <v>83.26</v>
      </c>
      <c r="U32" s="37">
        <f t="shared" si="4"/>
        <v>-0.11542157098246453</v>
      </c>
      <c r="V32" s="103">
        <f>+RANK(U32,$U$4:$U$62)</f>
        <v>46</v>
      </c>
      <c r="W32" s="45"/>
      <c r="X32" s="48"/>
      <c r="Y32" s="105" t="str">
        <f>_xll.BDP(E32&amp;" EQUITY",$Y$1)</f>
        <v>5/22/2024</v>
      </c>
      <c r="Z32" s="84">
        <f>_xll.BDP(E32&amp;" EQUITY",$Z$1)</f>
        <v>79.489999999999995</v>
      </c>
      <c r="AA32" s="591">
        <f t="shared" si="5"/>
        <v>-7.3468360800100552E-2</v>
      </c>
      <c r="AB32" s="47"/>
      <c r="AC32" s="105" t="str">
        <f>_xll.BDP(E32&amp;" EQUITY",$AC$1)</f>
        <v>10/25/2023</v>
      </c>
      <c r="AD32" s="77">
        <f>_xll.BDP(E32&amp;" EQUITY",$AD$1)</f>
        <v>48.66</v>
      </c>
      <c r="AE32" s="591">
        <f t="shared" si="6"/>
        <v>0.51356350184956856</v>
      </c>
      <c r="AF32" s="47"/>
      <c r="AS32"/>
      <c r="AU32"/>
    </row>
    <row r="33" spans="2:47" x14ac:dyDescent="0.25">
      <c r="B33" s="438">
        <f t="shared" si="0"/>
        <v>1.0400000000000001E-2</v>
      </c>
      <c r="C33" s="828">
        <v>1E-4</v>
      </c>
      <c r="D33" s="752">
        <v>1.0500000000000001E-2</v>
      </c>
      <c r="E33" s="347" t="s">
        <v>3</v>
      </c>
      <c r="F33" s="350">
        <v>85000</v>
      </c>
      <c r="G33" s="351">
        <f>_xll.BDP(E33&amp;" EQUITY",$G$1)</f>
        <v>73.069999999999993</v>
      </c>
      <c r="H33" s="111">
        <f>_xll.BDP(E33&amp;" EQUITY",$H$1)</f>
        <v>0.05</v>
      </c>
      <c r="I33" s="129">
        <f>_xll.BDP(E33&amp;" EQUITY",$I$1)*0.01</f>
        <v>6.8474390000000001E-4</v>
      </c>
      <c r="J33" s="355">
        <f>+RANK(I33,$I$4:$I$62)</f>
        <v>23</v>
      </c>
      <c r="K33" s="335">
        <f t="shared" si="1"/>
        <v>4250</v>
      </c>
      <c r="L33" s="419"/>
      <c r="M33" s="439">
        <f t="shared" si="2"/>
        <v>6210949.9999999991</v>
      </c>
      <c r="N33" s="99"/>
      <c r="O33" s="173">
        <v>73</v>
      </c>
      <c r="P33" s="37">
        <f t="shared" si="3"/>
        <v>9.589041095889872E-4</v>
      </c>
      <c r="Q33" s="102">
        <f>+RANK(P33,$P$4:$P$62)</f>
        <v>38</v>
      </c>
      <c r="R33" s="45"/>
      <c r="S33" s="99"/>
      <c r="T33" s="173">
        <v>78.8</v>
      </c>
      <c r="U33" s="37">
        <f t="shared" si="4"/>
        <v>-7.2715736040609213E-2</v>
      </c>
      <c r="V33" s="103">
        <f>+RANK(U33,$U$4:$U$62)</f>
        <v>44</v>
      </c>
      <c r="W33" s="45"/>
      <c r="X33" s="48"/>
      <c r="Y33" s="105" t="str">
        <f>_xll.BDP(E33&amp;" EQUITY",$Y$1)</f>
        <v>1/8/2024</v>
      </c>
      <c r="Z33" s="84">
        <f>_xll.BDP(E33&amp;" EQUITY",$Z$1)</f>
        <v>75.86</v>
      </c>
      <c r="AA33" s="591">
        <f t="shared" si="5"/>
        <v>-3.6778275771157443E-2</v>
      </c>
      <c r="AB33" s="47"/>
      <c r="AC33" s="105" t="str">
        <f>_xll.BDP(E33&amp;" EQUITY",$AC$1)</f>
        <v>9/26/2023</v>
      </c>
      <c r="AD33" s="77">
        <f>_xll.BDP(E33&amp;" EQUITY",$AD$1)</f>
        <v>44.13</v>
      </c>
      <c r="AE33" s="591">
        <f t="shared" si="6"/>
        <v>0.65578971221391313</v>
      </c>
      <c r="AF33" s="47"/>
      <c r="AS33"/>
      <c r="AU33"/>
    </row>
    <row r="34" spans="2:47" x14ac:dyDescent="0.25">
      <c r="B34" s="24">
        <f t="shared" si="0"/>
        <v>5.799779624769119E-3</v>
      </c>
      <c r="C34" s="440">
        <v>1E-4</v>
      </c>
      <c r="D34" s="540">
        <f>+M34/$M$67</f>
        <v>5.8997796247691192E-3</v>
      </c>
      <c r="E34" s="78" t="s">
        <v>93</v>
      </c>
      <c r="F34" s="101">
        <v>50000</v>
      </c>
      <c r="G34" s="9">
        <f>_xll.BDP(E34&amp;" EQUITY",$G$1)</f>
        <v>73.5</v>
      </c>
      <c r="H34" s="112">
        <f>_xll.BDP(E34&amp;" EQUITY",$H$1)</f>
        <v>-5.43</v>
      </c>
      <c r="I34" s="127">
        <f>_xll.BDP(E34&amp;" EQUITY",$I$1)*0.01</f>
        <v>-6.879513000000001E-2</v>
      </c>
      <c r="J34" s="157">
        <f>+RANK(I34,$I$4:$I$62)</f>
        <v>52</v>
      </c>
      <c r="K34" s="161">
        <f t="shared" si="1"/>
        <v>-271500</v>
      </c>
      <c r="L34" s="99"/>
      <c r="M34" s="62">
        <f t="shared" si="2"/>
        <v>3675000</v>
      </c>
      <c r="N34" s="99"/>
      <c r="O34" s="173">
        <v>82.79</v>
      </c>
      <c r="P34" s="37">
        <f t="shared" si="3"/>
        <v>-0.11221161976084071</v>
      </c>
      <c r="Q34" s="102">
        <f>+RANK(P34,$P$4:$P$62)</f>
        <v>45</v>
      </c>
      <c r="R34" s="45" t="s">
        <v>61</v>
      </c>
      <c r="S34" s="99"/>
      <c r="T34" s="173">
        <v>42.33</v>
      </c>
      <c r="U34" s="37">
        <f t="shared" si="4"/>
        <v>0.73635719347980166</v>
      </c>
      <c r="V34" s="102">
        <f>+RANK(U34,$U$4:$U$62)</f>
        <v>14</v>
      </c>
      <c r="W34" s="45" t="s">
        <v>61</v>
      </c>
      <c r="X34" s="48"/>
      <c r="Y34" s="105" t="str">
        <f>_xll.BDP(E34&amp;" EQUITY",$Y$1)</f>
        <v>2/27/2024</v>
      </c>
      <c r="Z34" s="84">
        <f>_xll.BDP(E34&amp;" EQUITY",$Z$1)</f>
        <v>101.91</v>
      </c>
      <c r="AA34" s="591">
        <f t="shared" si="5"/>
        <v>-0.27877539005004415</v>
      </c>
      <c r="AB34" s="47"/>
      <c r="AC34" s="105" t="str">
        <f>_xll.BDP(E34&amp;" EQUITY",$AC$1)</f>
        <v>10/20/2023</v>
      </c>
      <c r="AD34" s="77">
        <f>_xll.BDP(E34&amp;" EQUITY",$AD$1)</f>
        <v>53.59</v>
      </c>
      <c r="AE34" s="591">
        <f t="shared" si="6"/>
        <v>0.37152453816010444</v>
      </c>
      <c r="AF34" s="47"/>
      <c r="AS34"/>
      <c r="AU34"/>
    </row>
    <row r="35" spans="2:47" x14ac:dyDescent="0.25">
      <c r="B35" s="24">
        <f t="shared" si="0"/>
        <v>2.2114989149081164E-3</v>
      </c>
      <c r="C35" s="440">
        <v>3.7000000000000002E-3</v>
      </c>
      <c r="D35" s="540">
        <f>+M35/$M$67</f>
        <v>5.9114989149081166E-3</v>
      </c>
      <c r="E35" s="78" t="s">
        <v>122</v>
      </c>
      <c r="F35" s="101">
        <v>10000</v>
      </c>
      <c r="G35" s="9">
        <f>_xll.BDP(E35&amp;" EQUITY",$G$1)</f>
        <v>368.23</v>
      </c>
      <c r="H35" s="112">
        <f>_xll.BDP(E35&amp;" EQUITY",$H$1)</f>
        <v>-9.94</v>
      </c>
      <c r="I35" s="127">
        <f>_xll.BDP(E35&amp;" EQUITY",$I$1)*0.01</f>
        <v>-2.6284480000000002E-2</v>
      </c>
      <c r="J35" s="157">
        <f>+RANK(I35,$I$4:$I$62)</f>
        <v>50</v>
      </c>
      <c r="K35" s="161">
        <f t="shared" si="1"/>
        <v>-99400</v>
      </c>
      <c r="L35" s="99"/>
      <c r="M35" s="62">
        <f t="shared" si="2"/>
        <v>3682300</v>
      </c>
      <c r="N35" s="99"/>
      <c r="O35" s="173">
        <v>399.87</v>
      </c>
      <c r="P35" s="37">
        <f t="shared" si="3"/>
        <v>-7.9125715857653711E-2</v>
      </c>
      <c r="Q35" s="102">
        <f>+RANK(P35,$P$4:$P$62)</f>
        <v>41</v>
      </c>
      <c r="R35" s="45" t="s">
        <v>61</v>
      </c>
      <c r="S35" s="99"/>
      <c r="T35" s="173">
        <v>428.76</v>
      </c>
      <c r="U35" s="37">
        <f t="shared" si="4"/>
        <v>-0.14117454986472611</v>
      </c>
      <c r="V35" s="103">
        <f>+RANK(U35,$U$4:$U$62)</f>
        <v>48</v>
      </c>
      <c r="W35" s="45"/>
      <c r="X35" s="48"/>
      <c r="Y35" s="105" t="str">
        <f>_xll.BDP(E35&amp;" EQUITY",$Y$1)</f>
        <v>7/25/2023</v>
      </c>
      <c r="Z35" s="84">
        <f>_xll.BDP(E35&amp;" EQUITY",$Z$1)</f>
        <v>450</v>
      </c>
      <c r="AA35" s="591">
        <f t="shared" si="5"/>
        <v>-0.18171111111111105</v>
      </c>
      <c r="AB35" s="47"/>
      <c r="AC35" s="105" t="str">
        <f>_xll.BDP(E35&amp;" EQUITY",$AC$1)</f>
        <v>2/22/2024</v>
      </c>
      <c r="AD35" s="77">
        <f>_xll.BDP(E35&amp;" EQUITY",$AD$1)</f>
        <v>353.15</v>
      </c>
      <c r="AE35" s="591">
        <f t="shared" si="6"/>
        <v>4.2701401670678374E-2</v>
      </c>
      <c r="AF35" s="47"/>
      <c r="AS35"/>
      <c r="AU35"/>
    </row>
    <row r="36" spans="2:47" x14ac:dyDescent="0.25">
      <c r="B36" s="24">
        <f t="shared" si="0"/>
        <v>4.8373075241547117E-3</v>
      </c>
      <c r="C36" s="25">
        <v>1.9E-3</v>
      </c>
      <c r="D36" s="540">
        <f>+M36/$M$67</f>
        <v>6.7373075241547115E-3</v>
      </c>
      <c r="E36" s="78" t="s">
        <v>9</v>
      </c>
      <c r="F36" s="101">
        <v>4000</v>
      </c>
      <c r="G36" s="9">
        <f>_xll.BDP(E36&amp;" EQUITY",$G$1)</f>
        <v>1049.175</v>
      </c>
      <c r="H36" s="112">
        <f>_xll.BDP(E36&amp;" EQUITY",$H$1)</f>
        <v>24.754999999999999</v>
      </c>
      <c r="I36" s="127">
        <f>_xll.BDP(E36&amp;" EQUITY",$I$1)*0.01</f>
        <v>2.4164889999999998E-2</v>
      </c>
      <c r="J36" s="157">
        <f>+RANK(I36,$I$4:$I$62)</f>
        <v>6</v>
      </c>
      <c r="K36" s="161">
        <f t="shared" si="1"/>
        <v>99020</v>
      </c>
      <c r="L36" s="99"/>
      <c r="M36" s="62">
        <f t="shared" si="2"/>
        <v>4196700</v>
      </c>
      <c r="N36" s="99"/>
      <c r="O36" s="173">
        <v>783.26</v>
      </c>
      <c r="P36" s="37">
        <f t="shared" si="3"/>
        <v>0.33949774021397738</v>
      </c>
      <c r="Q36" s="102">
        <f>+RANK(P36,$P$4:$P$62)</f>
        <v>5</v>
      </c>
      <c r="R36" s="45" t="s">
        <v>61</v>
      </c>
      <c r="S36" s="99"/>
      <c r="T36" s="173">
        <v>420.3</v>
      </c>
      <c r="U36" s="37">
        <f t="shared" si="4"/>
        <v>1.4962526766595285</v>
      </c>
      <c r="V36" s="82">
        <f>+RANK(U36,$U$4:$U$62)</f>
        <v>5</v>
      </c>
      <c r="W36" s="45" t="s">
        <v>61</v>
      </c>
      <c r="X36" s="48"/>
      <c r="Y36" s="105" t="str">
        <f>_xll.BDP(E36&amp;" EQUITY",$Y$1)</f>
        <v>6/18/2024</v>
      </c>
      <c r="Z36" s="84">
        <f>_xll.BDP(E36&amp;" EQUITY",$Z$1)</f>
        <v>1101.8100999999999</v>
      </c>
      <c r="AA36" s="591">
        <f t="shared" si="5"/>
        <v>-4.7771480766059415E-2</v>
      </c>
      <c r="AB36" s="47"/>
      <c r="AC36" s="105" t="str">
        <f>_xll.BDP(E36&amp;" EQUITY",$AC$1)</f>
        <v>10/31/2023</v>
      </c>
      <c r="AD36" s="77">
        <f>_xll.BDP(E36&amp;" EQUITY",$AD$1)</f>
        <v>574.41999999999996</v>
      </c>
      <c r="AE36" s="591">
        <f t="shared" si="6"/>
        <v>0.82649455102538227</v>
      </c>
      <c r="AF36" s="47"/>
      <c r="AS36"/>
      <c r="AU36"/>
    </row>
    <row r="37" spans="2:47" x14ac:dyDescent="0.25">
      <c r="B37" s="24">
        <f t="shared" si="0"/>
        <v>2.6712169807344838E-4</v>
      </c>
      <c r="C37" s="440">
        <v>6.1999999999999998E-3</v>
      </c>
      <c r="D37" s="751">
        <f>+M37/$M$67</f>
        <v>6.4671216980734482E-3</v>
      </c>
      <c r="E37" s="3" t="s">
        <v>70</v>
      </c>
      <c r="F37" s="101">
        <v>60000</v>
      </c>
      <c r="G37" s="9">
        <f>_xll.BDP(E37&amp;" EQUITY",$G$1)</f>
        <v>67.14</v>
      </c>
      <c r="H37" s="112">
        <f>_xll.BDP(E37&amp;" EQUITY",$H$1)</f>
        <v>-1.76</v>
      </c>
      <c r="I37" s="127">
        <f>_xll.BDP(E37&amp;" EQUITY",$I$1)*0.01</f>
        <v>-2.5544270000000001E-2</v>
      </c>
      <c r="J37" s="157">
        <f>+RANK(I37,$I$4:$I$62)</f>
        <v>49</v>
      </c>
      <c r="K37" s="161">
        <f t="shared" si="1"/>
        <v>-105600</v>
      </c>
      <c r="L37" s="99"/>
      <c r="M37" s="62">
        <f t="shared" si="2"/>
        <v>4028400</v>
      </c>
      <c r="N37" s="99"/>
      <c r="O37" s="173">
        <v>52.55</v>
      </c>
      <c r="P37" s="37">
        <f t="shared" si="3"/>
        <v>0.27764034253092307</v>
      </c>
      <c r="Q37" s="102">
        <f>+RANK(P37,$P$4:$P$62)</f>
        <v>10</v>
      </c>
      <c r="R37" s="45" t="s">
        <v>61</v>
      </c>
      <c r="S37" s="99"/>
      <c r="T37" s="173">
        <f>141.79/3</f>
        <v>47.263333333333328</v>
      </c>
      <c r="U37" s="37">
        <f t="shared" si="4"/>
        <v>0.4205515198533043</v>
      </c>
      <c r="V37" s="17">
        <f>+RANK(U37,$U$4:$U$62)</f>
        <v>22</v>
      </c>
      <c r="W37" s="45" t="s">
        <v>61</v>
      </c>
      <c r="X37" s="48"/>
      <c r="Y37" s="105" t="str">
        <f>_xll.BDP(E37&amp;" EQUITY",$Y$1)</f>
        <v>6/24/2024</v>
      </c>
      <c r="Z37" s="84">
        <f>_xll.BDP(E37&amp;" EQUITY",$Z$1)</f>
        <v>69.040000000000006</v>
      </c>
      <c r="AA37" s="591">
        <f t="shared" si="5"/>
        <v>-2.7520278099652407E-2</v>
      </c>
      <c r="AB37" s="47"/>
      <c r="AC37" s="105" t="str">
        <f>_xll.BDP(E37&amp;" EQUITY",$AC$1)</f>
        <v>12/11/2023</v>
      </c>
      <c r="AD37" s="77">
        <f>_xll.BDP(E37&amp;" EQUITY",$AD$1)</f>
        <v>49.846699999999998</v>
      </c>
      <c r="AE37" s="591">
        <f t="shared" si="6"/>
        <v>0.34692968641855937</v>
      </c>
      <c r="AF37" s="47"/>
      <c r="AS37"/>
      <c r="AU37"/>
    </row>
    <row r="38" spans="2:47" x14ac:dyDescent="0.25">
      <c r="B38" s="24">
        <f t="shared" si="0"/>
        <v>1.2801643005948314E-2</v>
      </c>
      <c r="C38" s="440">
        <v>1.6000000000000001E-3</v>
      </c>
      <c r="D38" s="441">
        <f>+M38/$M$67</f>
        <v>1.4401643005948315E-2</v>
      </c>
      <c r="E38" s="3" t="s">
        <v>773</v>
      </c>
      <c r="F38" s="101">
        <v>190000</v>
      </c>
      <c r="G38" s="9">
        <f>_xll.BDP(E38&amp;" EQUITY",$G$1)</f>
        <v>47.215000000000003</v>
      </c>
      <c r="H38" s="112">
        <f>_xll.BDP(E38&amp;" EQUITY",$H$1)</f>
        <v>-0.26500000000000001</v>
      </c>
      <c r="I38" s="127">
        <f>_xll.BDP(E38&amp;" EQUITY",$I$1)*0.01</f>
        <v>-5.5812969999999998E-3</v>
      </c>
      <c r="J38" s="157">
        <f>+RANK(I38,$I$4:$I$62)</f>
        <v>34</v>
      </c>
      <c r="K38" s="161">
        <f t="shared" si="1"/>
        <v>-50350</v>
      </c>
      <c r="L38" s="99"/>
      <c r="M38" s="62">
        <f t="shared" si="2"/>
        <v>8970850</v>
      </c>
      <c r="N38" s="99"/>
      <c r="O38" s="173">
        <v>52.04</v>
      </c>
      <c r="P38" s="37">
        <f t="shared" si="3"/>
        <v>-9.2717140661029873E-2</v>
      </c>
      <c r="Q38" s="102">
        <f>+RANK(P38,$P$4:$P$62)</f>
        <v>44</v>
      </c>
      <c r="R38" s="45" t="s">
        <v>61</v>
      </c>
      <c r="S38" s="99"/>
      <c r="T38" s="173">
        <v>53.46</v>
      </c>
      <c r="U38" s="37">
        <f t="shared" si="4"/>
        <v>-0.11681631126075565</v>
      </c>
      <c r="V38" s="103">
        <f>+RANK(U38,$U$4:$U$62)</f>
        <v>47</v>
      </c>
      <c r="W38" s="45"/>
      <c r="X38" s="48"/>
      <c r="Y38" s="105" t="str">
        <f>_xll.BDP(E38&amp;" EQUITY",$Y$1)</f>
        <v>9/12/2023</v>
      </c>
      <c r="Z38" s="84">
        <f>_xll.BDP(E38&amp;" EQUITY",$Z$1)</f>
        <v>62.12</v>
      </c>
      <c r="AA38" s="591">
        <f t="shared" si="5"/>
        <v>-0.23993882807469402</v>
      </c>
      <c r="AB38" s="47"/>
      <c r="AC38" s="105" t="str">
        <f>_xll.BDP(E38&amp;" EQUITY",$AC$1)</f>
        <v>6/14/2024</v>
      </c>
      <c r="AD38" s="77">
        <f>_xll.BDP(E38&amp;" EQUITY",$AD$1)</f>
        <v>42.61</v>
      </c>
      <c r="AE38" s="591">
        <f t="shared" si="6"/>
        <v>0.10807322224829852</v>
      </c>
      <c r="AF38" s="47"/>
      <c r="AS38"/>
      <c r="AU38"/>
    </row>
    <row r="39" spans="2:47" x14ac:dyDescent="0.25">
      <c r="B39" s="24">
        <f t="shared" si="0"/>
        <v>-6.7902516937896062E-3</v>
      </c>
      <c r="C39" s="440">
        <v>1.2800000000000001E-2</v>
      </c>
      <c r="D39" s="441">
        <f>+M39/$M$67</f>
        <v>6.0097483062103944E-3</v>
      </c>
      <c r="E39" s="3" t="s">
        <v>487</v>
      </c>
      <c r="F39" s="101">
        <v>20000</v>
      </c>
      <c r="G39" s="9">
        <f>_xll.BDP(E39&amp;" EQUITY",$G$1)</f>
        <v>187.17500000000001</v>
      </c>
      <c r="H39" s="112">
        <f>_xll.BDP(E39&amp;" EQUITY",$H$1)</f>
        <v>4.5949999999999998</v>
      </c>
      <c r="I39" s="127">
        <f>_xll.BDP(E39&amp;" EQUITY",$I$1)*0.01</f>
        <v>2.516705E-2</v>
      </c>
      <c r="J39" s="157">
        <f>+RANK(I39,$I$4:$I$62)</f>
        <v>4</v>
      </c>
      <c r="K39" s="161">
        <f t="shared" si="1"/>
        <v>91900</v>
      </c>
      <c r="L39" s="99"/>
      <c r="M39" s="62">
        <f t="shared" si="2"/>
        <v>3743500</v>
      </c>
      <c r="N39" s="99"/>
      <c r="O39" s="173">
        <v>248.48</v>
      </c>
      <c r="P39" s="37">
        <f t="shared" si="3"/>
        <v>-0.24672005795235019</v>
      </c>
      <c r="Q39" s="102">
        <f>+RANK(P39,$P$4:$P$62)</f>
        <v>51</v>
      </c>
      <c r="R39" s="45"/>
      <c r="S39" s="99"/>
      <c r="T39" s="173">
        <v>123.18</v>
      </c>
      <c r="U39" s="37">
        <f t="shared" si="4"/>
        <v>0.51952427342100993</v>
      </c>
      <c r="V39" s="103">
        <f>+RANK(U39,$U$4:$U$62)</f>
        <v>19</v>
      </c>
      <c r="W39" s="45"/>
      <c r="X39" s="48"/>
      <c r="Y39" s="105" t="str">
        <f>_xll.BDP(E39&amp;" EQUITY",$Y$1)</f>
        <v>7/19/2023</v>
      </c>
      <c r="Z39" s="84">
        <f>_xll.BDP(E39&amp;" EQUITY",$Z$1)</f>
        <v>299.29000000000002</v>
      </c>
      <c r="AA39" s="591">
        <f t="shared" si="5"/>
        <v>-0.37460322763874498</v>
      </c>
      <c r="AB39" s="47"/>
      <c r="AC39" s="105" t="str">
        <f>_xll.BDP(E39&amp;" EQUITY",$AC$1)</f>
        <v>4/22/2024</v>
      </c>
      <c r="AD39" s="77">
        <f>_xll.BDP(E39&amp;" EQUITY",$AD$1)</f>
        <v>138.80250000000001</v>
      </c>
      <c r="AE39" s="591">
        <f t="shared" si="6"/>
        <v>0.34849876623259668</v>
      </c>
      <c r="AF39" s="47"/>
      <c r="AS39"/>
      <c r="AU39"/>
    </row>
    <row r="40" spans="2:47" x14ac:dyDescent="0.25">
      <c r="B40" s="24">
        <f t="shared" si="0"/>
        <v>2.4610091744021374E-3</v>
      </c>
      <c r="C40" s="25">
        <v>1.2999999999999999E-3</v>
      </c>
      <c r="D40" s="441">
        <f>+M40/$M$67</f>
        <v>3.7610091744021373E-3</v>
      </c>
      <c r="E40" s="3" t="s">
        <v>10</v>
      </c>
      <c r="F40" s="101">
        <v>10000</v>
      </c>
      <c r="G40" s="9">
        <f>_xll.BDP(E40&amp;" EQUITY",$G$1)</f>
        <v>234.27500000000001</v>
      </c>
      <c r="H40" s="112">
        <f>_xll.BDP(E40&amp;" EQUITY",$H$1)</f>
        <v>-2.8050000000000002</v>
      </c>
      <c r="I40" s="127">
        <f>_xll.BDP(E40&amp;" EQUITY",$I$1)*0.01</f>
        <v>-1.1831449999999999E-2</v>
      </c>
      <c r="J40" s="157">
        <f>+RANK(I40,$I$4:$I$62)</f>
        <v>42</v>
      </c>
      <c r="K40" s="161">
        <f t="shared" si="1"/>
        <v>-28050</v>
      </c>
      <c r="L40" s="99"/>
      <c r="M40" s="155">
        <f t="shared" si="2"/>
        <v>2342750</v>
      </c>
      <c r="N40" s="99"/>
      <c r="O40" s="173">
        <v>274</v>
      </c>
      <c r="P40" s="37">
        <f t="shared" si="3"/>
        <v>-0.14498175182481754</v>
      </c>
      <c r="Q40" s="102">
        <f>+RANK(P40,$P$4:$P$62)</f>
        <v>48</v>
      </c>
      <c r="R40" s="45" t="s">
        <v>61</v>
      </c>
      <c r="S40" s="99"/>
      <c r="T40" s="173">
        <v>210.9</v>
      </c>
      <c r="U40" s="37">
        <f t="shared" si="4"/>
        <v>0.11083451872925565</v>
      </c>
      <c r="V40" s="82">
        <f>+RANK(U40,$U$4:$U$62)</f>
        <v>36</v>
      </c>
      <c r="W40" s="45" t="s">
        <v>61</v>
      </c>
      <c r="X40" s="48"/>
      <c r="Y40" s="105" t="str">
        <f>_xll.BDP(E40&amp;" EQUITY",$Y$1)</f>
        <v>7/27/2023</v>
      </c>
      <c r="Z40" s="84">
        <f>_xll.BDP(E40&amp;" EQUITY",$Z$1)</f>
        <v>413.2</v>
      </c>
      <c r="AA40" s="591">
        <f t="shared" si="5"/>
        <v>-0.43302274927395934</v>
      </c>
      <c r="AB40" s="47"/>
      <c r="AC40" s="105" t="str">
        <f>_xll.BDP(E40&amp;" EQUITY",$AC$1)</f>
        <v>10/30/2023</v>
      </c>
      <c r="AD40" s="77">
        <f>_xll.BDP(E40&amp;" EQUITY",$AD$1)</f>
        <v>176.34</v>
      </c>
      <c r="AE40" s="591">
        <f t="shared" si="6"/>
        <v>0.32854145400930013</v>
      </c>
      <c r="AF40" s="47"/>
      <c r="AS40"/>
      <c r="AU40"/>
    </row>
    <row r="41" spans="2:47" x14ac:dyDescent="0.25">
      <c r="B41" s="24">
        <f t="shared" si="0"/>
        <v>2.5309773957408691E-3</v>
      </c>
      <c r="C41" s="25">
        <v>2.7000000000000001E-3</v>
      </c>
      <c r="D41" s="441">
        <f>+M41/$M$67</f>
        <v>5.2309773957408693E-3</v>
      </c>
      <c r="E41" s="3" t="s">
        <v>481</v>
      </c>
      <c r="F41" s="101">
        <v>10000</v>
      </c>
      <c r="G41" s="9">
        <f>_xll.BDP(E41&amp;" EQUITY",$G$1)</f>
        <v>325.83999999999997</v>
      </c>
      <c r="H41" s="112">
        <f>_xll.BDP(E41&amp;" EQUITY",$H$1)</f>
        <v>9.16</v>
      </c>
      <c r="I41" s="127">
        <f>_xll.BDP(E41&amp;" EQUITY",$I$1)*0.01</f>
        <v>2.8925100000000002E-2</v>
      </c>
      <c r="J41" s="157">
        <f>+RANK(I41,$I$4:$I$62)</f>
        <v>2</v>
      </c>
      <c r="K41" s="161">
        <f t="shared" si="1"/>
        <v>91600</v>
      </c>
      <c r="L41" s="99"/>
      <c r="M41" s="155">
        <f t="shared" si="2"/>
        <v>3258399.9999999995</v>
      </c>
      <c r="N41" s="99"/>
      <c r="O41" s="173">
        <v>294.88</v>
      </c>
      <c r="P41" s="37">
        <f t="shared" si="3"/>
        <v>0.10499186109603897</v>
      </c>
      <c r="Q41" s="102">
        <f>+RANK(P41,$P$4:$P$62)</f>
        <v>21</v>
      </c>
      <c r="R41" s="45"/>
      <c r="S41" s="99"/>
      <c r="T41" s="173">
        <v>134.54</v>
      </c>
      <c r="U41" s="37">
        <f t="shared" si="4"/>
        <v>1.4218819681878996</v>
      </c>
      <c r="V41" s="82">
        <f>+RANK(U41,$U$4:$U$62)</f>
        <v>6</v>
      </c>
      <c r="W41" s="45" t="s">
        <v>61</v>
      </c>
      <c r="X41" s="48"/>
      <c r="Y41" s="105" t="str">
        <f>_xll.BDP(E41&amp;" EQUITY",$Y$1)</f>
        <v>2/9/2024</v>
      </c>
      <c r="Z41" s="84">
        <f>_xll.BDP(E41&amp;" EQUITY",$Z$1)</f>
        <v>380.84</v>
      </c>
      <c r="AA41" s="591">
        <f t="shared" si="5"/>
        <v>-0.14441760319294195</v>
      </c>
      <c r="AB41" s="47"/>
      <c r="AC41" s="105" t="str">
        <f>_xll.BDP(E41&amp;" EQUITY",$AC$1)</f>
        <v>8/18/2023</v>
      </c>
      <c r="AD41" s="77">
        <f>_xll.BDP(E41&amp;" EQUITY",$AD$1)</f>
        <v>201.17</v>
      </c>
      <c r="AE41" s="591">
        <f t="shared" si="6"/>
        <v>0.6197246110255008</v>
      </c>
      <c r="AF41" s="47"/>
      <c r="AS41"/>
      <c r="AU41"/>
    </row>
    <row r="42" spans="2:47" x14ac:dyDescent="0.25">
      <c r="B42" s="24">
        <f t="shared" si="0"/>
        <v>-2.2084666742058171E-5</v>
      </c>
      <c r="C42" s="440">
        <v>3.5999999999999999E-3</v>
      </c>
      <c r="D42" s="441">
        <f>+M42/$M$67</f>
        <v>3.5779153332579417E-3</v>
      </c>
      <c r="E42" s="3" t="s">
        <v>95</v>
      </c>
      <c r="F42" s="101">
        <v>5000</v>
      </c>
      <c r="G42" s="9">
        <f>_xll.BDP(E42&amp;" EQUITY",$G$1)</f>
        <v>445.74</v>
      </c>
      <c r="H42" s="112">
        <f>_xll.BDP(E42&amp;" EQUITY",$H$1)</f>
        <v>0.77</v>
      </c>
      <c r="I42" s="127">
        <f>_xll.BDP(E42&amp;" EQUITY",$I$1)*0.01</f>
        <v>1.730454E-3</v>
      </c>
      <c r="J42" s="157">
        <f>+RANK(I42,$I$4:$I$62)</f>
        <v>20</v>
      </c>
      <c r="K42" s="161">
        <f t="shared" si="1"/>
        <v>3850</v>
      </c>
      <c r="L42" s="99"/>
      <c r="M42" s="62">
        <f t="shared" si="2"/>
        <v>2228700</v>
      </c>
      <c r="N42" s="99"/>
      <c r="O42" s="173">
        <v>440.52</v>
      </c>
      <c r="P42" s="37">
        <f t="shared" si="3"/>
        <v>1.1849632252792119E-2</v>
      </c>
      <c r="Q42" s="102">
        <f>+RANK(P42,$P$4:$P$62)</f>
        <v>36</v>
      </c>
      <c r="R42" s="45"/>
      <c r="S42" s="99"/>
      <c r="T42" s="173">
        <v>334.94</v>
      </c>
      <c r="U42" s="37">
        <f t="shared" si="4"/>
        <v>0.33080551740610264</v>
      </c>
      <c r="V42" s="103">
        <f>+RANK(U42,$U$4:$U$62)</f>
        <v>24</v>
      </c>
      <c r="W42" s="45" t="s">
        <v>61</v>
      </c>
      <c r="X42" s="48"/>
      <c r="Y42" s="105" t="str">
        <f>_xll.BDP(E42&amp;" EQUITY",$Y$1)</f>
        <v>2/7/2024</v>
      </c>
      <c r="Z42" s="84">
        <f>_xll.BDP(E42&amp;" EQUITY",$Z$1)</f>
        <v>461.16</v>
      </c>
      <c r="AA42" s="591">
        <f t="shared" si="5"/>
        <v>-3.3437418683320397E-2</v>
      </c>
      <c r="AB42" s="47"/>
      <c r="AC42" s="105" t="str">
        <f>_xll.BDP(E42&amp;" EQUITY",$AC$1)</f>
        <v>10/30/2023</v>
      </c>
      <c r="AD42" s="77">
        <f>_xll.BDP(E42&amp;" EQUITY",$AD$1)</f>
        <v>340.49</v>
      </c>
      <c r="AE42" s="591">
        <f t="shared" si="6"/>
        <v>0.30911333666186969</v>
      </c>
      <c r="AF42" s="47"/>
      <c r="AS42"/>
      <c r="AU42"/>
    </row>
    <row r="43" spans="2:47" x14ac:dyDescent="0.25">
      <c r="B43" s="24">
        <f t="shared" si="0"/>
        <v>3.3931518946144919E-3</v>
      </c>
      <c r="C43" s="25">
        <v>0</v>
      </c>
      <c r="D43" s="441">
        <f>+M43/$M$67</f>
        <v>3.3931518946144919E-3</v>
      </c>
      <c r="E43" s="3" t="s">
        <v>786</v>
      </c>
      <c r="F43" s="101">
        <v>17000</v>
      </c>
      <c r="G43" s="9">
        <f>_xll.BDP(E43&amp;" EQUITY",$G$1)</f>
        <v>124.33</v>
      </c>
      <c r="H43" s="112">
        <f>_xll.BDP(E43&amp;" EQUITY",$H$1)</f>
        <v>-0.47</v>
      </c>
      <c r="I43" s="127">
        <f>_xll.BDP(E43&amp;" EQUITY",$I$1)*0.01</f>
        <v>-3.766026E-3</v>
      </c>
      <c r="J43" s="157">
        <f>+RANK(I43,$I$4:$I$62)</f>
        <v>30</v>
      </c>
      <c r="K43" s="161">
        <f t="shared" si="1"/>
        <v>-7990</v>
      </c>
      <c r="L43" s="99"/>
      <c r="M43" s="155">
        <f t="shared" si="2"/>
        <v>2113610</v>
      </c>
      <c r="N43" s="99"/>
      <c r="O43" s="753">
        <v>199</v>
      </c>
      <c r="P43" s="37">
        <f t="shared" si="3"/>
        <v>-0.37522613065326638</v>
      </c>
      <c r="Q43" s="102">
        <f>+RANK(P43,$P$4:$P$62)</f>
        <v>52</v>
      </c>
      <c r="R43" s="45"/>
      <c r="S43" s="99"/>
      <c r="T43" s="753">
        <v>210.9</v>
      </c>
      <c r="U43" s="37">
        <f t="shared" si="4"/>
        <v>-0.41047889995258424</v>
      </c>
      <c r="V43" s="82">
        <f>+RANK(U43,$U$4:$U$62)</f>
        <v>52</v>
      </c>
      <c r="W43" s="45" t="s">
        <v>61</v>
      </c>
      <c r="X43" s="48"/>
      <c r="Y43" s="105" t="str">
        <f>_xll.BDP(E43&amp;" EQUITY",$Y$1)</f>
        <v>2/12/2024</v>
      </c>
      <c r="Z43" s="84">
        <f>_xll.BDP(E43&amp;" EQUITY",$Z$1)</f>
        <v>237.72</v>
      </c>
      <c r="AA43" s="591">
        <f t="shared" si="5"/>
        <v>-0.47698973582365811</v>
      </c>
      <c r="AB43" s="47"/>
      <c r="AC43" s="105" t="str">
        <f>_xll.BDP(E43&amp;" EQUITY",$AC$1)</f>
        <v>6/25/2024</v>
      </c>
      <c r="AD43" s="77">
        <f>_xll.BDP(E43&amp;" EQUITY",$AD$1)</f>
        <v>122.6</v>
      </c>
      <c r="AE43" s="591">
        <f t="shared" si="6"/>
        <v>1.4110929853181187E-2</v>
      </c>
      <c r="AF43" s="47"/>
      <c r="AS43"/>
      <c r="AU43"/>
    </row>
    <row r="44" spans="2:47" x14ac:dyDescent="0.25">
      <c r="B44" s="24">
        <f t="shared" ref="B44" si="7">+D44-C44</f>
        <v>1.351958393116596E-3</v>
      </c>
      <c r="C44" s="25">
        <v>3.0000000000000001E-3</v>
      </c>
      <c r="D44" s="441">
        <f>+M44/$M$67</f>
        <v>4.3519583931165961E-3</v>
      </c>
      <c r="E44" s="3" t="s">
        <v>482</v>
      </c>
      <c r="F44" s="101">
        <v>7000</v>
      </c>
      <c r="G44" s="9">
        <f>_xll.BDP(E44&amp;" EQUITY",$G$1)</f>
        <v>387.26499999999999</v>
      </c>
      <c r="H44" s="112">
        <f>_xll.BDP(E44&amp;" EQUITY",$H$1)</f>
        <v>9.3350000000000009</v>
      </c>
      <c r="I44" s="127">
        <f>_xll.BDP(E44&amp;" EQUITY",$I$1)*0.01</f>
        <v>2.4700340000000001E-2</v>
      </c>
      <c r="J44" s="157">
        <f>+RANK(I44,$I$4:$I$62)</f>
        <v>5</v>
      </c>
      <c r="K44" s="161">
        <f t="shared" ref="K44" si="8">+H44*F44</f>
        <v>65345.000000000007</v>
      </c>
      <c r="L44" s="99"/>
      <c r="M44" s="155">
        <f t="shared" ref="M44" si="9">+G44*F44</f>
        <v>2710855</v>
      </c>
      <c r="N44" s="99"/>
      <c r="O44" s="998">
        <v>255.32</v>
      </c>
      <c r="P44" s="37">
        <f t="shared" si="3"/>
        <v>0.51678286072379764</v>
      </c>
      <c r="Q44" s="102">
        <f>+RANK(P44,$P$4:$P$62)</f>
        <v>2</v>
      </c>
      <c r="R44" s="45" t="s">
        <v>61</v>
      </c>
      <c r="S44" s="99"/>
      <c r="T44" s="998">
        <v>105.29</v>
      </c>
      <c r="U44" s="37">
        <f t="shared" si="4"/>
        <v>2.678079589704625</v>
      </c>
      <c r="V44" s="82">
        <f>+RANK(U44,$U$4:$U$62)</f>
        <v>3</v>
      </c>
      <c r="W44" s="45"/>
      <c r="X44" s="48"/>
      <c r="Y44" s="105" t="str">
        <f>_xll.BDP(E44&amp;" EQUITY",$Y$1)</f>
        <v>6/17/2024</v>
      </c>
      <c r="Z44" s="84">
        <f>_xll.BDP(E44&amp;" EQUITY",$Z$1)</f>
        <v>394.64</v>
      </c>
      <c r="AA44" s="591">
        <f t="shared" ref="AA44:AA45" si="10">+G44/Z44-1</f>
        <v>-1.868791810257453E-2</v>
      </c>
      <c r="AB44" s="47"/>
      <c r="AC44" s="105" t="str">
        <f>_xll.BDP(E44&amp;" EQUITY",$AC$1)</f>
        <v>7/6/2023</v>
      </c>
      <c r="AD44" s="77">
        <f>_xll.BDP(E44&amp;" EQUITY",$AD$1)</f>
        <v>139.37</v>
      </c>
      <c r="AE44" s="591">
        <f t="shared" si="6"/>
        <v>1.7786826433235272</v>
      </c>
      <c r="AF44" s="47"/>
      <c r="AS44"/>
      <c r="AU44"/>
    </row>
    <row r="45" spans="2:47" x14ac:dyDescent="0.25">
      <c r="B45" s="24">
        <f t="shared" si="0"/>
        <v>-2.9299954906017731E-3</v>
      </c>
      <c r="C45" s="25">
        <v>6.0000000000000001E-3</v>
      </c>
      <c r="D45" s="441">
        <f>+M45/$M$67</f>
        <v>3.070004509398227E-3</v>
      </c>
      <c r="E45" s="3" t="s">
        <v>486</v>
      </c>
      <c r="F45" s="101">
        <v>12000</v>
      </c>
      <c r="G45" s="9">
        <f>_xll.BDP(E45&amp;" EQUITY",$G$1)</f>
        <v>159.36000000000001</v>
      </c>
      <c r="H45" s="112">
        <f>_xll.BDP(E45&amp;" EQUITY",$H$1)</f>
        <v>-0.89</v>
      </c>
      <c r="I45" s="127">
        <f>_xll.BDP(E45&amp;" EQUITY",$I$1)*0.01</f>
        <v>-5.5538220000000008E-3</v>
      </c>
      <c r="J45" s="157">
        <f>+RANK(I45,$I$4:$I$62)</f>
        <v>33</v>
      </c>
      <c r="K45" s="161">
        <f t="shared" ref="K45" si="11">+H45*F45</f>
        <v>-10680</v>
      </c>
      <c r="L45" s="99"/>
      <c r="M45" s="155">
        <f t="shared" ref="M45" si="12">+G45*F45</f>
        <v>1912320.0000000002</v>
      </c>
      <c r="N45" s="99"/>
      <c r="O45" s="173">
        <v>147.41</v>
      </c>
      <c r="P45" s="37">
        <f t="shared" ref="P45" si="13">+G45/O45-1</f>
        <v>8.1066413404789373E-2</v>
      </c>
      <c r="Q45" s="102">
        <f>+RANK(P45,$P$4:$P$62)</f>
        <v>26</v>
      </c>
      <c r="R45" s="45"/>
      <c r="S45" s="99"/>
      <c r="T45" s="753">
        <v>210.9</v>
      </c>
      <c r="U45" s="37">
        <f t="shared" ref="U45" si="14">+G45/T45-1</f>
        <v>-0.24438122332859169</v>
      </c>
      <c r="V45" s="82">
        <f>+RANK(U45,$U$4:$U$62)</f>
        <v>50</v>
      </c>
      <c r="W45" s="45" t="s">
        <v>61</v>
      </c>
      <c r="X45" s="48"/>
      <c r="Y45" s="105" t="str">
        <f>_xll.BDP(E45&amp;" EQUITY",$Y$1)</f>
        <v>3/8/2024</v>
      </c>
      <c r="Z45" s="84">
        <f>_xll.BDP(E45&amp;" EQUITY",$Z$1)</f>
        <v>227.3</v>
      </c>
      <c r="AA45" s="591">
        <f t="shared" si="10"/>
        <v>-0.29890013198416188</v>
      </c>
      <c r="AB45" s="47"/>
      <c r="AC45" s="105" t="str">
        <f>_xll.BDP(E45&amp;" EQUITY",$AC$1)</f>
        <v>10/26/2023</v>
      </c>
      <c r="AD45" s="77">
        <f>_xll.BDP(E45&amp;" EQUITY",$AD$1)</f>
        <v>93.114999999999995</v>
      </c>
      <c r="AE45" s="591">
        <f t="shared" si="6"/>
        <v>0.7114321000912851</v>
      </c>
      <c r="AF45" s="47"/>
      <c r="AS45"/>
      <c r="AU45"/>
    </row>
    <row r="46" spans="2:47" x14ac:dyDescent="0.25">
      <c r="B46" s="24">
        <f t="shared" si="0"/>
        <v>-1.6494080394306273E-2</v>
      </c>
      <c r="C46" s="443">
        <v>2.1399999999999999E-2</v>
      </c>
      <c r="D46" s="444">
        <f>+M46/$M$67</f>
        <v>4.9059196056937268E-3</v>
      </c>
      <c r="E46" s="31" t="s">
        <v>108</v>
      </c>
      <c r="F46" s="116">
        <v>6000</v>
      </c>
      <c r="G46" s="33">
        <f>_xll.BDP(E46&amp;" EQUITY",$G$1)</f>
        <v>509.32</v>
      </c>
      <c r="H46" s="114">
        <f>_xll.BDP(E46&amp;" EQUITY",$H$1)</f>
        <v>10.41</v>
      </c>
      <c r="I46" s="130">
        <f>_xll.BDP(E46&amp;" EQUITY",$I$1)*0.01</f>
        <v>2.0865490000000004E-2</v>
      </c>
      <c r="J46" s="158">
        <f>+RANK(I46,$I$4:$I$62)</f>
        <v>7</v>
      </c>
      <c r="K46" s="336">
        <f t="shared" si="1"/>
        <v>62460</v>
      </c>
      <c r="L46" s="352"/>
      <c r="M46" s="63">
        <f t="shared" si="2"/>
        <v>3055920</v>
      </c>
      <c r="N46" s="99"/>
      <c r="O46" s="173">
        <v>353.96</v>
      </c>
      <c r="P46" s="37">
        <f t="shared" si="3"/>
        <v>0.43891965193807225</v>
      </c>
      <c r="Q46" s="102">
        <f>+RANK(P46,$P$4:$P$62)</f>
        <v>3</v>
      </c>
      <c r="R46" s="45" t="s">
        <v>61</v>
      </c>
      <c r="S46" s="99"/>
      <c r="T46" s="173">
        <v>130</v>
      </c>
      <c r="U46" s="37">
        <f t="shared" si="4"/>
        <v>2.917846153846154</v>
      </c>
      <c r="V46" s="103">
        <f>+RANK(U46,$U$4:$U$62)</f>
        <v>2</v>
      </c>
      <c r="W46" s="45" t="s">
        <v>61</v>
      </c>
      <c r="X46" s="48"/>
      <c r="Y46" s="105" t="str">
        <f>_xll.BDP(E46&amp;" EQUITY",$Y$1)</f>
        <v>4/8/2024</v>
      </c>
      <c r="Z46" s="84">
        <f>_xll.BDP(E46&amp;" EQUITY",$Z$1)</f>
        <v>531.49</v>
      </c>
      <c r="AA46" s="591">
        <f t="shared" si="5"/>
        <v>-4.1712920280720267E-2</v>
      </c>
      <c r="AB46" s="47"/>
      <c r="AC46" s="105" t="str">
        <f>_xll.BDP(E46&amp;" EQUITY",$AC$1)</f>
        <v>8/18/2023</v>
      </c>
      <c r="AD46" s="77">
        <f>_xll.BDP(E46&amp;" EQUITY",$AD$1)</f>
        <v>274.38</v>
      </c>
      <c r="AE46" s="591">
        <f t="shared" si="6"/>
        <v>0.85625774473358107</v>
      </c>
      <c r="AF46" s="47"/>
      <c r="AS46"/>
      <c r="AU46"/>
    </row>
    <row r="47" spans="2:47" x14ac:dyDescent="0.25">
      <c r="B47" s="24"/>
      <c r="C47" s="85"/>
      <c r="D47" s="25"/>
      <c r="E47" s="3"/>
      <c r="F47" s="101"/>
      <c r="G47" s="9"/>
      <c r="H47" s="112"/>
      <c r="I47" s="127"/>
      <c r="J47" s="157"/>
      <c r="K47" s="161"/>
      <c r="L47" s="99"/>
      <c r="M47" s="62"/>
      <c r="N47" s="99"/>
      <c r="O47" s="38"/>
      <c r="P47" s="37"/>
      <c r="Q47" s="17"/>
      <c r="R47" s="45"/>
      <c r="S47" s="99"/>
      <c r="T47" s="38"/>
      <c r="U47" s="37"/>
      <c r="V47" s="17"/>
      <c r="W47" s="45"/>
      <c r="X47" s="48"/>
      <c r="Y47" s="105"/>
      <c r="Z47" s="84"/>
      <c r="AA47" s="591"/>
      <c r="AC47" s="105"/>
      <c r="AD47" s="84"/>
      <c r="AE47" s="591"/>
      <c r="AS47"/>
      <c r="AU47"/>
    </row>
    <row r="48" spans="2:47" x14ac:dyDescent="0.25">
      <c r="B48" s="24"/>
      <c r="C48" s="85"/>
      <c r="D48" s="25"/>
      <c r="E48" s="3"/>
      <c r="F48" s="101"/>
      <c r="G48" s="9"/>
      <c r="H48" s="112"/>
      <c r="I48" s="127"/>
      <c r="J48" s="157"/>
      <c r="K48" s="161"/>
      <c r="L48" s="99"/>
      <c r="M48" s="62"/>
      <c r="N48" s="99"/>
      <c r="O48" s="38"/>
      <c r="P48" s="37"/>
      <c r="Q48" s="17"/>
      <c r="R48" s="45"/>
      <c r="S48" s="99"/>
      <c r="T48" s="38"/>
      <c r="U48" s="37"/>
      <c r="V48" s="17"/>
      <c r="W48" s="45"/>
      <c r="X48" s="48"/>
      <c r="Y48" s="105"/>
      <c r="Z48" s="84"/>
      <c r="AA48" s="591"/>
      <c r="AC48" s="105"/>
      <c r="AD48" s="84"/>
      <c r="AE48" s="591"/>
      <c r="AS48"/>
      <c r="AU48"/>
    </row>
    <row r="49" spans="1:47" x14ac:dyDescent="0.25">
      <c r="B49" s="22"/>
      <c r="C49" s="100"/>
      <c r="E49" s="3"/>
      <c r="F49" s="101"/>
      <c r="G49" s="9"/>
      <c r="H49" s="112"/>
      <c r="I49" s="127"/>
      <c r="J49" s="158"/>
      <c r="K49" s="161"/>
      <c r="L49" s="99"/>
      <c r="M49" s="125"/>
      <c r="N49" s="99"/>
      <c r="O49" s="36"/>
      <c r="P49" s="37"/>
      <c r="Q49" s="17"/>
      <c r="R49" s="45"/>
      <c r="S49" s="99"/>
      <c r="T49" s="36"/>
      <c r="U49" s="37"/>
      <c r="V49" s="17"/>
      <c r="W49" s="45"/>
      <c r="X49" s="48"/>
      <c r="Y49" s="105"/>
      <c r="Z49" s="77"/>
      <c r="AA49" s="591"/>
      <c r="AB49" s="47"/>
      <c r="AC49" s="105"/>
      <c r="AD49" s="77"/>
      <c r="AE49" s="591"/>
      <c r="AF49" s="47"/>
      <c r="AS49"/>
      <c r="AU49"/>
    </row>
    <row r="50" spans="1:47" x14ac:dyDescent="0.25">
      <c r="B50" s="22"/>
      <c r="E50" s="3"/>
      <c r="F50" s="101"/>
      <c r="G50" s="9"/>
      <c r="H50" s="112"/>
      <c r="I50" s="113"/>
      <c r="J50" s="157"/>
      <c r="K50" s="161"/>
      <c r="L50" s="99"/>
      <c r="M50" s="81">
        <f>SUM(M4:M49)</f>
        <v>469549622.5</v>
      </c>
      <c r="N50" s="99"/>
      <c r="O50" s="36"/>
      <c r="P50" s="37"/>
      <c r="Q50" s="17"/>
      <c r="R50" s="45"/>
      <c r="S50" s="99"/>
      <c r="T50" s="36"/>
      <c r="U50" s="37"/>
      <c r="V50" s="17"/>
      <c r="W50" s="45"/>
      <c r="X50" s="48"/>
      <c r="Y50" s="105"/>
      <c r="Z50" s="77"/>
      <c r="AA50" s="591"/>
      <c r="AB50" s="47"/>
      <c r="AC50" s="105"/>
      <c r="AD50" s="77"/>
      <c r="AE50" s="591"/>
      <c r="AF50" s="47"/>
      <c r="AS50"/>
      <c r="AU50"/>
    </row>
    <row r="51" spans="1:47" x14ac:dyDescent="0.25">
      <c r="E51" s="3"/>
      <c r="F51" s="29"/>
      <c r="G51" s="9"/>
      <c r="H51" s="112"/>
      <c r="I51" s="113"/>
      <c r="J51" s="157"/>
      <c r="K51" s="161"/>
      <c r="L51" s="99"/>
      <c r="M51" s="132"/>
      <c r="N51" s="99"/>
      <c r="O51" s="36"/>
      <c r="P51" s="37"/>
      <c r="Q51" s="17"/>
      <c r="R51" s="28"/>
      <c r="S51" s="99"/>
      <c r="T51" s="36"/>
      <c r="U51" s="37"/>
      <c r="V51" s="17"/>
      <c r="W51" s="28"/>
      <c r="X51" s="48"/>
      <c r="Y51" s="105"/>
      <c r="Z51" s="77"/>
      <c r="AA51" s="591"/>
      <c r="AB51" s="47"/>
      <c r="AC51" s="105"/>
      <c r="AD51" s="77"/>
      <c r="AE51" s="591"/>
      <c r="AF51" s="47"/>
      <c r="AS51"/>
      <c r="AU51"/>
    </row>
    <row r="52" spans="1:47" ht="15.75" x14ac:dyDescent="0.25">
      <c r="E52" s="15" t="s">
        <v>54</v>
      </c>
      <c r="F52" s="29"/>
      <c r="G52" s="9"/>
      <c r="H52" s="112"/>
      <c r="I52" s="113"/>
      <c r="J52" s="157"/>
      <c r="K52" s="161"/>
      <c r="L52" s="99"/>
      <c r="M52" s="132"/>
      <c r="N52" s="99"/>
      <c r="O52" s="36"/>
      <c r="P52" s="37"/>
      <c r="Q52" s="17"/>
      <c r="R52" s="28"/>
      <c r="S52" s="99"/>
      <c r="T52" s="36"/>
      <c r="U52" s="37"/>
      <c r="V52" s="17"/>
      <c r="W52" s="28"/>
      <c r="X52" s="48"/>
      <c r="Y52" s="105"/>
      <c r="Z52" s="77"/>
      <c r="AA52" s="591"/>
      <c r="AB52" s="47"/>
      <c r="AC52" s="105"/>
      <c r="AD52" s="77"/>
      <c r="AE52" s="591"/>
      <c r="AF52" s="47"/>
      <c r="AS52"/>
      <c r="AU52"/>
    </row>
    <row r="53" spans="1:47" x14ac:dyDescent="0.25">
      <c r="D53" s="87"/>
      <c r="E53" s="3"/>
      <c r="F53" s="29"/>
      <c r="G53" s="9"/>
      <c r="H53" s="112"/>
      <c r="I53" s="113"/>
      <c r="J53" s="157"/>
      <c r="K53" s="161"/>
      <c r="L53" s="99"/>
      <c r="M53" s="132"/>
      <c r="N53" s="99"/>
      <c r="O53" s="36"/>
      <c r="P53" s="37"/>
      <c r="Q53" s="17"/>
      <c r="R53" s="28"/>
      <c r="S53" s="99"/>
      <c r="T53" s="36"/>
      <c r="U53" s="37"/>
      <c r="V53" s="17"/>
      <c r="W53" s="28"/>
      <c r="X53" s="48"/>
      <c r="Y53" s="105"/>
      <c r="Z53" s="77"/>
      <c r="AA53" s="591"/>
      <c r="AB53" s="47"/>
      <c r="AC53" s="105"/>
      <c r="AD53" s="77"/>
      <c r="AE53" s="591"/>
      <c r="AF53" s="47"/>
      <c r="AS53"/>
      <c r="AU53"/>
    </row>
    <row r="54" spans="1:47" x14ac:dyDescent="0.25">
      <c r="D54" s="88">
        <f t="shared" ref="D54:D62" si="15">+M54/$M$67</f>
        <v>8.207741306334583E-2</v>
      </c>
      <c r="E54" s="3" t="s">
        <v>45</v>
      </c>
      <c r="F54" s="29">
        <v>208000</v>
      </c>
      <c r="G54" s="9">
        <f>_xll.BDP(E54&amp;" EQUITY",$G$1)</f>
        <v>245.8</v>
      </c>
      <c r="H54" s="112">
        <f>_xll.BDP(E54&amp;" EQUITY",$H$1)</f>
        <v>3.15</v>
      </c>
      <c r="I54" s="113">
        <f>_xll.BDP(E54&amp;" EQUITY",$I$1)*0.01</f>
        <v>1.2981659999999999E-2</v>
      </c>
      <c r="J54" s="157">
        <f>+RANK(I54,$I$4:$I$62)</f>
        <v>12</v>
      </c>
      <c r="K54" s="161">
        <f t="shared" ref="K54:K62" si="16">+H54*F54</f>
        <v>655200</v>
      </c>
      <c r="L54" s="99"/>
      <c r="M54" s="62">
        <f t="shared" ref="M54:M62" si="17">+G54*F54</f>
        <v>51126400</v>
      </c>
      <c r="N54" s="99"/>
      <c r="O54" s="173">
        <f>576.1/3</f>
        <v>192.03333333333333</v>
      </c>
      <c r="P54" s="37">
        <f t="shared" ref="P54:P62" si="18">+G54/O54-1</f>
        <v>0.27998611352195812</v>
      </c>
      <c r="Q54" s="102">
        <f>+RANK(P54,$P$4:$P$62)</f>
        <v>9</v>
      </c>
      <c r="R54" s="45" t="s">
        <v>61</v>
      </c>
      <c r="S54" s="99"/>
      <c r="T54" s="173">
        <v>347.98</v>
      </c>
      <c r="U54" s="37">
        <f t="shared" ref="U54:U62" si="19">+G54/T54-1</f>
        <v>-0.29363756537732055</v>
      </c>
      <c r="V54" s="82">
        <f>+RANK(U54,$U$4:$U$62)</f>
        <v>51</v>
      </c>
      <c r="W54" s="45" t="s">
        <v>61</v>
      </c>
      <c r="X54" s="48"/>
      <c r="Y54" s="105" t="str">
        <f>_xll.BDP(E54&amp;" EQUITY",$Y$1)</f>
        <v>6/18/2024</v>
      </c>
      <c r="Z54" s="77">
        <f>_xll.BDP(E54&amp;" EQUITY",$Z$1)</f>
        <v>260.64999389648438</v>
      </c>
      <c r="AA54" s="591">
        <f t="shared" ref="AA54:AA62" si="20">+G54/Z54-1</f>
        <v>-5.697293015238647E-2</v>
      </c>
      <c r="AB54" s="47"/>
      <c r="AC54" s="105" t="str">
        <f>_xll.BDP(E54&amp;" EQUITY",$AC$1)</f>
        <v>10/31/2023</v>
      </c>
      <c r="AD54" s="77">
        <f>_xll.BDP(E54&amp;" EQUITY",$AD$1)</f>
        <v>144.40333557128906</v>
      </c>
      <c r="AE54" s="591">
        <f>+G54/AD54-1</f>
        <v>0.70217674700909827</v>
      </c>
      <c r="AF54" s="47"/>
      <c r="AS54"/>
      <c r="AU54"/>
    </row>
    <row r="55" spans="1:47" x14ac:dyDescent="0.25">
      <c r="D55" s="88">
        <f t="shared" si="15"/>
        <v>2.9872952178967013E-2</v>
      </c>
      <c r="E55" s="3" t="s">
        <v>44</v>
      </c>
      <c r="F55" s="29">
        <v>200000</v>
      </c>
      <c r="G55" s="9">
        <f>_xll.BDP(E55&amp;" EQUITY",$G$1)</f>
        <v>93.04</v>
      </c>
      <c r="H55" s="112">
        <f>_xll.BDP(E55&amp;" EQUITY",$H$1)</f>
        <v>0.01</v>
      </c>
      <c r="I55" s="113">
        <f>_xll.BDP(E55&amp;" EQUITY",$I$1)*0.01</f>
        <v>1.0749220000000001E-4</v>
      </c>
      <c r="J55" s="157">
        <f>+RANK(I55,$I$4:$I$62)</f>
        <v>24</v>
      </c>
      <c r="K55" s="161">
        <f t="shared" si="16"/>
        <v>2000</v>
      </c>
      <c r="L55" s="99"/>
      <c r="M55" s="62">
        <f t="shared" si="17"/>
        <v>18608000</v>
      </c>
      <c r="N55" s="99"/>
      <c r="O55" s="173">
        <v>81.366</v>
      </c>
      <c r="P55" s="37">
        <f t="shared" si="18"/>
        <v>0.14347516161541685</v>
      </c>
      <c r="Q55" s="102">
        <f>+RANK(P55,$P$4:$P$62)</f>
        <v>16</v>
      </c>
      <c r="R55" s="45" t="s">
        <v>61</v>
      </c>
      <c r="S55" s="99"/>
      <c r="T55" s="173">
        <v>77.740799999999993</v>
      </c>
      <c r="U55" s="37">
        <f t="shared" si="19"/>
        <v>0.19679756318432551</v>
      </c>
      <c r="V55" s="17">
        <f>+RANK(U55,$U$4:$U$62)</f>
        <v>31</v>
      </c>
      <c r="W55" s="45"/>
      <c r="X55" s="48"/>
      <c r="Y55" s="105" t="str">
        <f>_xll.BDP(E55&amp;" EQUITY",$Y$1)</f>
        <v>6/25/2024</v>
      </c>
      <c r="Z55" s="77">
        <f>_xll.BDP(E55&amp;" EQUITY",$Z$1)</f>
        <v>93.44</v>
      </c>
      <c r="AA55" s="591">
        <f t="shared" si="20"/>
        <v>-4.2808219178080975E-3</v>
      </c>
      <c r="AB55" s="47"/>
      <c r="AC55" s="105" t="str">
        <f>_xll.BDP(E55&amp;" EQUITY",$AC$1)</f>
        <v>10/27/2023</v>
      </c>
      <c r="AD55" s="77">
        <f>_xll.BDP(E55&amp;" EQUITY",$AD$1)</f>
        <v>74.05</v>
      </c>
      <c r="AE55" s="591">
        <f>+G55/AD55-1</f>
        <v>0.25644834571235675</v>
      </c>
      <c r="AF55" s="47"/>
      <c r="AS55"/>
      <c r="AU55"/>
    </row>
    <row r="56" spans="1:47" x14ac:dyDescent="0.25">
      <c r="D56" s="25">
        <f t="shared" si="15"/>
        <v>2.6262929201492639E-2</v>
      </c>
      <c r="E56" s="3" t="s">
        <v>112</v>
      </c>
      <c r="F56" s="101">
        <f>135000+45000</f>
        <v>180000</v>
      </c>
      <c r="G56" s="9">
        <f>_xll.BDP(E56&amp;" EQUITY",$G$1)</f>
        <v>90.885000000000005</v>
      </c>
      <c r="H56" s="112">
        <f>_xll.BDP(E56&amp;" EQUITY",$H$1)</f>
        <v>-0.32500000000000001</v>
      </c>
      <c r="I56" s="113">
        <f>_xll.BDP(E56&amp;" EQUITY",$I$1)*0.01</f>
        <v>-3.5604730000000002E-3</v>
      </c>
      <c r="J56" s="157">
        <f>+RANK(I56,$I$4:$I$62)</f>
        <v>29</v>
      </c>
      <c r="K56" s="161">
        <f t="shared" si="16"/>
        <v>-58500</v>
      </c>
      <c r="L56" s="99"/>
      <c r="M56" s="62">
        <f t="shared" si="17"/>
        <v>16359300</v>
      </c>
      <c r="N56" s="99"/>
      <c r="O56" s="173">
        <v>89.29</v>
      </c>
      <c r="P56" s="37">
        <f t="shared" si="18"/>
        <v>1.7863142569156665E-2</v>
      </c>
      <c r="Q56" s="102">
        <f>+RANK(P56,$P$4:$P$62)</f>
        <v>35</v>
      </c>
      <c r="R56" s="45" t="s">
        <v>61</v>
      </c>
      <c r="S56" s="99"/>
      <c r="T56" s="173">
        <v>87.47</v>
      </c>
      <c r="U56" s="37">
        <f t="shared" si="19"/>
        <v>3.9041957242483161E-2</v>
      </c>
      <c r="V56" s="103">
        <f>+RANK(U56,$U$4:$U$62)</f>
        <v>38</v>
      </c>
      <c r="W56" s="45"/>
      <c r="X56" s="48"/>
      <c r="Y56" s="105" t="str">
        <f>_xll.BDP(E56&amp;" EQUITY",$Y$1)</f>
        <v>4/12/2024</v>
      </c>
      <c r="Z56" s="84">
        <f>_xll.BDP(E56&amp;" EQUITY",$Z$1)</f>
        <v>98.97</v>
      </c>
      <c r="AA56" s="591">
        <f t="shared" si="20"/>
        <v>-8.1691421642922091E-2</v>
      </c>
      <c r="AB56" s="47"/>
      <c r="AC56" s="105" t="str">
        <f>_xll.BDP(E56&amp;" EQUITY",$AC$1)</f>
        <v>6/26/2023</v>
      </c>
      <c r="AD56" s="77">
        <f>_xll.BDP(E56&amp;" EQUITY",$AD$1)</f>
        <v>77.319999999999993</v>
      </c>
      <c r="AE56" s="591">
        <f>+G56/AD56-1</f>
        <v>0.17543973098810151</v>
      </c>
      <c r="AF56" s="47"/>
      <c r="AS56"/>
      <c r="AU56"/>
    </row>
    <row r="57" spans="1:47" x14ac:dyDescent="0.25">
      <c r="D57" s="88">
        <f t="shared" si="15"/>
        <v>2.9282653140047937E-2</v>
      </c>
      <c r="E57" s="3" t="s">
        <v>51</v>
      </c>
      <c r="F57" s="101">
        <v>195000</v>
      </c>
      <c r="G57" s="9">
        <f>_xll.BDP(E57&amp;" EQUITY",$G$1)</f>
        <v>93.54</v>
      </c>
      <c r="H57" s="112">
        <f>_xll.BDP(E57&amp;" EQUITY",$H$1)</f>
        <v>-0.2</v>
      </c>
      <c r="I57" s="113">
        <f>_xll.BDP(E57&amp;" EQUITY",$I$1)*0.01</f>
        <v>-2.133561E-3</v>
      </c>
      <c r="J57" s="157">
        <f>+RANK(I57,$I$4:$I$62)</f>
        <v>25</v>
      </c>
      <c r="K57" s="161">
        <f t="shared" si="16"/>
        <v>-39000</v>
      </c>
      <c r="L57" s="99"/>
      <c r="M57" s="62">
        <f t="shared" si="17"/>
        <v>18240300</v>
      </c>
      <c r="N57" s="99"/>
      <c r="O57" s="173">
        <v>83.84</v>
      </c>
      <c r="P57" s="37">
        <f t="shared" si="18"/>
        <v>0.11569656488549618</v>
      </c>
      <c r="Q57" s="102">
        <f>+RANK(P57,$P$4:$P$62)</f>
        <v>20</v>
      </c>
      <c r="R57" s="45" t="s">
        <v>61</v>
      </c>
      <c r="S57" s="99"/>
      <c r="T57" s="173">
        <v>83</v>
      </c>
      <c r="U57" s="37">
        <f t="shared" si="19"/>
        <v>0.12698795180722899</v>
      </c>
      <c r="V57" s="103">
        <f>+RANK(U57,$U$4:$U$62)</f>
        <v>35</v>
      </c>
      <c r="W57" s="45"/>
      <c r="X57" s="48"/>
      <c r="Y57" s="105" t="str">
        <f>_xll.BDP(E57&amp;" EQUITY",$Y$1)</f>
        <v>2/28/2024</v>
      </c>
      <c r="Z57" s="77">
        <f>_xll.BDP(E57&amp;" EQUITY",$Z$1)</f>
        <v>103.52</v>
      </c>
      <c r="AA57" s="591">
        <f t="shared" si="20"/>
        <v>-9.6406491499227087E-2</v>
      </c>
      <c r="AB57" s="47"/>
      <c r="AC57" s="105" t="str">
        <f>_xll.BDP(E57&amp;" EQUITY",$AC$1)</f>
        <v>10/31/2023</v>
      </c>
      <c r="AD57" s="77">
        <f>_xll.BDP(E57&amp;" EQUITY",$AD$1)</f>
        <v>63.8</v>
      </c>
      <c r="AE57" s="591">
        <f>+G57/AD57-1</f>
        <v>0.46614420062695938</v>
      </c>
      <c r="AF57" s="47"/>
      <c r="AS57"/>
      <c r="AU57"/>
    </row>
    <row r="58" spans="1:47" x14ac:dyDescent="0.25">
      <c r="D58" s="88">
        <f t="shared" si="15"/>
        <v>2.4822419743722481E-2</v>
      </c>
      <c r="E58" s="482" t="s">
        <v>48</v>
      </c>
      <c r="F58" s="29">
        <v>200000</v>
      </c>
      <c r="G58" s="9">
        <f>_xll.BDP(E58&amp;" EQUITY",$G$1)</f>
        <v>77.31</v>
      </c>
      <c r="H58" s="112">
        <f>_xll.BDP(E58&amp;" EQUITY",$H$1)</f>
        <v>-0.63</v>
      </c>
      <c r="I58" s="113">
        <f>_xll.BDP(E58&amp;" EQUITY",$I$1)*0.01</f>
        <v>-8.0862529999999998E-3</v>
      </c>
      <c r="J58" s="157">
        <f>+RANK(I58,$I$4:$I$62)</f>
        <v>38</v>
      </c>
      <c r="K58" s="161">
        <f t="shared" si="16"/>
        <v>-126000</v>
      </c>
      <c r="L58" s="99"/>
      <c r="M58" s="62">
        <f t="shared" si="17"/>
        <v>15462000</v>
      </c>
      <c r="N58" s="99"/>
      <c r="O58" s="173">
        <v>72.03</v>
      </c>
      <c r="P58" s="37">
        <f t="shared" si="18"/>
        <v>7.3302790503956716E-2</v>
      </c>
      <c r="Q58" s="102">
        <f>+RANK(P58,$P$4:$P$62)</f>
        <v>27</v>
      </c>
      <c r="R58" s="45" t="s">
        <v>61</v>
      </c>
      <c r="S58" s="99"/>
      <c r="T58" s="173">
        <v>74.55</v>
      </c>
      <c r="U58" s="37">
        <f t="shared" si="19"/>
        <v>3.7022132796780793E-2</v>
      </c>
      <c r="V58" s="17">
        <f>+RANK(U58,$U$4:$U$62)</f>
        <v>40</v>
      </c>
      <c r="W58" s="45"/>
      <c r="X58" s="48"/>
      <c r="Y58" s="105" t="str">
        <f>_xll.BDP(E58&amp;" EQUITY",$Y$1)</f>
        <v>5/16/2024</v>
      </c>
      <c r="Z58" s="77">
        <f>_xll.BDP(E58&amp;" EQUITY",$Z$1)</f>
        <v>78.61</v>
      </c>
      <c r="AA58" s="591">
        <f t="shared" si="20"/>
        <v>-1.653733621676623E-2</v>
      </c>
      <c r="AB58" s="47"/>
      <c r="AC58" s="105" t="str">
        <f>_xll.BDP(E58&amp;" EQUITY",$AC$1)</f>
        <v>10/6/2023</v>
      </c>
      <c r="AD58" s="77">
        <f>_xll.BDP(E58&amp;" EQUITY",$AD$1)</f>
        <v>65.180000000000007</v>
      </c>
      <c r="AE58" s="591">
        <f>+G58/AD58-1</f>
        <v>0.18610003068425884</v>
      </c>
      <c r="AF58" s="47"/>
      <c r="AS58"/>
      <c r="AU58"/>
    </row>
    <row r="59" spans="1:47" x14ac:dyDescent="0.25">
      <c r="D59" s="88">
        <f t="shared" si="15"/>
        <v>1.9714093548888378E-2</v>
      </c>
      <c r="E59" s="3" t="s">
        <v>49</v>
      </c>
      <c r="F59" s="101">
        <v>160000</v>
      </c>
      <c r="G59" s="9">
        <f>_xll.BDP(E59&amp;" EQUITY",$G$1)</f>
        <v>76.75</v>
      </c>
      <c r="H59" s="112">
        <f>_xll.BDP(E59&amp;" EQUITY",$H$1)</f>
        <v>-0.95</v>
      </c>
      <c r="I59" s="113">
        <f>_xll.BDP(E59&amp;" EQUITY",$I$1)*0.01</f>
        <v>-1.2226509999999999E-2</v>
      </c>
      <c r="J59" s="157">
        <f>+RANK(I59,$I$4:$I$62)</f>
        <v>43</v>
      </c>
      <c r="K59" s="161">
        <f t="shared" si="16"/>
        <v>-152000</v>
      </c>
      <c r="L59" s="99"/>
      <c r="M59" s="62">
        <f t="shared" si="17"/>
        <v>12280000</v>
      </c>
      <c r="N59" s="99"/>
      <c r="O59" s="173">
        <v>83.49</v>
      </c>
      <c r="P59" s="37">
        <f t="shared" si="18"/>
        <v>-8.0728230925859346E-2</v>
      </c>
      <c r="Q59" s="102">
        <f>+RANK(P59,$P$4:$P$62)</f>
        <v>42</v>
      </c>
      <c r="R59" s="45"/>
      <c r="S59" s="99"/>
      <c r="T59" s="173">
        <v>67.209999999999994</v>
      </c>
      <c r="U59" s="37">
        <f t="shared" si="19"/>
        <v>0.14194316321975897</v>
      </c>
      <c r="V59" s="17">
        <f>+RANK(U59,$U$4:$U$62)</f>
        <v>34</v>
      </c>
      <c r="W59" s="45" t="s">
        <v>61</v>
      </c>
      <c r="X59" s="48"/>
      <c r="Y59" s="105" t="str">
        <f>_xll.BDP(E59&amp;" EQUITY",$Y$1)</f>
        <v>7/31/2023</v>
      </c>
      <c r="Z59" s="77">
        <f>_xll.BDP(E59&amp;" EQUITY",$Z$1)</f>
        <v>88.141400000000004</v>
      </c>
      <c r="AA59" s="591">
        <f t="shared" si="20"/>
        <v>-0.12924006199130034</v>
      </c>
      <c r="AB59" s="47"/>
      <c r="AC59" s="105" t="str">
        <f>_xll.BDP(E59&amp;" EQUITY",$AC$1)</f>
        <v>10/27/2023</v>
      </c>
      <c r="AD59" s="77">
        <f>_xll.BDP(E59&amp;" EQUITY",$AD$1)</f>
        <v>66.745699999999999</v>
      </c>
      <c r="AE59" s="591">
        <f>+G59/AD59-1</f>
        <v>0.14988680918770791</v>
      </c>
      <c r="AF59" s="47"/>
      <c r="AS59"/>
      <c r="AU59"/>
    </row>
    <row r="60" spans="1:47" x14ac:dyDescent="0.25">
      <c r="D60" s="88">
        <f t="shared" si="15"/>
        <v>1.0102670252699883E-2</v>
      </c>
      <c r="E60" s="3" t="s">
        <v>50</v>
      </c>
      <c r="F60" s="29">
        <v>100000</v>
      </c>
      <c r="G60" s="9">
        <f>_xll.BDP(E60&amp;" EQUITY",$G$1)</f>
        <v>62.93</v>
      </c>
      <c r="H60" s="112">
        <f>_xll.BDP(E60&amp;" EQUITY",$H$1)</f>
        <v>0.28000000000000003</v>
      </c>
      <c r="I60" s="113">
        <f>_xll.BDP(E60&amp;" EQUITY",$I$1)*0.01</f>
        <v>4.4692739999999996E-3</v>
      </c>
      <c r="J60" s="157">
        <f>+RANK(I60,$I$4:$I$62)</f>
        <v>17</v>
      </c>
      <c r="K60" s="161">
        <f t="shared" si="16"/>
        <v>28000.000000000004</v>
      </c>
      <c r="L60" s="99"/>
      <c r="M60" s="62">
        <f t="shared" si="17"/>
        <v>6293000</v>
      </c>
      <c r="N60" s="99"/>
      <c r="O60" s="173">
        <v>60.41</v>
      </c>
      <c r="P60" s="37">
        <f t="shared" si="18"/>
        <v>4.1714947856315243E-2</v>
      </c>
      <c r="Q60" s="102">
        <f>+RANK(P60,$P$4:$P$62)</f>
        <v>33</v>
      </c>
      <c r="R60" s="45" t="s">
        <v>61</v>
      </c>
      <c r="S60" s="99"/>
      <c r="T60" s="173">
        <v>44.05</v>
      </c>
      <c r="U60" s="37">
        <f t="shared" si="19"/>
        <v>0.42860385925085143</v>
      </c>
      <c r="V60" s="17">
        <f>+RANK(U60,$U$4:$U$62)</f>
        <v>21</v>
      </c>
      <c r="W60" s="45" t="s">
        <v>61</v>
      </c>
      <c r="X60" s="7"/>
      <c r="Y60" s="105" t="str">
        <f>_xll.BDP(E60&amp;" EQUITY",$Y$1)</f>
        <v>2/9/2024</v>
      </c>
      <c r="Z60" s="77">
        <f>_xll.BDP(E60&amp;" EQUITY",$Z$1)</f>
        <v>67.489998</v>
      </c>
      <c r="AA60" s="591">
        <f t="shared" si="20"/>
        <v>-6.7565537637147344E-2</v>
      </c>
      <c r="AB60" s="47"/>
      <c r="AC60" s="105" t="str">
        <f>_xll.BDP(E60&amp;" EQUITY",$AC$1)</f>
        <v>8/18/2023</v>
      </c>
      <c r="AD60" s="77">
        <f>_xll.BDP(E60&amp;" EQUITY",$AD$1)</f>
        <v>48.700001</v>
      </c>
      <c r="AE60" s="591">
        <f>+G60/AD60-1</f>
        <v>0.29219709872285216</v>
      </c>
      <c r="AF60" s="47"/>
      <c r="AS60"/>
      <c r="AU60"/>
    </row>
    <row r="61" spans="1:47" x14ac:dyDescent="0.25">
      <c r="A61" s="17"/>
      <c r="B61" s="24"/>
      <c r="C61" s="85"/>
      <c r="D61" s="88">
        <f t="shared" si="15"/>
        <v>1.3255640914753364E-2</v>
      </c>
      <c r="E61" s="482" t="s">
        <v>47</v>
      </c>
      <c r="F61" s="29">
        <v>200000</v>
      </c>
      <c r="G61" s="9">
        <f>_xll.BDP(E61&amp;" EQUITY",$G$1)</f>
        <v>41.284999999999997</v>
      </c>
      <c r="H61" s="112">
        <f>_xll.BDP(E61&amp;" EQUITY",$H$1)</f>
        <v>-0.28000000000000003</v>
      </c>
      <c r="I61" s="127">
        <f>_xll.BDP(E61&amp;" EQUITY",$I$1)*0.01</f>
        <v>-6.7323880000000006E-3</v>
      </c>
      <c r="J61" s="157">
        <f>+RANK(I61,$I$4:$I$62)</f>
        <v>36</v>
      </c>
      <c r="K61" s="161">
        <f t="shared" si="16"/>
        <v>-56000.000000000007</v>
      </c>
      <c r="L61" s="99"/>
      <c r="M61" s="155">
        <f t="shared" si="17"/>
        <v>8256999.9999999991</v>
      </c>
      <c r="N61" s="99"/>
      <c r="O61" s="173">
        <v>37.6</v>
      </c>
      <c r="P61" s="37">
        <f t="shared" si="18"/>
        <v>9.8005319148936065E-2</v>
      </c>
      <c r="Q61" s="102">
        <f>+RANK(P61,$P$4:$P$62)</f>
        <v>24</v>
      </c>
      <c r="R61" s="45" t="s">
        <v>61</v>
      </c>
      <c r="S61" s="99"/>
      <c r="T61" s="173">
        <v>34.200000000000003</v>
      </c>
      <c r="U61" s="37">
        <f t="shared" si="19"/>
        <v>0.20716374269005833</v>
      </c>
      <c r="V61" s="17">
        <f>+RANK(U61,$U$4:$U$62)</f>
        <v>29</v>
      </c>
      <c r="W61" s="45"/>
      <c r="X61" s="48"/>
      <c r="Y61" s="105" t="str">
        <f>_xll.BDP(E61&amp;" EQUITY",$Y$1)</f>
        <v>5/17/2024</v>
      </c>
      <c r="Z61" s="77">
        <f>_xll.BDP(E61&amp;" EQUITY",$Z$1)</f>
        <v>42.49</v>
      </c>
      <c r="AA61" s="591">
        <f t="shared" si="20"/>
        <v>-2.835961402682996E-2</v>
      </c>
      <c r="AB61" s="47"/>
      <c r="AC61" s="105" t="str">
        <f>_xll.BDP(E61&amp;" EQUITY",$AC$1)</f>
        <v>10/27/2023</v>
      </c>
      <c r="AD61" s="77">
        <f>_xll.BDP(E61&amp;" EQUITY",$AD$1)</f>
        <v>31.355</v>
      </c>
      <c r="AE61" s="591">
        <f>+G61/AD61-1</f>
        <v>0.31669590177005258</v>
      </c>
      <c r="AF61" s="47"/>
      <c r="AS61"/>
      <c r="AU61"/>
    </row>
    <row r="62" spans="1:47" x14ac:dyDescent="0.25">
      <c r="D62" s="88">
        <f t="shared" si="15"/>
        <v>1.0802616896618069E-2</v>
      </c>
      <c r="E62" s="482" t="s">
        <v>46</v>
      </c>
      <c r="F62" s="29">
        <v>150000</v>
      </c>
      <c r="G62" s="9">
        <f>_xll.BDP(E62&amp;" EQUITY",$G$1)</f>
        <v>44.86</v>
      </c>
      <c r="H62" s="112">
        <f>_xll.BDP(E62&amp;" EQUITY",$H$1)</f>
        <v>-0.45</v>
      </c>
      <c r="I62" s="113">
        <f>_xll.BDP(E62&amp;" EQUITY",$I$1)*0.01</f>
        <v>-9.9315819999999996E-3</v>
      </c>
      <c r="J62" s="157">
        <f>+RANK(I62,$I$4:$I$62)</f>
        <v>39</v>
      </c>
      <c r="K62" s="161">
        <f t="shared" si="16"/>
        <v>-67500</v>
      </c>
      <c r="L62" s="99"/>
      <c r="M62" s="62">
        <f t="shared" si="17"/>
        <v>6729000</v>
      </c>
      <c r="N62" s="99"/>
      <c r="O62" s="173">
        <v>46.02</v>
      </c>
      <c r="P62" s="37">
        <f t="shared" si="18"/>
        <v>-2.520643198609307E-2</v>
      </c>
      <c r="Q62" s="102">
        <f>+RANK(P62,$P$4:$P$62)</f>
        <v>39</v>
      </c>
      <c r="R62" s="45"/>
      <c r="S62" s="99"/>
      <c r="T62" s="173">
        <v>45.15</v>
      </c>
      <c r="U62" s="37">
        <f t="shared" si="19"/>
        <v>-6.4230343300110126E-3</v>
      </c>
      <c r="V62" s="103">
        <f>+RANK(U62,$U$4:$U$62)</f>
        <v>42</v>
      </c>
      <c r="W62" s="45"/>
      <c r="X62" s="48"/>
      <c r="Y62" s="105" t="str">
        <f>_xll.BDP(E62&amp;" EQUITY",$Y$1)</f>
        <v>5/15/2024</v>
      </c>
      <c r="Z62" s="77">
        <f>_xll.BDP(E62&amp;" EQUITY",$Z$1)</f>
        <v>48.32</v>
      </c>
      <c r="AA62" s="591">
        <f t="shared" si="20"/>
        <v>-7.1605960264900625E-2</v>
      </c>
      <c r="AB62" s="47"/>
      <c r="AC62" s="105" t="str">
        <f>_xll.BDP(E62&amp;" EQUITY",$AC$1)</f>
        <v>10/25/2023</v>
      </c>
      <c r="AD62" s="77">
        <f>_xll.BDP(E62&amp;" EQUITY",$AD$1)</f>
        <v>33.97</v>
      </c>
      <c r="AE62" s="591">
        <f>+G62/AD62-1</f>
        <v>0.32057697968796006</v>
      </c>
      <c r="AF62" s="47"/>
      <c r="AS62"/>
      <c r="AU62"/>
    </row>
    <row r="63" spans="1:47" x14ac:dyDescent="0.25">
      <c r="E63" s="3"/>
      <c r="F63" s="29"/>
      <c r="G63" s="9"/>
      <c r="H63" s="9"/>
      <c r="J63" s="157"/>
      <c r="K63" s="161"/>
      <c r="L63" s="99"/>
      <c r="M63" s="125"/>
      <c r="O63" s="43"/>
      <c r="P63" s="46"/>
      <c r="Q63" s="41"/>
      <c r="R63" s="44"/>
      <c r="T63" s="43"/>
      <c r="U63" s="46"/>
      <c r="V63" s="41"/>
      <c r="W63" s="44"/>
      <c r="X63" s="48"/>
      <c r="Y63" s="97"/>
      <c r="Z63" s="76"/>
      <c r="AA63" s="765"/>
      <c r="AB63" s="47"/>
      <c r="AC63" s="97"/>
      <c r="AD63" s="76"/>
      <c r="AE63" s="765"/>
      <c r="AF63" s="47"/>
      <c r="AS63"/>
      <c r="AU63"/>
    </row>
    <row r="64" spans="1:47" x14ac:dyDescent="0.25">
      <c r="E64" s="3"/>
      <c r="F64" s="29"/>
      <c r="G64" s="9"/>
      <c r="H64" s="9"/>
      <c r="J64" s="157"/>
      <c r="K64" s="161"/>
      <c r="L64" s="67">
        <f>+M64/M67</f>
        <v>0.24619338894053561</v>
      </c>
      <c r="M64" s="16">
        <f>SUM(M54:M63)</f>
        <v>153355000</v>
      </c>
      <c r="N64" s="10"/>
      <c r="O64" s="5"/>
      <c r="P64" s="6"/>
      <c r="Q64" s="7"/>
      <c r="S64" s="10"/>
      <c r="T64" s="5"/>
      <c r="U64" s="6"/>
      <c r="V64" s="7"/>
      <c r="X64" s="67"/>
      <c r="AB64" s="47"/>
      <c r="AE64" s="120"/>
      <c r="AF64" s="47"/>
      <c r="AS64"/>
      <c r="AU64"/>
    </row>
    <row r="65" spans="2:47" x14ac:dyDescent="0.25">
      <c r="E65" s="3"/>
      <c r="F65" s="29"/>
      <c r="G65" s="9"/>
      <c r="H65" s="9"/>
      <c r="J65" s="157"/>
      <c r="K65" s="132"/>
      <c r="M65" s="132"/>
      <c r="O65" s="5"/>
      <c r="P65" s="6"/>
      <c r="Q65" s="7"/>
      <c r="T65" s="5"/>
      <c r="U65" s="6"/>
      <c r="V65" s="7"/>
      <c r="X65" s="7"/>
      <c r="AE65" s="7"/>
      <c r="AF65" s="47"/>
      <c r="AS65"/>
      <c r="AU65"/>
    </row>
    <row r="66" spans="2:47" x14ac:dyDescent="0.25">
      <c r="E66" s="3"/>
      <c r="F66" s="29"/>
      <c r="G66" s="9"/>
      <c r="H66" s="9"/>
      <c r="J66" s="157"/>
      <c r="K66" s="132"/>
      <c r="M66" s="132"/>
      <c r="O66" s="5"/>
      <c r="P66" s="6"/>
      <c r="Q66" s="7"/>
      <c r="T66" s="5"/>
      <c r="U66" s="6"/>
      <c r="V66" s="7"/>
      <c r="X66" s="7"/>
      <c r="AE66" s="7"/>
      <c r="AF66" s="47"/>
      <c r="AS66"/>
      <c r="AU66"/>
    </row>
    <row r="67" spans="2:47" x14ac:dyDescent="0.25">
      <c r="E67" s="31"/>
      <c r="F67" s="32"/>
      <c r="G67" s="33"/>
      <c r="H67" s="33"/>
      <c r="I67" s="34"/>
      <c r="J67" s="124"/>
      <c r="K67" s="162">
        <f>SUM(K4:K66)</f>
        <v>1419192.5</v>
      </c>
      <c r="L67" s="99"/>
      <c r="M67" s="14">
        <f>+M64+M50</f>
        <v>622904622.5</v>
      </c>
      <c r="N67" s="190"/>
      <c r="O67" s="903" t="s">
        <v>53</v>
      </c>
      <c r="P67" s="904"/>
      <c r="Q67" s="905"/>
      <c r="S67" s="190"/>
      <c r="T67" s="903" t="s">
        <v>53</v>
      </c>
      <c r="U67" s="904"/>
      <c r="V67" s="905"/>
      <c r="X67" s="7"/>
      <c r="AE67" s="7"/>
      <c r="AF67" s="47"/>
      <c r="AS67"/>
      <c r="AU67"/>
    </row>
    <row r="68" spans="2:47" x14ac:dyDescent="0.25">
      <c r="F68" s="4"/>
      <c r="G68" s="9"/>
      <c r="H68" s="9"/>
      <c r="J68" s="48"/>
      <c r="O68" s="5"/>
      <c r="P68" s="6"/>
      <c r="Q68" s="7"/>
      <c r="T68" s="5"/>
      <c r="U68" s="6"/>
      <c r="V68" s="7"/>
      <c r="X68" s="7"/>
      <c r="AE68" s="7"/>
      <c r="AF68" s="47"/>
      <c r="AS68"/>
      <c r="AU68"/>
    </row>
    <row r="69" spans="2:47" x14ac:dyDescent="0.25">
      <c r="J69" s="191" t="s">
        <v>74</v>
      </c>
      <c r="K69" s="300">
        <f>+K67/M67</f>
        <v>2.278346393231333E-3</v>
      </c>
      <c r="M69" s="310">
        <f>715996464.2-8373468.21-5945177.43-22466092.89-10516342.75-17202000-3800679.88-14991558.32-8026935.21-9435395.82-4432475.02-2204510.49-2762093.09-14334837.37-15051120-9256720-8772800-5931427.77</f>
        <v>552492829.94999993</v>
      </c>
      <c r="N69" s="263" t="s">
        <v>164</v>
      </c>
      <c r="O69" s="5"/>
      <c r="P69" s="79"/>
      <c r="Q69" s="7"/>
      <c r="S69" s="133"/>
      <c r="T69" s="5"/>
      <c r="U69" s="79"/>
      <c r="V69" s="7"/>
      <c r="X69" s="7"/>
      <c r="AE69" s="7"/>
      <c r="AF69" s="47"/>
      <c r="AS69"/>
      <c r="AU69"/>
    </row>
    <row r="70" spans="2:47" x14ac:dyDescent="0.25">
      <c r="E70" s="278" t="s">
        <v>73</v>
      </c>
      <c r="F70" s="279"/>
      <c r="G70" s="280">
        <f>_xll.BDP(E70&amp;" Index",$G$1)</f>
        <v>5461.72</v>
      </c>
      <c r="H70" s="281">
        <f>_xll.BDP(E70&amp;" Index",$H$1)</f>
        <v>13.85</v>
      </c>
      <c r="I70" s="282">
        <f>_xll.BDP(E70&amp;" Index",$I$1)*0.01</f>
        <v>2.5422780000000002E-3</v>
      </c>
      <c r="J70" s="295" t="s">
        <v>114</v>
      </c>
      <c r="K70" s="301">
        <f>+I70</f>
        <v>2.5422780000000002E-3</v>
      </c>
      <c r="M70" s="261">
        <f>+(M67/M69)-1</f>
        <v>0.12744381235928848</v>
      </c>
      <c r="N70" s="262"/>
      <c r="O70" s="60"/>
      <c r="P70" s="60"/>
      <c r="Q70" s="60"/>
      <c r="R70" s="60"/>
      <c r="S70" s="60"/>
      <c r="T70" s="60"/>
      <c r="U70" s="60"/>
      <c r="V70" s="60"/>
      <c r="W70" s="60"/>
      <c r="X70" s="60"/>
      <c r="AC70" s="5"/>
      <c r="AD70" s="6"/>
      <c r="AE70" s="7"/>
      <c r="AF70" s="48"/>
      <c r="AG70" s="47"/>
      <c r="AH70" s="47"/>
      <c r="AI70" s="22"/>
      <c r="AJ70" s="7"/>
      <c r="AK70" s="96"/>
      <c r="AL70" s="48"/>
      <c r="AM70" s="48"/>
      <c r="AN70" s="47"/>
      <c r="AO70" s="47"/>
      <c r="AS70"/>
      <c r="AU70"/>
    </row>
    <row r="71" spans="2:47" x14ac:dyDescent="0.25">
      <c r="F71" s="4"/>
      <c r="J71" s="96" t="s">
        <v>115</v>
      </c>
      <c r="K71" s="302">
        <f>+K69-K70</f>
        <v>-2.6393160676866723E-4</v>
      </c>
      <c r="M71" s="163">
        <f>+V1</f>
        <v>0.42250813908060958</v>
      </c>
      <c r="N71" t="s">
        <v>117</v>
      </c>
      <c r="AC71" s="5"/>
      <c r="AD71" s="6"/>
      <c r="AE71" s="7"/>
      <c r="AF71" s="48"/>
      <c r="AG71" s="47"/>
      <c r="AH71" s="47"/>
      <c r="AI71" s="22"/>
      <c r="AJ71" s="7"/>
      <c r="AK71" s="96"/>
      <c r="AL71" s="48"/>
      <c r="AM71" s="48"/>
      <c r="AN71" s="47"/>
      <c r="AO71" s="47"/>
      <c r="AS71"/>
      <c r="AU71"/>
    </row>
    <row r="72" spans="2:47" x14ac:dyDescent="0.25">
      <c r="C72" s="64"/>
      <c r="D72" s="90"/>
      <c r="E72" s="267"/>
      <c r="F72" s="66"/>
      <c r="G72" s="268" t="s">
        <v>59</v>
      </c>
      <c r="H72" s="269"/>
      <c r="J72" s="96"/>
      <c r="M72" s="273">
        <f>+M70-M71</f>
        <v>-0.2950643267213211</v>
      </c>
      <c r="AC72" s="5"/>
      <c r="AD72" s="6"/>
      <c r="AE72" s="7"/>
      <c r="AF72" s="48"/>
      <c r="AG72" s="47"/>
      <c r="AH72" s="47"/>
      <c r="AI72" s="22"/>
      <c r="AJ72" s="7"/>
      <c r="AK72" s="96"/>
      <c r="AL72" s="48"/>
      <c r="AM72" s="48"/>
      <c r="AN72" s="47"/>
      <c r="AO72" s="47"/>
      <c r="AS72"/>
      <c r="AU72"/>
    </row>
    <row r="73" spans="2:47" x14ac:dyDescent="0.25">
      <c r="B73" t="s">
        <v>168</v>
      </c>
      <c r="C73" s="97"/>
      <c r="D73" s="34"/>
      <c r="E73" s="83" t="s">
        <v>166</v>
      </c>
      <c r="F73" s="32"/>
      <c r="G73" s="260" t="s">
        <v>60</v>
      </c>
      <c r="H73" s="272" t="s">
        <v>165</v>
      </c>
      <c r="J73" s="96" t="s">
        <v>119</v>
      </c>
      <c r="K73" s="302">
        <v>1.7899999999999999E-3</v>
      </c>
      <c r="AC73" s="5"/>
      <c r="AD73" s="6"/>
      <c r="AE73" s="7"/>
      <c r="AF73" s="48"/>
      <c r="AG73" s="47"/>
      <c r="AH73" s="47"/>
      <c r="AI73" s="22"/>
      <c r="AJ73" s="7"/>
      <c r="AK73" s="96"/>
      <c r="AL73" s="48"/>
      <c r="AM73" s="48"/>
      <c r="AN73" s="47"/>
      <c r="AO73" s="47"/>
      <c r="AS73"/>
      <c r="AU73"/>
    </row>
    <row r="74" spans="2:47" x14ac:dyDescent="0.25">
      <c r="C74" s="2"/>
      <c r="E74" s="78"/>
      <c r="F74" s="265">
        <v>44930</v>
      </c>
      <c r="G74" s="266">
        <v>2.0999999999999999E-3</v>
      </c>
      <c r="H74" s="270">
        <v>1E-3</v>
      </c>
      <c r="J74" s="96" t="s">
        <v>121</v>
      </c>
      <c r="K74" s="302"/>
      <c r="M74" s="79">
        <v>17136000</v>
      </c>
      <c r="AC74" s="5"/>
      <c r="AD74" s="6"/>
      <c r="AE74" s="7"/>
      <c r="AF74" s="48"/>
      <c r="AG74" s="47"/>
      <c r="AH74" s="47"/>
      <c r="AI74" s="22"/>
      <c r="AJ74" s="7"/>
      <c r="AK74" s="96"/>
      <c r="AL74" s="48"/>
      <c r="AM74" s="48"/>
      <c r="AN74" s="47"/>
      <c r="AO74" s="47"/>
      <c r="AS74"/>
      <c r="AU74"/>
    </row>
    <row r="75" spans="2:47" x14ac:dyDescent="0.25">
      <c r="B75" s="163">
        <f t="shared" ref="B75:B83" si="21">+C75-G75</f>
        <v>-1.7618285302889447E-19</v>
      </c>
      <c r="C75" s="271">
        <f t="shared" ref="C75:C81" si="22">+G74+H75</f>
        <v>9.9999999999999829E-5</v>
      </c>
      <c r="E75" s="78"/>
      <c r="F75" s="265">
        <v>44931</v>
      </c>
      <c r="G75" s="266">
        <v>1E-4</v>
      </c>
      <c r="H75" s="270">
        <v>-2E-3</v>
      </c>
      <c r="J75"/>
      <c r="AC75" s="5"/>
      <c r="AD75" s="6"/>
      <c r="AE75" s="7"/>
      <c r="AF75" s="48"/>
      <c r="AG75" s="47"/>
      <c r="AH75" s="47"/>
      <c r="AI75" s="22"/>
      <c r="AJ75" s="7"/>
      <c r="AK75" s="96"/>
      <c r="AL75" s="48"/>
      <c r="AM75" s="48"/>
      <c r="AN75" s="47"/>
      <c r="AO75" s="47"/>
      <c r="AS75"/>
      <c r="AU75"/>
    </row>
    <row r="76" spans="2:47" x14ac:dyDescent="0.25">
      <c r="B76" s="163">
        <f t="shared" si="21"/>
        <v>0</v>
      </c>
      <c r="C76" s="271">
        <f t="shared" si="22"/>
        <v>-1.8E-3</v>
      </c>
      <c r="E76" s="78"/>
      <c r="F76" s="276">
        <v>44932</v>
      </c>
      <c r="G76" s="266">
        <v>-1.8E-3</v>
      </c>
      <c r="H76" s="270">
        <v>-1.9E-3</v>
      </c>
      <c r="J76" s="7"/>
      <c r="L76" s="286">
        <v>44974</v>
      </c>
      <c r="M76" s="287">
        <f>+M69*G106</f>
        <v>7237656.0723449998</v>
      </c>
      <c r="N76" s="277"/>
      <c r="O76" s="5"/>
      <c r="P76" s="5"/>
      <c r="Q76" s="5"/>
      <c r="R76" s="5"/>
      <c r="S76" s="277"/>
      <c r="T76" s="5"/>
      <c r="U76" s="5"/>
      <c r="V76" s="5"/>
      <c r="W76" s="5"/>
      <c r="X76" s="5"/>
      <c r="AC76" s="5"/>
      <c r="AD76" s="6"/>
      <c r="AE76" s="7"/>
      <c r="AF76" s="48"/>
      <c r="AG76" s="47"/>
      <c r="AH76" s="47"/>
      <c r="AI76" s="22"/>
      <c r="AJ76" s="7"/>
      <c r="AK76" s="96"/>
      <c r="AL76" s="48"/>
      <c r="AM76" s="48"/>
      <c r="AN76" s="47"/>
      <c r="AO76" s="47"/>
      <c r="AS76"/>
      <c r="AU76"/>
    </row>
    <row r="77" spans="2:47" x14ac:dyDescent="0.25">
      <c r="B77" s="163">
        <f t="shared" si="21"/>
        <v>-9.9999999999999829E-5</v>
      </c>
      <c r="C77" s="271">
        <f t="shared" si="22"/>
        <v>2.2000000000000001E-3</v>
      </c>
      <c r="E77" s="78"/>
      <c r="F77" s="265">
        <v>44935</v>
      </c>
      <c r="G77" s="266">
        <v>2.3E-3</v>
      </c>
      <c r="H77" s="270">
        <v>4.0000000000000001E-3</v>
      </c>
      <c r="J77" s="7"/>
      <c r="L77" s="97"/>
      <c r="M77" s="288" t="s">
        <v>172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AC77" s="5"/>
      <c r="AD77" s="6"/>
      <c r="AE77" s="7"/>
      <c r="AF77" s="48"/>
      <c r="AG77" s="47"/>
      <c r="AH77" s="47"/>
      <c r="AI77" s="22"/>
      <c r="AJ77" s="7"/>
      <c r="AK77" s="96"/>
      <c r="AL77" s="48"/>
      <c r="AM77" s="48"/>
      <c r="AN77" s="47"/>
      <c r="AO77" s="47"/>
      <c r="AS77"/>
      <c r="AU77"/>
    </row>
    <row r="78" spans="2:47" x14ac:dyDescent="0.25">
      <c r="B78" s="163">
        <f t="shared" si="21"/>
        <v>-1.0000000000000026E-4</v>
      </c>
      <c r="C78" s="271">
        <f t="shared" si="22"/>
        <v>5.8999999999999999E-3</v>
      </c>
      <c r="E78" s="78"/>
      <c r="F78" s="265">
        <v>44936</v>
      </c>
      <c r="G78" s="266">
        <v>6.0000000000000001E-3</v>
      </c>
      <c r="H78" s="270">
        <v>3.5999999999999999E-3</v>
      </c>
      <c r="J78" s="7"/>
      <c r="M78" s="289"/>
      <c r="N78" s="5"/>
      <c r="O78" s="5"/>
      <c r="P78" s="5"/>
      <c r="Q78" s="5"/>
      <c r="R78" s="78" t="s">
        <v>170</v>
      </c>
      <c r="S78" s="5"/>
      <c r="T78" s="5"/>
      <c r="U78" s="5"/>
      <c r="V78" s="5"/>
      <c r="W78" s="78" t="s">
        <v>170</v>
      </c>
      <c r="X78" s="297">
        <v>44895</v>
      </c>
      <c r="AE78" s="79"/>
      <c r="AF78" s="7"/>
      <c r="AG78" s="6"/>
      <c r="AH78" s="7"/>
      <c r="AI78" s="47"/>
      <c r="AJ78" s="47"/>
      <c r="AK78" s="22"/>
      <c r="AL78" s="7"/>
      <c r="AM78" s="96"/>
      <c r="AN78" s="48"/>
      <c r="AO78" s="48"/>
      <c r="AP78" s="47"/>
      <c r="AQ78" s="47"/>
      <c r="AS78"/>
      <c r="AU78"/>
    </row>
    <row r="79" spans="2:47" x14ac:dyDescent="0.25">
      <c r="B79" s="163">
        <f t="shared" si="21"/>
        <v>-1.0000000000000026E-4</v>
      </c>
      <c r="C79" s="271">
        <f t="shared" si="22"/>
        <v>7.0000000000000001E-3</v>
      </c>
      <c r="F79" s="265">
        <v>44937</v>
      </c>
      <c r="G79" s="266">
        <v>7.1000000000000004E-3</v>
      </c>
      <c r="H79" s="270">
        <v>1E-3</v>
      </c>
      <c r="I79" s="266"/>
      <c r="J79" s="7"/>
      <c r="X79" s="296" t="s">
        <v>196</v>
      </c>
      <c r="AS79"/>
      <c r="AU79"/>
    </row>
    <row r="80" spans="2:47" x14ac:dyDescent="0.25">
      <c r="B80" s="163">
        <f t="shared" si="21"/>
        <v>-1.9999999999999879E-4</v>
      </c>
      <c r="C80" s="271">
        <f t="shared" si="22"/>
        <v>1.0500000000000001E-2</v>
      </c>
      <c r="E80" s="78"/>
      <c r="F80" s="265">
        <v>44938</v>
      </c>
      <c r="G80" s="266">
        <v>1.0699999999999999E-2</v>
      </c>
      <c r="H80" s="270">
        <v>3.3999999999999998E-3</v>
      </c>
      <c r="I80" s="266"/>
      <c r="J80" s="922" t="s">
        <v>183</v>
      </c>
      <c r="K80" s="923"/>
      <c r="L80" s="285" t="s">
        <v>181</v>
      </c>
      <c r="M80" s="283" t="s">
        <v>1</v>
      </c>
      <c r="N80" s="283" t="s">
        <v>195</v>
      </c>
      <c r="O80" s="51"/>
      <c r="P80" s="284" t="s">
        <v>182</v>
      </c>
      <c r="Q80" s="284" t="s">
        <v>164</v>
      </c>
      <c r="S80" s="283"/>
      <c r="T80" s="51"/>
      <c r="U80" s="284" t="s">
        <v>182</v>
      </c>
      <c r="V80" s="284" t="s">
        <v>164</v>
      </c>
      <c r="X80" s="158" t="s">
        <v>181</v>
      </c>
      <c r="Y80" s="283" t="s">
        <v>197</v>
      </c>
      <c r="Z80" s="283" t="s">
        <v>195</v>
      </c>
      <c r="AS80"/>
      <c r="AU80"/>
    </row>
    <row r="81" spans="2:47" ht="15.75" x14ac:dyDescent="0.25">
      <c r="B81" s="163">
        <f t="shared" si="21"/>
        <v>0</v>
      </c>
      <c r="C81" s="271">
        <f t="shared" si="22"/>
        <v>1.1099999999999999E-2</v>
      </c>
      <c r="E81" s="78"/>
      <c r="F81" s="276">
        <v>44939</v>
      </c>
      <c r="G81" s="266">
        <v>1.11E-2</v>
      </c>
      <c r="H81" s="270">
        <v>4.0000000000000002E-4</v>
      </c>
      <c r="I81" s="22"/>
      <c r="J81" s="291" t="s">
        <v>193</v>
      </c>
      <c r="K81" s="22" t="s">
        <v>174</v>
      </c>
      <c r="L81" s="93">
        <v>0.26329999999999998</v>
      </c>
      <c r="M81" s="292">
        <f t="shared" ref="M81:M91" si="23">+(U81/V81)-1</f>
        <v>0.81517197042751532</v>
      </c>
      <c r="N81" s="102">
        <f>+RANK(M81,$M$81:$M$91)</f>
        <v>1</v>
      </c>
      <c r="O81" s="293">
        <f>+H81*G81</f>
        <v>4.4400000000000007E-6</v>
      </c>
      <c r="P81" s="9" t="str">
        <f>_xll.BDP(F81&amp;" EQUITY",$G$1)</f>
        <v>#N/A Invalid Security</v>
      </c>
      <c r="Q81" s="294">
        <v>124.44</v>
      </c>
      <c r="S81" s="102"/>
      <c r="T81" s="293">
        <f>+M81*L81</f>
        <v>0.21463477981356477</v>
      </c>
      <c r="U81" s="9">
        <f>_xll.BDP(K81&amp;" EQUITY",$G$1)</f>
        <v>225.88</v>
      </c>
      <c r="V81" s="294">
        <v>124.44</v>
      </c>
      <c r="X81" s="93">
        <v>0.31430000000000002</v>
      </c>
      <c r="Y81" s="298">
        <f>+X81-L81</f>
        <v>5.1000000000000045E-2</v>
      </c>
      <c r="Z81" s="39">
        <f>+RANK(Y81,$Y$81:$Y$91)</f>
        <v>2</v>
      </c>
      <c r="AA81" s="86">
        <f>+X81*M81</f>
        <v>0.2562085503053681</v>
      </c>
      <c r="AS81"/>
      <c r="AU81"/>
    </row>
    <row r="82" spans="2:47" ht="15.75" x14ac:dyDescent="0.25">
      <c r="C82" s="2"/>
      <c r="F82" s="265">
        <v>44942</v>
      </c>
      <c r="H82" s="303" t="s">
        <v>171</v>
      </c>
      <c r="I82" s="266"/>
      <c r="J82" s="304" t="s">
        <v>66</v>
      </c>
      <c r="K82" s="22" t="s">
        <v>175</v>
      </c>
      <c r="L82" s="93">
        <v>0.1522</v>
      </c>
      <c r="M82" s="292">
        <f t="shared" si="23"/>
        <v>7.9094589620905431E-2</v>
      </c>
      <c r="N82" s="103">
        <f t="shared" ref="N82:N91" si="24">+RANK(M82,$M$81:$M$91)</f>
        <v>7</v>
      </c>
      <c r="O82" s="293" t="e">
        <f t="shared" ref="O82:O91" si="25">+H82*G82</f>
        <v>#VALUE!</v>
      </c>
      <c r="P82" s="9" t="str">
        <f>_xll.BDP(F82&amp;" EQUITY",$G$1)</f>
        <v>#N/A Invalid Security</v>
      </c>
      <c r="Q82" s="294">
        <v>135.85</v>
      </c>
      <c r="S82" s="103"/>
      <c r="T82" s="293">
        <f t="shared" ref="T82:T91" si="26">+M82*L82</f>
        <v>1.2038196540301806E-2</v>
      </c>
      <c r="U82" s="9">
        <f>_xll.BDP(K82&amp;" EQUITY",$G$1)</f>
        <v>146.595</v>
      </c>
      <c r="V82" s="294">
        <v>135.85</v>
      </c>
      <c r="X82" s="93">
        <v>0.2112</v>
      </c>
      <c r="Y82" s="298">
        <f t="shared" ref="Y82:Y91" si="27">+X82-L82</f>
        <v>5.8999999999999997E-2</v>
      </c>
      <c r="Z82" s="39">
        <f t="shared" ref="Z82:Z91" si="28">+RANK(Y82,$Y$81:$Y$91)</f>
        <v>1</v>
      </c>
      <c r="AA82" s="86">
        <f t="shared" ref="AA82:AA91" si="29">+X82*M82</f>
        <v>1.6704777327935228E-2</v>
      </c>
      <c r="AS82"/>
      <c r="AU82"/>
    </row>
    <row r="83" spans="2:47" ht="15.75" x14ac:dyDescent="0.25">
      <c r="B83" s="163">
        <f t="shared" si="21"/>
        <v>-9.9999999999999395E-5</v>
      </c>
      <c r="C83" s="271">
        <f>+G81+H83</f>
        <v>1.2500000000000001E-2</v>
      </c>
      <c r="E83" s="78"/>
      <c r="F83" s="265">
        <v>44943</v>
      </c>
      <c r="G83" s="266">
        <v>1.26E-2</v>
      </c>
      <c r="H83" s="270">
        <v>1.4E-3</v>
      </c>
      <c r="I83" s="266"/>
      <c r="J83" s="291" t="s">
        <v>184</v>
      </c>
      <c r="K83" s="22" t="s">
        <v>47</v>
      </c>
      <c r="L83" s="93">
        <v>0.11609999999999999</v>
      </c>
      <c r="M83" s="292">
        <f t="shared" si="23"/>
        <v>0.20716374269005833</v>
      </c>
      <c r="N83" s="17">
        <f t="shared" si="24"/>
        <v>5</v>
      </c>
      <c r="O83" s="293">
        <f t="shared" si="25"/>
        <v>1.7640000000000001E-5</v>
      </c>
      <c r="P83" s="9" t="str">
        <f>_xll.BDP(F83&amp;" EQUITY",$G$1)</f>
        <v>#N/A Invalid Security</v>
      </c>
      <c r="Q83" s="294">
        <v>34.200000000000003</v>
      </c>
      <c r="S83" s="17"/>
      <c r="T83" s="293">
        <f t="shared" si="26"/>
        <v>2.4051710526315769E-2</v>
      </c>
      <c r="U83" s="9">
        <f>_xll.BDP(K83&amp;" EQUITY",$G$1)</f>
        <v>41.284999999999997</v>
      </c>
      <c r="V83" s="294">
        <v>34.200000000000003</v>
      </c>
      <c r="X83" s="93">
        <v>0.12590000000000001</v>
      </c>
      <c r="Y83" s="298">
        <f t="shared" si="27"/>
        <v>9.800000000000017E-3</v>
      </c>
      <c r="Z83" s="39">
        <f t="shared" si="28"/>
        <v>3</v>
      </c>
      <c r="AA83" s="86">
        <f t="shared" si="29"/>
        <v>2.6081915204678344E-2</v>
      </c>
      <c r="AS83"/>
      <c r="AU83"/>
    </row>
    <row r="84" spans="2:47" ht="15.75" x14ac:dyDescent="0.25">
      <c r="B84" s="163">
        <f t="shared" ref="B84:B85" si="30">+C84-G84</f>
        <v>9.9999999999999395E-5</v>
      </c>
      <c r="C84" s="271">
        <f t="shared" ref="C84:C85" si="31">+G83+H84</f>
        <v>1.47E-2</v>
      </c>
      <c r="E84" s="78"/>
      <c r="F84" s="265">
        <v>44944</v>
      </c>
      <c r="G84" s="266">
        <v>1.46E-2</v>
      </c>
      <c r="H84" s="270">
        <v>2.0999999999999999E-3</v>
      </c>
      <c r="I84" s="266"/>
      <c r="J84" s="305" t="s">
        <v>185</v>
      </c>
      <c r="K84" s="22" t="s">
        <v>179</v>
      </c>
      <c r="L84" s="93">
        <v>0.1036</v>
      </c>
      <c r="M84" s="292">
        <f t="shared" si="23"/>
        <v>0.4029111179931868</v>
      </c>
      <c r="N84" s="102">
        <f t="shared" si="24"/>
        <v>3</v>
      </c>
      <c r="O84" s="293">
        <f t="shared" si="25"/>
        <v>3.0660000000000001E-5</v>
      </c>
      <c r="P84" s="9" t="str">
        <f>_xll.BDP(F84&amp;" EQUITY",$G$1)</f>
        <v>#N/A Invalid Security</v>
      </c>
      <c r="Q84" s="294">
        <v>129.16</v>
      </c>
      <c r="S84" s="102"/>
      <c r="T84" s="293">
        <f t="shared" si="26"/>
        <v>4.1741591824094149E-2</v>
      </c>
      <c r="U84" s="9">
        <f>_xll.BDP(K84&amp;" EQUITY",$G$1)</f>
        <v>181.2</v>
      </c>
      <c r="V84" s="294">
        <v>129.16</v>
      </c>
      <c r="X84" s="93">
        <v>0.1022</v>
      </c>
      <c r="Y84" s="298">
        <f t="shared" si="27"/>
        <v>-1.3999999999999985E-3</v>
      </c>
      <c r="Z84" s="39">
        <f t="shared" si="28"/>
        <v>5</v>
      </c>
      <c r="AA84" s="86">
        <f t="shared" si="29"/>
        <v>4.1177516258903687E-2</v>
      </c>
      <c r="AS84"/>
      <c r="AU84"/>
    </row>
    <row r="85" spans="2:47" ht="15.75" x14ac:dyDescent="0.25">
      <c r="B85" s="163">
        <f t="shared" si="30"/>
        <v>1.0000000000000113E-4</v>
      </c>
      <c r="C85" s="271">
        <f t="shared" si="31"/>
        <v>1.3900000000000001E-2</v>
      </c>
      <c r="E85" s="78"/>
      <c r="F85" s="265">
        <v>44945</v>
      </c>
      <c r="G85" s="266">
        <v>1.38E-2</v>
      </c>
      <c r="H85" s="270">
        <v>-6.9999999999999999E-4</v>
      </c>
      <c r="I85" s="20"/>
      <c r="J85" s="291" t="s">
        <v>186</v>
      </c>
      <c r="K85" s="22" t="s">
        <v>176</v>
      </c>
      <c r="L85" s="93">
        <v>8.3099999999999993E-2</v>
      </c>
      <c r="M85" s="292">
        <f t="shared" si="23"/>
        <v>0.23918134609510244</v>
      </c>
      <c r="N85" s="17">
        <f t="shared" si="24"/>
        <v>4</v>
      </c>
      <c r="O85" s="293">
        <f t="shared" si="25"/>
        <v>-9.659999999999999E-6</v>
      </c>
      <c r="P85" s="9" t="str">
        <f>_xll.BDP(F85&amp;" EQUITY",$G$1)</f>
        <v>#N/A Invalid Security</v>
      </c>
      <c r="Q85" s="294">
        <v>98.21</v>
      </c>
      <c r="S85" s="17"/>
      <c r="T85" s="293">
        <f t="shared" si="26"/>
        <v>1.9875969860503013E-2</v>
      </c>
      <c r="U85" s="9">
        <f>_xll.BDP(K85&amp;" EQUITY",$G$1)</f>
        <v>121.7</v>
      </c>
      <c r="V85" s="294">
        <v>98.21</v>
      </c>
      <c r="X85" s="93">
        <v>5.7599999999999998E-2</v>
      </c>
      <c r="Y85" s="298">
        <f t="shared" si="27"/>
        <v>-2.5499999999999995E-2</v>
      </c>
      <c r="Z85" s="39">
        <f t="shared" si="28"/>
        <v>10</v>
      </c>
      <c r="AA85" s="86">
        <f t="shared" si="29"/>
        <v>1.37768455350779E-2</v>
      </c>
      <c r="AS85"/>
      <c r="AU85"/>
    </row>
    <row r="86" spans="2:47" ht="15.75" x14ac:dyDescent="0.25">
      <c r="B86" s="163">
        <f t="shared" ref="B86" si="32">+C86-G86</f>
        <v>-2.9999999999999818E-4</v>
      </c>
      <c r="C86" s="271">
        <f t="shared" ref="C86" si="33">+G85+H86</f>
        <v>1.5900000000000001E-2</v>
      </c>
      <c r="E86" s="78"/>
      <c r="F86" s="276">
        <v>44946</v>
      </c>
      <c r="G86" s="20">
        <v>1.6199999999999999E-2</v>
      </c>
      <c r="H86" s="270">
        <v>2.0999999999999999E-3</v>
      </c>
      <c r="I86" s="20"/>
      <c r="J86" s="305" t="s">
        <v>187</v>
      </c>
      <c r="K86" s="22" t="s">
        <v>173</v>
      </c>
      <c r="L86" s="93">
        <v>7.46E-2</v>
      </c>
      <c r="M86" s="292">
        <f t="shared" si="23"/>
        <v>0.78214211294019598</v>
      </c>
      <c r="N86" s="102">
        <f t="shared" si="24"/>
        <v>2</v>
      </c>
      <c r="O86" s="293">
        <f t="shared" si="25"/>
        <v>3.4019999999999996E-5</v>
      </c>
      <c r="P86" s="9" t="str">
        <f>_xll.BDP(F86&amp;" EQUITY",$G$1)</f>
        <v>#N/A Invalid Security</v>
      </c>
      <c r="Q86" s="294">
        <v>47.99</v>
      </c>
      <c r="S86" s="102"/>
      <c r="T86" s="293">
        <f t="shared" si="26"/>
        <v>5.8347801625338619E-2</v>
      </c>
      <c r="U86" s="9">
        <f>_xll.BDP(K86&amp;" EQUITY",$G$1)</f>
        <v>85.525000000000006</v>
      </c>
      <c r="V86" s="294">
        <v>47.99</v>
      </c>
      <c r="X86" s="93">
        <v>8.0299999999999996E-2</v>
      </c>
      <c r="Y86" s="298">
        <f t="shared" si="27"/>
        <v>5.6999999999999967E-3</v>
      </c>
      <c r="Z86" s="39">
        <f t="shared" si="28"/>
        <v>4</v>
      </c>
      <c r="AA86" s="86">
        <f t="shared" si="29"/>
        <v>6.280601166909773E-2</v>
      </c>
      <c r="AJ86" s="22"/>
      <c r="AS86"/>
      <c r="AU86"/>
    </row>
    <row r="87" spans="2:47" ht="15.75" x14ac:dyDescent="0.25">
      <c r="B87" s="163">
        <f t="shared" ref="B87:B106" si="34">+C87-G87</f>
        <v>2.9999999999999818E-4</v>
      </c>
      <c r="C87" s="271">
        <f t="shared" ref="C87:C106" si="35">+G86+H87</f>
        <v>1.5899999999999997E-2</v>
      </c>
      <c r="E87" s="78"/>
      <c r="F87" s="265">
        <v>44949</v>
      </c>
      <c r="G87" s="20">
        <v>1.5599999999999999E-2</v>
      </c>
      <c r="H87" s="270">
        <v>-2.9999999999999997E-4</v>
      </c>
      <c r="I87" s="20"/>
      <c r="J87" s="304" t="s">
        <v>188</v>
      </c>
      <c r="K87" s="22" t="s">
        <v>48</v>
      </c>
      <c r="L87" s="93">
        <v>6.9900000000000004E-2</v>
      </c>
      <c r="M87" s="292">
        <f t="shared" si="23"/>
        <v>3.7022132796780793E-2</v>
      </c>
      <c r="N87" s="103">
        <f t="shared" si="24"/>
        <v>9</v>
      </c>
      <c r="O87" s="293">
        <f t="shared" si="25"/>
        <v>-4.6799999999999992E-6</v>
      </c>
      <c r="P87" s="9" t="str">
        <f>_xll.BDP(F87&amp;" EQUITY",$G$1)</f>
        <v>#N/A N/A</v>
      </c>
      <c r="Q87" s="294">
        <v>74.55</v>
      </c>
      <c r="S87" s="103"/>
      <c r="T87" s="293">
        <f t="shared" si="26"/>
        <v>2.5878470824949778E-3</v>
      </c>
      <c r="U87" s="9">
        <f>_xll.BDP(K87&amp;" EQUITY",$G$1)</f>
        <v>77.31</v>
      </c>
      <c r="V87" s="294">
        <v>74.55</v>
      </c>
      <c r="X87" s="93">
        <v>5.2900000000000003E-2</v>
      </c>
      <c r="Y87" s="298">
        <f t="shared" si="27"/>
        <v>-1.7000000000000001E-2</v>
      </c>
      <c r="Z87" s="39">
        <f t="shared" si="28"/>
        <v>8</v>
      </c>
      <c r="AA87" s="86">
        <f t="shared" si="29"/>
        <v>1.9584708249497039E-3</v>
      </c>
      <c r="AJ87" s="22"/>
      <c r="AS87"/>
      <c r="AU87"/>
    </row>
    <row r="88" spans="2:47" ht="15.75" x14ac:dyDescent="0.25">
      <c r="B88" s="163">
        <f t="shared" si="34"/>
        <v>0</v>
      </c>
      <c r="C88" s="271">
        <f t="shared" si="35"/>
        <v>1.4199999999999999E-2</v>
      </c>
      <c r="E88" s="78"/>
      <c r="F88" s="265">
        <v>44950</v>
      </c>
      <c r="G88" s="266">
        <v>1.4200000000000001E-2</v>
      </c>
      <c r="H88" s="270">
        <v>-1.4E-3</v>
      </c>
      <c r="I88" s="20"/>
      <c r="J88" s="291" t="s">
        <v>189</v>
      </c>
      <c r="K88" s="22" t="s">
        <v>112</v>
      </c>
      <c r="L88" s="93">
        <v>5.1200000000000002E-2</v>
      </c>
      <c r="M88" s="292">
        <f t="shared" si="23"/>
        <v>3.9041957242483161E-2</v>
      </c>
      <c r="N88" s="17">
        <f t="shared" si="24"/>
        <v>8</v>
      </c>
      <c r="O88" s="293">
        <f t="shared" si="25"/>
        <v>-1.9879999999999999E-5</v>
      </c>
      <c r="P88" s="9" t="str">
        <f>_xll.BDP(F88&amp;" EQUITY",$G$1)</f>
        <v>#N/A N/A</v>
      </c>
      <c r="Q88" s="294">
        <v>87.47</v>
      </c>
      <c r="S88" s="17"/>
      <c r="T88" s="293">
        <f t="shared" si="26"/>
        <v>1.9989482108151379E-3</v>
      </c>
      <c r="U88" s="9">
        <f>_xll.BDP(K88&amp;" EQUITY",$G$1)</f>
        <v>90.885000000000005</v>
      </c>
      <c r="V88" s="294">
        <v>87.47</v>
      </c>
      <c r="X88" s="93">
        <v>4.0599999999999997E-2</v>
      </c>
      <c r="Y88" s="298">
        <f t="shared" si="27"/>
        <v>-1.0600000000000005E-2</v>
      </c>
      <c r="Z88" s="39">
        <f t="shared" si="28"/>
        <v>6</v>
      </c>
      <c r="AA88" s="86">
        <f t="shared" si="29"/>
        <v>1.5851034640448163E-3</v>
      </c>
      <c r="AJ88" s="22"/>
      <c r="AS88"/>
      <c r="AU88"/>
    </row>
    <row r="89" spans="2:47" ht="15.75" x14ac:dyDescent="0.25">
      <c r="B89" s="163">
        <f t="shared" si="34"/>
        <v>2.0000000000000226E-4</v>
      </c>
      <c r="C89" s="271">
        <f t="shared" si="35"/>
        <v>1.4100000000000001E-2</v>
      </c>
      <c r="E89" s="78"/>
      <c r="F89" s="265">
        <v>44951</v>
      </c>
      <c r="G89" s="266">
        <v>1.3899999999999999E-2</v>
      </c>
      <c r="H89" s="270">
        <v>-1E-4</v>
      </c>
      <c r="J89" s="304" t="s">
        <v>190</v>
      </c>
      <c r="K89" s="22" t="s">
        <v>180</v>
      </c>
      <c r="L89" s="93">
        <v>2.9899999999999999E-2</v>
      </c>
      <c r="M89" s="292">
        <f t="shared" si="23"/>
        <v>-2.0141843971631213E-2</v>
      </c>
      <c r="N89" s="103">
        <f t="shared" si="24"/>
        <v>11</v>
      </c>
      <c r="O89" s="293">
        <f t="shared" si="25"/>
        <v>-1.39E-6</v>
      </c>
      <c r="P89" s="9" t="str">
        <f>_xll.BDP(F89&amp;" EQUITY",$G$1)</f>
        <v>#N/A N/A</v>
      </c>
      <c r="Q89" s="294">
        <v>70.5</v>
      </c>
      <c r="S89" s="103"/>
      <c r="T89" s="293">
        <f t="shared" si="26"/>
        <v>-6.0224113475177321E-4</v>
      </c>
      <c r="U89" s="9">
        <f>_xll.BDP(K89&amp;" EQUITY",$G$1)</f>
        <v>69.08</v>
      </c>
      <c r="V89" s="294">
        <v>70.5</v>
      </c>
      <c r="X89" s="93">
        <v>0</v>
      </c>
      <c r="Y89" s="298">
        <f t="shared" si="27"/>
        <v>-2.9899999999999999E-2</v>
      </c>
      <c r="Z89" s="39">
        <f t="shared" si="28"/>
        <v>11</v>
      </c>
      <c r="AA89" s="86">
        <f t="shared" si="29"/>
        <v>0</v>
      </c>
      <c r="AJ89" s="22"/>
      <c r="AS89"/>
      <c r="AU89"/>
    </row>
    <row r="90" spans="2:47" ht="15.75" x14ac:dyDescent="0.25">
      <c r="B90" s="163">
        <f t="shared" si="34"/>
        <v>-3.0000000000000165E-4</v>
      </c>
      <c r="C90" s="271">
        <f t="shared" si="35"/>
        <v>1.55E-2</v>
      </c>
      <c r="E90" s="78"/>
      <c r="F90" s="265">
        <v>44952</v>
      </c>
      <c r="G90" s="266">
        <v>1.5800000000000002E-2</v>
      </c>
      <c r="H90" s="270">
        <v>1.6000000000000001E-3</v>
      </c>
      <c r="J90" s="291" t="s">
        <v>191</v>
      </c>
      <c r="K90" s="22" t="s">
        <v>178</v>
      </c>
      <c r="L90" s="93">
        <v>2.6800000000000001E-2</v>
      </c>
      <c r="M90" s="292">
        <f t="shared" si="23"/>
        <v>0.14160659114315144</v>
      </c>
      <c r="N90" s="102">
        <f t="shared" si="24"/>
        <v>6</v>
      </c>
      <c r="O90" s="293">
        <f t="shared" si="25"/>
        <v>2.5280000000000005E-5</v>
      </c>
      <c r="P90" s="9" t="str">
        <f>_xll.BDP(F90&amp;" EQUITY",$G$1)</f>
        <v>#N/A N/A</v>
      </c>
      <c r="Q90" s="294">
        <v>77.680000000000007</v>
      </c>
      <c r="S90" s="102"/>
      <c r="T90" s="293">
        <f t="shared" si="26"/>
        <v>3.7950566426364586E-3</v>
      </c>
      <c r="U90" s="9">
        <f>_xll.BDP(K90&amp;" EQUITY",$G$1)</f>
        <v>88.68</v>
      </c>
      <c r="V90" s="294">
        <v>77.680000000000007</v>
      </c>
      <c r="X90" s="93">
        <v>2.3E-3</v>
      </c>
      <c r="Y90" s="298">
        <f t="shared" si="27"/>
        <v>-2.4500000000000001E-2</v>
      </c>
      <c r="Z90" s="39">
        <f t="shared" si="28"/>
        <v>9</v>
      </c>
      <c r="AA90" s="86">
        <f t="shared" si="29"/>
        <v>3.2569515962924833E-4</v>
      </c>
      <c r="AJ90" s="22"/>
      <c r="AS90"/>
      <c r="AU90"/>
    </row>
    <row r="91" spans="2:47" ht="15.75" x14ac:dyDescent="0.25">
      <c r="B91" s="163">
        <f t="shared" si="34"/>
        <v>0</v>
      </c>
      <c r="C91" s="271">
        <f t="shared" si="35"/>
        <v>1.5300000000000001E-2</v>
      </c>
      <c r="F91" s="276">
        <v>44953</v>
      </c>
      <c r="G91" s="266">
        <v>1.5300000000000001E-2</v>
      </c>
      <c r="H91" s="270">
        <v>-5.0000000000000001E-4</v>
      </c>
      <c r="J91" s="305" t="s">
        <v>192</v>
      </c>
      <c r="K91" s="22" t="s">
        <v>177</v>
      </c>
      <c r="L91" s="93">
        <v>2.6800000000000001E-2</v>
      </c>
      <c r="M91" s="292">
        <f t="shared" si="23"/>
        <v>2.1121039805036546E-2</v>
      </c>
      <c r="N91" s="102">
        <f t="shared" si="24"/>
        <v>10</v>
      </c>
      <c r="O91" s="293">
        <f t="shared" si="25"/>
        <v>-7.6500000000000013E-6</v>
      </c>
      <c r="P91" s="9" t="str">
        <f>_xll.BDP(F91&amp;" EQUITY",$G$1)</f>
        <v>#N/A N/A</v>
      </c>
      <c r="Q91" s="294">
        <v>36.93</v>
      </c>
      <c r="S91" s="102"/>
      <c r="T91" s="293">
        <f t="shared" si="26"/>
        <v>5.6604386677497939E-4</v>
      </c>
      <c r="U91" s="9">
        <f>_xll.BDP(K91&amp;" EQUITY",$G$1)</f>
        <v>37.71</v>
      </c>
      <c r="V91" s="294">
        <v>36.93</v>
      </c>
      <c r="X91" s="93">
        <v>1.26E-2</v>
      </c>
      <c r="Y91" s="299">
        <f t="shared" si="27"/>
        <v>-1.4200000000000001E-2</v>
      </c>
      <c r="Z91" s="42">
        <f t="shared" si="28"/>
        <v>7</v>
      </c>
      <c r="AA91" s="86">
        <f t="shared" si="29"/>
        <v>2.6612510154346047E-4</v>
      </c>
      <c r="AJ91" s="22"/>
      <c r="AS91"/>
      <c r="AU91"/>
    </row>
    <row r="92" spans="2:47" x14ac:dyDescent="0.25">
      <c r="B92" s="163">
        <f t="shared" si="34"/>
        <v>2.0000000000000226E-4</v>
      </c>
      <c r="C92" s="271">
        <f t="shared" si="35"/>
        <v>1.4100000000000001E-2</v>
      </c>
      <c r="F92" s="265">
        <v>44956</v>
      </c>
      <c r="G92" s="266">
        <v>1.3899999999999999E-2</v>
      </c>
      <c r="H92" s="270">
        <v>-1.1999999999999999E-3</v>
      </c>
      <c r="J92" s="2"/>
      <c r="Q92" s="28"/>
      <c r="V92" s="28"/>
      <c r="AJ92" s="22"/>
      <c r="AS92"/>
      <c r="AU92"/>
    </row>
    <row r="93" spans="2:47" x14ac:dyDescent="0.25">
      <c r="B93" s="341">
        <f t="shared" si="34"/>
        <v>-2.0000000000000052E-4</v>
      </c>
      <c r="C93" s="342">
        <f t="shared" si="35"/>
        <v>1.47E-2</v>
      </c>
      <c r="D93" s="34"/>
      <c r="E93" s="431" t="s">
        <v>352</v>
      </c>
      <c r="F93" s="276">
        <v>44957</v>
      </c>
      <c r="G93" s="343">
        <v>1.49E-2</v>
      </c>
      <c r="H93" s="344">
        <v>8.0000000000000004E-4</v>
      </c>
      <c r="J93" s="2"/>
      <c r="O93" s="916" t="e">
        <f>SUM(O81:O91)</f>
        <v>#VALUE!</v>
      </c>
      <c r="P93" s="918" t="s">
        <v>114</v>
      </c>
      <c r="Q93" s="919"/>
      <c r="T93" s="916">
        <f>SUM(T81:T91)</f>
        <v>0.37903570485808796</v>
      </c>
      <c r="U93" s="918" t="s">
        <v>114</v>
      </c>
      <c r="V93" s="919"/>
      <c r="AA93" s="916">
        <f>SUM(AA81:AA92)</f>
        <v>0.42089101085122826</v>
      </c>
      <c r="AB93" s="918" t="s">
        <v>198</v>
      </c>
      <c r="AC93" s="919"/>
      <c r="AJ93" s="22"/>
      <c r="AS93"/>
      <c r="AU93"/>
    </row>
    <row r="94" spans="2:47" x14ac:dyDescent="0.25">
      <c r="B94" s="163">
        <f t="shared" si="34"/>
        <v>-5.0000000000000044E-4</v>
      </c>
      <c r="C94" s="271">
        <f t="shared" si="35"/>
        <v>1.8200000000000001E-2</v>
      </c>
      <c r="F94" s="265">
        <v>44958</v>
      </c>
      <c r="G94" s="266">
        <v>1.8700000000000001E-2</v>
      </c>
      <c r="H94" s="345">
        <v>3.3E-3</v>
      </c>
      <c r="J94" s="2"/>
      <c r="L94" s="290">
        <f>SUM(L81:L93)</f>
        <v>0.99750000000000005</v>
      </c>
      <c r="O94" s="917"/>
      <c r="P94" s="920" t="s">
        <v>194</v>
      </c>
      <c r="Q94" s="921"/>
      <c r="T94" s="917"/>
      <c r="U94" s="920" t="s">
        <v>194</v>
      </c>
      <c r="V94" s="921"/>
      <c r="X94" s="163">
        <f>SUM(X81:X93)</f>
        <v>0.99990000000000001</v>
      </c>
      <c r="AA94" s="917">
        <f>SUM(AA81:AA93)</f>
        <v>0.84178202170245653</v>
      </c>
      <c r="AB94" s="920" t="s">
        <v>194</v>
      </c>
      <c r="AC94" s="921"/>
      <c r="AJ94" s="22"/>
      <c r="AS94"/>
      <c r="AU94"/>
    </row>
    <row r="95" spans="2:47" x14ac:dyDescent="0.25">
      <c r="B95" s="163">
        <f t="shared" si="34"/>
        <v>-6.9999999999999923E-4</v>
      </c>
      <c r="C95" s="271">
        <f t="shared" si="35"/>
        <v>2.35E-2</v>
      </c>
      <c r="E95" s="78"/>
      <c r="F95" s="265">
        <v>44959</v>
      </c>
      <c r="G95" s="266">
        <v>2.4199999999999999E-2</v>
      </c>
      <c r="H95" s="270">
        <v>4.7999999999999996E-3</v>
      </c>
      <c r="J95" s="2"/>
      <c r="Q95" s="28"/>
      <c r="V95" s="28"/>
      <c r="AH95" s="22"/>
      <c r="AS95"/>
      <c r="AU95"/>
    </row>
    <row r="96" spans="2:47" x14ac:dyDescent="0.25">
      <c r="B96" s="163">
        <f t="shared" si="34"/>
        <v>5.9999999999999984E-4</v>
      </c>
      <c r="C96" s="271">
        <f t="shared" si="35"/>
        <v>2.12E-2</v>
      </c>
      <c r="F96" s="276">
        <v>44960</v>
      </c>
      <c r="G96" s="266">
        <v>2.06E-2</v>
      </c>
      <c r="H96" s="270">
        <v>-3.0000000000000001E-3</v>
      </c>
      <c r="J96" s="97"/>
      <c r="K96" s="34"/>
      <c r="L96" s="34"/>
      <c r="M96" s="34"/>
      <c r="N96" s="34"/>
      <c r="O96" s="34"/>
      <c r="P96" s="34"/>
      <c r="Q96" s="44"/>
      <c r="S96" s="34"/>
      <c r="T96" s="34"/>
      <c r="U96" s="34"/>
      <c r="V96" s="44"/>
      <c r="AH96" s="22"/>
      <c r="AS96"/>
      <c r="AU96"/>
    </row>
    <row r="97" spans="1:47" ht="15.75" customHeight="1" thickBot="1" x14ac:dyDescent="0.3">
      <c r="A97" s="58"/>
      <c r="B97" s="426">
        <f t="shared" si="34"/>
        <v>2.9999999999999818E-4</v>
      </c>
      <c r="C97" s="427">
        <f t="shared" si="35"/>
        <v>1.7899999999999999E-2</v>
      </c>
      <c r="D97" s="58"/>
      <c r="E97" s="58"/>
      <c r="F97" s="428">
        <v>44963</v>
      </c>
      <c r="G97" s="429">
        <v>1.7600000000000001E-2</v>
      </c>
      <c r="H97" s="430">
        <v>-2.7000000000000001E-3</v>
      </c>
      <c r="I97" s="58"/>
      <c r="J97"/>
      <c r="AG97" s="22"/>
      <c r="AS97"/>
      <c r="AU97"/>
    </row>
    <row r="98" spans="1:47" ht="15.75" hidden="1" customHeight="1" thickBot="1" x14ac:dyDescent="0.3">
      <c r="B98" s="163">
        <f t="shared" si="34"/>
        <v>-3.9999999999999758E-4</v>
      </c>
      <c r="C98" s="271">
        <f t="shared" si="35"/>
        <v>2.01E-2</v>
      </c>
      <c r="E98" s="78"/>
      <c r="F98" s="265">
        <v>44964</v>
      </c>
      <c r="G98" s="266">
        <v>2.0499999999999997E-2</v>
      </c>
      <c r="H98" s="270">
        <v>2.5000000000000001E-3</v>
      </c>
      <c r="J98"/>
      <c r="AG98" s="22"/>
      <c r="AS98"/>
      <c r="AU98"/>
    </row>
    <row r="99" spans="1:47" ht="15.75" hidden="1" customHeight="1" x14ac:dyDescent="0.25">
      <c r="B99" s="163">
        <f t="shared" si="34"/>
        <v>3.9999999999999758E-4</v>
      </c>
      <c r="C99" s="271">
        <f t="shared" si="35"/>
        <v>1.8699999999999998E-2</v>
      </c>
      <c r="E99" s="78"/>
      <c r="F99" s="265">
        <v>44965</v>
      </c>
      <c r="G99" s="266">
        <v>1.83E-2</v>
      </c>
      <c r="H99" s="270">
        <v>-1.8E-3</v>
      </c>
      <c r="J99"/>
      <c r="AG99" s="22"/>
      <c r="AS99"/>
      <c r="AU99"/>
    </row>
    <row r="100" spans="1:47" ht="15.75" hidden="1" customHeight="1" x14ac:dyDescent="0.25">
      <c r="B100" s="163">
        <f t="shared" si="34"/>
        <v>4.0000000000000105E-4</v>
      </c>
      <c r="C100" s="271">
        <f t="shared" si="35"/>
        <v>1.6400000000000001E-2</v>
      </c>
      <c r="E100" s="78"/>
      <c r="F100" s="265">
        <v>44966</v>
      </c>
      <c r="G100" s="266">
        <v>1.6E-2</v>
      </c>
      <c r="H100" s="270">
        <v>-1.9E-3</v>
      </c>
      <c r="J100"/>
      <c r="AG100" s="22"/>
      <c r="AS100"/>
      <c r="AU100"/>
    </row>
    <row r="101" spans="1:47" ht="15.75" hidden="1" customHeight="1" x14ac:dyDescent="0.25">
      <c r="B101" s="163">
        <f t="shared" si="34"/>
        <v>1.9999999999999879E-4</v>
      </c>
      <c r="C101" s="271">
        <f t="shared" si="35"/>
        <v>1.3299999999999999E-2</v>
      </c>
      <c r="E101" s="78"/>
      <c r="F101" s="276">
        <v>44967</v>
      </c>
      <c r="G101" s="266">
        <v>1.3100000000000001E-2</v>
      </c>
      <c r="H101" s="270">
        <v>-2.7000000000000001E-3</v>
      </c>
      <c r="J101"/>
      <c r="AG101" s="22"/>
      <c r="AS101"/>
      <c r="AU101"/>
    </row>
    <row r="102" spans="1:47" ht="15.75" hidden="1" customHeight="1" x14ac:dyDescent="0.25">
      <c r="B102" s="163">
        <f t="shared" si="34"/>
        <v>-2.9999999999999992E-4</v>
      </c>
      <c r="C102" s="271">
        <f t="shared" si="35"/>
        <v>1.21E-2</v>
      </c>
      <c r="E102" s="78"/>
      <c r="F102" s="265">
        <v>44970</v>
      </c>
      <c r="G102" s="266">
        <v>1.24E-2</v>
      </c>
      <c r="H102" s="270">
        <v>-1E-3</v>
      </c>
      <c r="J102"/>
      <c r="AG102" s="22"/>
      <c r="AS102"/>
      <c r="AU102"/>
    </row>
    <row r="103" spans="1:47" hidden="1" x14ac:dyDescent="0.25">
      <c r="B103" s="163">
        <f t="shared" si="34"/>
        <v>9.999999999999766E-5</v>
      </c>
      <c r="C103" s="271">
        <f t="shared" si="35"/>
        <v>1.3099999999999999E-2</v>
      </c>
      <c r="F103" s="265">
        <v>44971</v>
      </c>
      <c r="G103" s="266">
        <v>1.3000000000000001E-2</v>
      </c>
      <c r="H103" s="270">
        <v>6.9999999999999999E-4</v>
      </c>
      <c r="J103"/>
      <c r="AG103" s="22"/>
      <c r="AS103"/>
      <c r="AU103"/>
    </row>
    <row r="104" spans="1:47" hidden="1" x14ac:dyDescent="0.25">
      <c r="B104" s="163">
        <f t="shared" si="34"/>
        <v>-5.9999999999999637E-4</v>
      </c>
      <c r="C104" s="271">
        <f t="shared" si="35"/>
        <v>1.7300000000000003E-2</v>
      </c>
      <c r="E104" s="78"/>
      <c r="F104" s="265">
        <v>44972</v>
      </c>
      <c r="G104" s="266">
        <v>1.7899999999999999E-2</v>
      </c>
      <c r="H104" s="270">
        <v>4.3E-3</v>
      </c>
      <c r="J104"/>
      <c r="AG104" s="22"/>
      <c r="AS104"/>
      <c r="AU104"/>
    </row>
    <row r="105" spans="1:47" hidden="1" x14ac:dyDescent="0.25">
      <c r="B105" s="163">
        <f t="shared" si="34"/>
        <v>5.0000000000000044E-4</v>
      </c>
      <c r="C105" s="271">
        <f t="shared" si="35"/>
        <v>1.7399999999999999E-2</v>
      </c>
      <c r="E105" s="78"/>
      <c r="F105" s="265">
        <v>44973</v>
      </c>
      <c r="G105" s="266">
        <v>1.6899999999999998E-2</v>
      </c>
      <c r="H105" s="270">
        <v>-5.0000000000000001E-4</v>
      </c>
      <c r="J105"/>
      <c r="AG105" s="22"/>
      <c r="AS105"/>
      <c r="AU105"/>
    </row>
    <row r="106" spans="1:47" hidden="1" x14ac:dyDescent="0.25">
      <c r="B106" s="163">
        <f t="shared" si="34"/>
        <v>2.9999999999999818E-4</v>
      </c>
      <c r="C106" s="271">
        <f t="shared" si="35"/>
        <v>1.3399999999999999E-2</v>
      </c>
      <c r="F106" s="276">
        <v>44974</v>
      </c>
      <c r="G106" s="266">
        <v>1.3100000000000001E-2</v>
      </c>
      <c r="H106" s="266">
        <v>-3.5000000000000001E-3</v>
      </c>
      <c r="I106" s="2"/>
      <c r="J106"/>
      <c r="AG106" s="22"/>
      <c r="AS106"/>
      <c r="AU106"/>
    </row>
    <row r="107" spans="1:47" hidden="1" x14ac:dyDescent="0.25">
      <c r="C107" s="2"/>
      <c r="F107" s="265">
        <v>44977</v>
      </c>
      <c r="H107" s="22" t="s">
        <v>171</v>
      </c>
      <c r="I107" s="2"/>
      <c r="J107"/>
      <c r="AG107" s="22"/>
      <c r="AS107"/>
      <c r="AU107"/>
    </row>
    <row r="108" spans="1:47" hidden="1" x14ac:dyDescent="0.25">
      <c r="B108" s="163">
        <f t="shared" ref="B108:B130" si="36">+C108-G108</f>
        <v>3.9999999999999931E-4</v>
      </c>
      <c r="C108" s="271">
        <f>+G106+H108</f>
        <v>1.06E-2</v>
      </c>
      <c r="E108" s="78"/>
      <c r="F108" s="265">
        <v>44978</v>
      </c>
      <c r="G108" s="266">
        <v>1.0200000000000001E-2</v>
      </c>
      <c r="H108" s="266">
        <v>-2.5000000000000001E-3</v>
      </c>
      <c r="I108" s="2"/>
      <c r="J108"/>
      <c r="AG108" s="22"/>
      <c r="AS108"/>
      <c r="AU108"/>
    </row>
    <row r="109" spans="1:47" hidden="1" x14ac:dyDescent="0.25">
      <c r="B109" s="163">
        <f t="shared" si="36"/>
        <v>-9.999999999999766E-5</v>
      </c>
      <c r="C109" s="271">
        <f t="shared" ref="C109:C130" si="37">+G108+H109</f>
        <v>1.1800000000000001E-2</v>
      </c>
      <c r="F109" s="265">
        <v>44979</v>
      </c>
      <c r="G109" s="266">
        <v>1.1899999999999999E-2</v>
      </c>
      <c r="H109" s="266">
        <v>1.6000000000000001E-3</v>
      </c>
      <c r="I109" s="2"/>
      <c r="J109"/>
      <c r="AG109" s="22"/>
      <c r="AS109"/>
      <c r="AU109"/>
    </row>
    <row r="110" spans="1:47" hidden="1" x14ac:dyDescent="0.25">
      <c r="B110" s="163">
        <f t="shared" si="36"/>
        <v>0</v>
      </c>
      <c r="C110" s="271">
        <f t="shared" si="37"/>
        <v>1.2699999999999999E-2</v>
      </c>
      <c r="F110" s="265">
        <v>44980</v>
      </c>
      <c r="G110" s="266">
        <v>1.2699999999999999E-2</v>
      </c>
      <c r="H110" s="266">
        <v>8.0000000000000004E-4</v>
      </c>
      <c r="I110" s="2"/>
      <c r="J110"/>
      <c r="AG110" s="22"/>
      <c r="AS110"/>
      <c r="AU110"/>
    </row>
    <row r="111" spans="1:47" hidden="1" x14ac:dyDescent="0.25">
      <c r="B111" s="163">
        <f t="shared" si="36"/>
        <v>2.9999999999999992E-4</v>
      </c>
      <c r="C111" s="271">
        <f t="shared" si="37"/>
        <v>1.04E-2</v>
      </c>
      <c r="F111" s="276">
        <v>44981</v>
      </c>
      <c r="G111" s="266">
        <v>1.01E-2</v>
      </c>
      <c r="H111" s="266">
        <f>+-0.0023</f>
        <v>-2.3E-3</v>
      </c>
      <c r="I111" s="2"/>
      <c r="J111"/>
      <c r="AG111" s="22"/>
      <c r="AS111"/>
      <c r="AU111"/>
    </row>
    <row r="112" spans="1:47" hidden="1" x14ac:dyDescent="0.25">
      <c r="B112" s="163">
        <f t="shared" si="36"/>
        <v>0</v>
      </c>
      <c r="C112" s="271">
        <f t="shared" si="37"/>
        <v>8.8999999999999999E-3</v>
      </c>
      <c r="E112" s="78"/>
      <c r="F112" s="265">
        <v>44984</v>
      </c>
      <c r="G112" s="266">
        <v>8.8999999999999999E-3</v>
      </c>
      <c r="H112" s="266">
        <v>-1.1999999999999999E-3</v>
      </c>
      <c r="I112" s="2"/>
      <c r="J112"/>
      <c r="AS112"/>
      <c r="AU112"/>
    </row>
    <row r="113" spans="2:47" hidden="1" x14ac:dyDescent="0.25">
      <c r="B113" s="341">
        <f t="shared" si="36"/>
        <v>0</v>
      </c>
      <c r="C113" s="342">
        <f t="shared" si="37"/>
        <v>1.0800000000000001E-2</v>
      </c>
      <c r="D113" s="34"/>
      <c r="E113" s="83"/>
      <c r="F113" s="276">
        <v>44985</v>
      </c>
      <c r="G113" s="343">
        <v>1.0800000000000001E-2</v>
      </c>
      <c r="H113" s="344">
        <v>1.9E-3</v>
      </c>
      <c r="I113" s="271">
        <f>+G113-G93</f>
        <v>-4.0999999999999995E-3</v>
      </c>
      <c r="J113" t="s">
        <v>350</v>
      </c>
      <c r="AS113"/>
      <c r="AU113"/>
    </row>
    <row r="114" spans="2:47" hidden="1" x14ac:dyDescent="0.25">
      <c r="B114" s="163">
        <f t="shared" si="36"/>
        <v>0</v>
      </c>
      <c r="C114" s="271">
        <f t="shared" si="37"/>
        <v>1.03E-2</v>
      </c>
      <c r="E114" s="424" t="s">
        <v>351</v>
      </c>
      <c r="F114" s="265">
        <v>44986</v>
      </c>
      <c r="G114" s="266">
        <v>1.03E-2</v>
      </c>
      <c r="H114" s="266">
        <v>-5.0000000000000001E-4</v>
      </c>
      <c r="I114" s="2"/>
      <c r="J114"/>
      <c r="AS114"/>
      <c r="AU114"/>
    </row>
    <row r="115" spans="2:47" hidden="1" x14ac:dyDescent="0.25">
      <c r="B115" s="163">
        <f t="shared" si="36"/>
        <v>-1.0000000000000113E-4</v>
      </c>
      <c r="C115" s="271">
        <f t="shared" si="37"/>
        <v>1.0999999999999999E-2</v>
      </c>
      <c r="E115" s="267"/>
      <c r="F115" s="265">
        <v>44987</v>
      </c>
      <c r="G115" s="266">
        <v>1.11E-2</v>
      </c>
      <c r="H115" s="266">
        <v>6.9999999999999999E-4</v>
      </c>
      <c r="I115" s="2"/>
      <c r="J115"/>
      <c r="AS115"/>
      <c r="AU115"/>
    </row>
    <row r="116" spans="2:47" hidden="1" x14ac:dyDescent="0.25">
      <c r="B116" s="163">
        <f t="shared" si="36"/>
        <v>-1.9999999999999879E-4</v>
      </c>
      <c r="C116" s="271">
        <f t="shared" si="37"/>
        <v>1.0400000000000001E-2</v>
      </c>
      <c r="E116" s="78"/>
      <c r="F116" s="276">
        <v>44988</v>
      </c>
      <c r="G116" s="266">
        <v>1.06E-2</v>
      </c>
      <c r="H116" s="266">
        <v>-6.9999999999999999E-4</v>
      </c>
      <c r="I116" s="2"/>
      <c r="J116"/>
      <c r="AS116"/>
      <c r="AU116"/>
    </row>
    <row r="117" spans="2:47" hidden="1" x14ac:dyDescent="0.25">
      <c r="B117" s="163">
        <f t="shared" si="36"/>
        <v>1.0000000000000113E-4</v>
      </c>
      <c r="C117" s="271">
        <f t="shared" si="37"/>
        <v>9.7000000000000003E-3</v>
      </c>
      <c r="E117" s="78"/>
      <c r="F117" s="265">
        <v>44991</v>
      </c>
      <c r="G117" s="266">
        <v>9.5999999999999992E-3</v>
      </c>
      <c r="H117" s="266">
        <v>-8.9999999999999998E-4</v>
      </c>
      <c r="I117" s="2"/>
      <c r="J117"/>
      <c r="AS117"/>
      <c r="AU117"/>
    </row>
    <row r="118" spans="2:47" hidden="1" x14ac:dyDescent="0.25">
      <c r="B118" s="163">
        <f t="shared" si="36"/>
        <v>0</v>
      </c>
      <c r="C118" s="271">
        <f t="shared" si="37"/>
        <v>1.1399999999999999E-2</v>
      </c>
      <c r="E118" s="78"/>
      <c r="F118" s="265">
        <v>44992</v>
      </c>
      <c r="G118" s="266">
        <v>1.1399999999999999E-2</v>
      </c>
      <c r="H118" s="266">
        <v>1.8E-3</v>
      </c>
      <c r="I118" s="2"/>
      <c r="J118"/>
      <c r="AS118"/>
      <c r="AU118"/>
    </row>
    <row r="119" spans="2:47" hidden="1" x14ac:dyDescent="0.25">
      <c r="B119" s="163">
        <f t="shared" si="36"/>
        <v>0</v>
      </c>
      <c r="C119" s="271">
        <f t="shared" si="37"/>
        <v>1.2999999999999999E-2</v>
      </c>
      <c r="D119" s="78"/>
      <c r="E119" s="78"/>
      <c r="F119" s="265">
        <v>44993</v>
      </c>
      <c r="G119" s="266">
        <v>1.2999999999999999E-2</v>
      </c>
      <c r="H119" s="266">
        <v>1.6000000000000001E-3</v>
      </c>
      <c r="I119" s="354"/>
      <c r="J119" s="10"/>
      <c r="AS119"/>
      <c r="AU119"/>
    </row>
    <row r="120" spans="2:47" hidden="1" x14ac:dyDescent="0.25">
      <c r="B120" s="163">
        <f t="shared" si="36"/>
        <v>2.9999999999999992E-4</v>
      </c>
      <c r="C120" s="271">
        <f t="shared" si="37"/>
        <v>1.0699999999999999E-2</v>
      </c>
      <c r="F120" s="265">
        <v>44994</v>
      </c>
      <c r="G120" s="266">
        <v>1.04E-2</v>
      </c>
      <c r="H120" s="266">
        <v>-2.3E-3</v>
      </c>
      <c r="I120" s="354"/>
      <c r="J120"/>
      <c r="AS120"/>
      <c r="AU120"/>
    </row>
    <row r="121" spans="2:47" hidden="1" x14ac:dyDescent="0.25">
      <c r="B121" s="163">
        <f t="shared" si="36"/>
        <v>2.9999999999999992E-4</v>
      </c>
      <c r="C121" s="271">
        <f t="shared" si="37"/>
        <v>6.8999999999999999E-3</v>
      </c>
      <c r="F121" s="276">
        <v>44995</v>
      </c>
      <c r="G121" s="266">
        <v>6.6E-3</v>
      </c>
      <c r="H121" s="266">
        <v>-3.5000000000000001E-3</v>
      </c>
      <c r="I121" s="2"/>
      <c r="J121"/>
      <c r="AS121"/>
      <c r="AU121"/>
    </row>
    <row r="122" spans="2:47" hidden="1" x14ac:dyDescent="0.25">
      <c r="B122" s="163">
        <f t="shared" si="36"/>
        <v>0</v>
      </c>
      <c r="C122" s="271">
        <f t="shared" si="37"/>
        <v>8.0000000000000002E-3</v>
      </c>
      <c r="E122" s="78"/>
      <c r="F122" s="265">
        <v>44998</v>
      </c>
      <c r="G122" s="266">
        <v>8.0000000000000002E-3</v>
      </c>
      <c r="H122" s="266">
        <v>1.4E-3</v>
      </c>
      <c r="I122" s="2"/>
      <c r="J122"/>
      <c r="AS122"/>
      <c r="AU122"/>
    </row>
    <row r="123" spans="2:47" hidden="1" x14ac:dyDescent="0.25">
      <c r="B123" s="163">
        <f t="shared" si="36"/>
        <v>-2.0000000000000052E-4</v>
      </c>
      <c r="C123" s="271">
        <f t="shared" si="37"/>
        <v>9.2999999999999992E-3</v>
      </c>
      <c r="F123" s="265">
        <v>44999</v>
      </c>
      <c r="G123" s="266">
        <v>9.4999999999999998E-3</v>
      </c>
      <c r="H123" s="270">
        <v>1.2999999999999999E-3</v>
      </c>
      <c r="J123"/>
      <c r="AS123"/>
      <c r="AU123"/>
    </row>
    <row r="124" spans="2:47" hidden="1" x14ac:dyDescent="0.25">
      <c r="B124" s="425">
        <f t="shared" si="36"/>
        <v>9.9999999999999395E-5</v>
      </c>
      <c r="C124" s="163">
        <f t="shared" si="37"/>
        <v>1.06E-2</v>
      </c>
      <c r="F124" s="265">
        <v>45000</v>
      </c>
      <c r="G124" s="266">
        <v>1.0500000000000001E-2</v>
      </c>
      <c r="H124" s="270">
        <v>1.1000000000000001E-3</v>
      </c>
      <c r="J124"/>
      <c r="AS124"/>
      <c r="AU124"/>
    </row>
    <row r="125" spans="2:47" hidden="1" x14ac:dyDescent="0.25">
      <c r="B125" s="425">
        <f t="shared" si="36"/>
        <v>-1.9999999999999879E-4</v>
      </c>
      <c r="C125" s="163">
        <f t="shared" si="37"/>
        <v>1.2100000000000001E-2</v>
      </c>
      <c r="F125" s="265">
        <v>45001</v>
      </c>
      <c r="G125" s="266">
        <v>1.23E-2</v>
      </c>
      <c r="H125" s="270">
        <v>1.6000000000000001E-3</v>
      </c>
      <c r="J125"/>
      <c r="AS125"/>
      <c r="AU125"/>
    </row>
    <row r="126" spans="2:47" hidden="1" x14ac:dyDescent="0.25">
      <c r="B126" s="425">
        <f t="shared" si="36"/>
        <v>0</v>
      </c>
      <c r="C126" s="163">
        <f t="shared" si="37"/>
        <v>1.34E-2</v>
      </c>
      <c r="E126" s="78"/>
      <c r="F126" s="276">
        <v>45002</v>
      </c>
      <c r="G126" s="266">
        <v>1.34E-2</v>
      </c>
      <c r="H126" s="270">
        <v>1.1000000000000001E-3</v>
      </c>
      <c r="J126"/>
      <c r="AS126"/>
      <c r="AU126"/>
    </row>
    <row r="127" spans="2:47" hidden="1" x14ac:dyDescent="0.25">
      <c r="B127" s="425">
        <f t="shared" si="36"/>
        <v>0</v>
      </c>
      <c r="C127" s="163">
        <f t="shared" si="37"/>
        <v>9.4000000000000004E-3</v>
      </c>
      <c r="E127" s="78"/>
      <c r="F127" s="265">
        <v>45005</v>
      </c>
      <c r="G127" s="266">
        <v>9.4000000000000004E-3</v>
      </c>
      <c r="H127" s="270">
        <v>-4.0000000000000001E-3</v>
      </c>
      <c r="J127"/>
      <c r="AS127"/>
      <c r="AU127"/>
    </row>
    <row r="128" spans="2:47" hidden="1" x14ac:dyDescent="0.25">
      <c r="B128" s="425">
        <f t="shared" si="36"/>
        <v>-1.9999999999999879E-4</v>
      </c>
      <c r="C128" s="163">
        <f t="shared" si="37"/>
        <v>1.14E-2</v>
      </c>
      <c r="E128" s="78"/>
      <c r="F128" s="265">
        <v>45006</v>
      </c>
      <c r="G128" s="266">
        <v>1.1599999999999999E-2</v>
      </c>
      <c r="H128" s="270">
        <v>2E-3</v>
      </c>
      <c r="J128"/>
      <c r="AS128"/>
      <c r="AU128"/>
    </row>
    <row r="129" spans="2:51" hidden="1" x14ac:dyDescent="0.25">
      <c r="B129" s="425">
        <f t="shared" si="36"/>
        <v>1.9999999999999879E-4</v>
      </c>
      <c r="C129" s="163">
        <f t="shared" si="37"/>
        <v>1.1099999999999999E-2</v>
      </c>
      <c r="E129" s="78"/>
      <c r="F129" s="265">
        <v>45007</v>
      </c>
      <c r="G129" s="266">
        <v>1.09E-2</v>
      </c>
      <c r="H129" s="270">
        <v>-5.0000000000000001E-4</v>
      </c>
      <c r="J129"/>
      <c r="AS129"/>
      <c r="AU129"/>
    </row>
    <row r="130" spans="2:51" hidden="1" x14ac:dyDescent="0.25">
      <c r="B130" s="425">
        <f t="shared" si="36"/>
        <v>-1.0000000000000113E-4</v>
      </c>
      <c r="C130" s="163">
        <f t="shared" si="37"/>
        <v>1.2699999999999999E-2</v>
      </c>
      <c r="E130" s="78"/>
      <c r="F130" s="265">
        <v>45008</v>
      </c>
      <c r="G130" s="266">
        <v>1.2800000000000001E-2</v>
      </c>
      <c r="H130" s="270">
        <v>1.8E-3</v>
      </c>
      <c r="J130"/>
      <c r="AD130" s="7"/>
      <c r="AE130" s="7"/>
      <c r="AH130" s="47"/>
      <c r="AM130" s="47"/>
      <c r="AN130" s="7"/>
      <c r="AO130" s="7"/>
      <c r="AP130" s="7"/>
      <c r="AQ130" s="47"/>
      <c r="AR130" s="47"/>
      <c r="AT130" s="7"/>
      <c r="AX130" s="7"/>
      <c r="AY130" s="7"/>
    </row>
    <row r="131" spans="2:51" hidden="1" x14ac:dyDescent="0.25">
      <c r="B131" s="425">
        <f t="shared" ref="B131:B138" si="38">+C131-G131</f>
        <v>9.9999999999999395E-5</v>
      </c>
      <c r="C131" s="163">
        <f t="shared" ref="C131:C138" si="39">+G130+H131</f>
        <v>1.06E-2</v>
      </c>
      <c r="E131" s="78"/>
      <c r="F131" s="276">
        <v>45009</v>
      </c>
      <c r="G131" s="266">
        <v>1.0500000000000001E-2</v>
      </c>
      <c r="H131" s="270">
        <v>-2.2000000000000001E-3</v>
      </c>
      <c r="J131"/>
      <c r="AD131" s="7"/>
      <c r="AE131" s="7"/>
      <c r="AH131" s="47"/>
      <c r="AM131" s="47"/>
      <c r="AN131" s="7"/>
      <c r="AO131" s="7"/>
      <c r="AP131" s="7"/>
      <c r="AQ131" s="47"/>
      <c r="AR131" s="47"/>
      <c r="AT131" s="7"/>
      <c r="AX131" s="7"/>
      <c r="AY131" s="7"/>
    </row>
    <row r="132" spans="2:51" hidden="1" x14ac:dyDescent="0.25">
      <c r="B132" s="425">
        <f t="shared" si="38"/>
        <v>0</v>
      </c>
      <c r="C132" s="163">
        <f t="shared" si="39"/>
        <v>1.0400000000000001E-2</v>
      </c>
      <c r="E132" s="78"/>
      <c r="F132" s="265">
        <v>45012</v>
      </c>
      <c r="G132" s="266">
        <v>1.04E-2</v>
      </c>
      <c r="H132" s="270">
        <v>-1E-4</v>
      </c>
      <c r="J132"/>
      <c r="AD132" s="7"/>
      <c r="AE132" s="7"/>
      <c r="AH132" s="47"/>
      <c r="AM132" s="47"/>
      <c r="AN132" s="7"/>
      <c r="AO132" s="7"/>
      <c r="AP132" s="7"/>
      <c r="AQ132" s="47"/>
      <c r="AR132" s="47"/>
      <c r="AX132" s="7"/>
      <c r="AY132" s="7"/>
    </row>
    <row r="133" spans="2:51" hidden="1" x14ac:dyDescent="0.25">
      <c r="B133" s="425">
        <f t="shared" si="38"/>
        <v>9.9999999999999395E-5</v>
      </c>
      <c r="C133" s="163">
        <f t="shared" si="39"/>
        <v>8.3000000000000001E-3</v>
      </c>
      <c r="F133" s="265">
        <v>45013</v>
      </c>
      <c r="G133" s="266">
        <v>8.2000000000000007E-3</v>
      </c>
      <c r="H133" s="270">
        <v>-2.0999999999999999E-3</v>
      </c>
      <c r="J133"/>
      <c r="AH133" s="47"/>
      <c r="AM133" s="47"/>
      <c r="AQ133" s="47"/>
      <c r="AR133" s="47"/>
    </row>
    <row r="134" spans="2:51" hidden="1" x14ac:dyDescent="0.25">
      <c r="B134" s="425">
        <f t="shared" si="38"/>
        <v>-9.9999999999999395E-5</v>
      </c>
      <c r="C134" s="163">
        <f t="shared" si="39"/>
        <v>8.1000000000000013E-3</v>
      </c>
      <c r="E134" s="78"/>
      <c r="F134" s="265">
        <v>45014</v>
      </c>
      <c r="G134" s="266">
        <v>8.2000000000000007E-3</v>
      </c>
      <c r="H134" s="270">
        <v>-1E-4</v>
      </c>
      <c r="J134"/>
      <c r="AH134" s="47"/>
      <c r="AM134" s="47"/>
      <c r="AQ134" s="47"/>
      <c r="AR134" s="47"/>
    </row>
    <row r="135" spans="2:51" x14ac:dyDescent="0.25">
      <c r="B135" s="425">
        <f t="shared" si="38"/>
        <v>0</v>
      </c>
      <c r="C135" s="163">
        <f t="shared" si="39"/>
        <v>8.1000000000000013E-3</v>
      </c>
      <c r="E135" s="78"/>
      <c r="F135" s="265">
        <v>45015</v>
      </c>
      <c r="G135" s="266">
        <v>8.0999999999999996E-3</v>
      </c>
      <c r="H135" s="270">
        <v>-1E-4</v>
      </c>
      <c r="J135"/>
      <c r="AH135" s="47"/>
      <c r="AM135" s="47"/>
      <c r="AQ135" s="47"/>
      <c r="AR135" s="47"/>
    </row>
    <row r="136" spans="2:51" x14ac:dyDescent="0.25">
      <c r="B136" s="483">
        <f t="shared" si="38"/>
        <v>-2.0000000000000052E-4</v>
      </c>
      <c r="C136" s="341">
        <f t="shared" si="39"/>
        <v>9.1999999999999998E-3</v>
      </c>
      <c r="D136" s="34"/>
      <c r="E136" s="83"/>
      <c r="F136" s="276">
        <v>45016</v>
      </c>
      <c r="G136" s="343">
        <v>9.4000000000000004E-3</v>
      </c>
      <c r="H136" s="344">
        <v>1.1000000000000001E-3</v>
      </c>
      <c r="J136"/>
      <c r="AH136" s="47"/>
      <c r="AM136" s="47"/>
      <c r="AQ136" s="47"/>
      <c r="AR136" s="47"/>
    </row>
    <row r="137" spans="2:51" x14ac:dyDescent="0.25">
      <c r="B137" s="425">
        <f t="shared" si="38"/>
        <v>1.0000000000000113E-4</v>
      </c>
      <c r="C137" s="163">
        <f t="shared" si="39"/>
        <v>7.9000000000000008E-3</v>
      </c>
      <c r="E137" s="431" t="s">
        <v>376</v>
      </c>
      <c r="F137" s="265">
        <v>45019</v>
      </c>
      <c r="G137" s="266">
        <v>7.7999999999999996E-3</v>
      </c>
      <c r="H137" s="270">
        <v>-1.5E-3</v>
      </c>
      <c r="J137"/>
      <c r="R137" s="77"/>
      <c r="W137" s="77"/>
      <c r="X137" s="77"/>
      <c r="AH137" s="47"/>
      <c r="AM137" s="47"/>
      <c r="AQ137" s="47"/>
      <c r="AR137" s="47"/>
    </row>
    <row r="138" spans="2:51" x14ac:dyDescent="0.25">
      <c r="B138" s="425">
        <f t="shared" si="38"/>
        <v>0</v>
      </c>
      <c r="C138" s="163">
        <f t="shared" si="39"/>
        <v>8.7999999999999988E-3</v>
      </c>
      <c r="E138" s="78"/>
      <c r="F138" s="265">
        <v>45020</v>
      </c>
      <c r="G138" s="266">
        <v>8.8000000000000005E-3</v>
      </c>
      <c r="H138" s="270">
        <v>1E-3</v>
      </c>
      <c r="J138"/>
      <c r="Q138" s="77"/>
      <c r="R138" s="77"/>
      <c r="V138" s="77"/>
      <c r="W138" s="77"/>
      <c r="X138" s="77"/>
      <c r="AH138" s="47"/>
    </row>
    <row r="139" spans="2:51" x14ac:dyDescent="0.25">
      <c r="B139" s="163">
        <f t="shared" ref="B139" si="40">+C139-G139</f>
        <v>2.0000000000000009E-3</v>
      </c>
      <c r="C139" s="271">
        <f t="shared" ref="C139" si="41">+G138+H139</f>
        <v>9.6000000000000009E-3</v>
      </c>
      <c r="F139" s="265">
        <v>45022</v>
      </c>
      <c r="G139" s="266">
        <v>7.6E-3</v>
      </c>
      <c r="H139" s="270">
        <v>8.0000000000000004E-4</v>
      </c>
      <c r="J139"/>
      <c r="Q139" s="77"/>
      <c r="R139" s="77"/>
      <c r="V139" s="77"/>
      <c r="W139" s="77"/>
      <c r="X139" s="77"/>
    </row>
    <row r="140" spans="2:51" x14ac:dyDescent="0.25">
      <c r="C140" s="2"/>
      <c r="F140" s="276">
        <v>45023</v>
      </c>
      <c r="H140" s="303" t="s">
        <v>171</v>
      </c>
      <c r="J140"/>
      <c r="Q140" s="77"/>
      <c r="R140" s="77"/>
      <c r="V140" s="77"/>
      <c r="W140" s="77"/>
      <c r="X140" s="77"/>
    </row>
    <row r="141" spans="2:51" x14ac:dyDescent="0.25">
      <c r="B141" s="163">
        <f t="shared" ref="B141:B152" si="42">+C141-G141</f>
        <v>-1.0000000000000113E-4</v>
      </c>
      <c r="C141" s="271">
        <f>+G139+H141</f>
        <v>8.3999999999999995E-3</v>
      </c>
      <c r="F141" s="265">
        <v>45026</v>
      </c>
      <c r="G141" s="266">
        <v>8.5000000000000006E-3</v>
      </c>
      <c r="H141" s="270">
        <v>8.0000000000000004E-4</v>
      </c>
      <c r="J141"/>
      <c r="Q141" s="77"/>
      <c r="R141" s="77"/>
      <c r="V141" s="77"/>
      <c r="W141" s="77"/>
      <c r="X141" s="77"/>
    </row>
    <row r="142" spans="2:51" x14ac:dyDescent="0.25">
      <c r="B142" s="425">
        <f t="shared" si="42"/>
        <v>0</v>
      </c>
      <c r="C142" s="163">
        <f t="shared" ref="C142:C152" si="43">+G141+H142</f>
        <v>9.0000000000000011E-3</v>
      </c>
      <c r="F142" s="265">
        <v>45027</v>
      </c>
      <c r="G142" s="266">
        <v>8.9999999999999993E-3</v>
      </c>
      <c r="H142" s="270">
        <v>5.0000000000000001E-4</v>
      </c>
      <c r="J142"/>
      <c r="Q142" s="77"/>
      <c r="R142" s="77"/>
      <c r="V142" s="77"/>
      <c r="W142" s="77"/>
      <c r="X142" s="77"/>
    </row>
    <row r="143" spans="2:51" x14ac:dyDescent="0.25">
      <c r="B143" s="425">
        <f t="shared" si="42"/>
        <v>1.9999999999999966E-4</v>
      </c>
      <c r="C143" s="163">
        <f t="shared" si="43"/>
        <v>7.4999999999999997E-3</v>
      </c>
      <c r="F143" s="265">
        <v>45028</v>
      </c>
      <c r="G143" s="266">
        <v>7.3000000000000001E-3</v>
      </c>
      <c r="H143" s="270">
        <v>-1.5E-3</v>
      </c>
      <c r="J143"/>
      <c r="Q143" s="77"/>
      <c r="R143" s="77"/>
      <c r="V143" s="77"/>
      <c r="W143" s="77"/>
      <c r="X143" s="77"/>
    </row>
    <row r="144" spans="2:51" x14ac:dyDescent="0.25">
      <c r="B144" s="425">
        <f t="shared" si="42"/>
        <v>-3.9999999999999931E-4</v>
      </c>
      <c r="C144" s="163">
        <f t="shared" si="43"/>
        <v>1.0999999999999999E-2</v>
      </c>
      <c r="F144" s="265">
        <v>45029</v>
      </c>
      <c r="G144" s="266">
        <v>1.1399999999999999E-2</v>
      </c>
      <c r="H144" s="270">
        <v>3.7000000000000002E-3</v>
      </c>
      <c r="J144"/>
      <c r="Q144" s="77"/>
      <c r="R144" s="77"/>
      <c r="V144" s="77"/>
      <c r="W144" s="77"/>
      <c r="X144" s="77"/>
    </row>
    <row r="145" spans="2:24" x14ac:dyDescent="0.25">
      <c r="B145" s="425">
        <f t="shared" si="42"/>
        <v>1.9999999999999879E-4</v>
      </c>
      <c r="C145" s="163">
        <f t="shared" si="43"/>
        <v>9.5999999999999992E-3</v>
      </c>
      <c r="F145" s="276">
        <v>45030</v>
      </c>
      <c r="G145" s="266">
        <v>9.4000000000000004E-3</v>
      </c>
      <c r="H145" s="270">
        <v>-1.8E-3</v>
      </c>
      <c r="J145"/>
      <c r="Q145" s="77"/>
      <c r="R145" s="77"/>
      <c r="V145" s="77"/>
      <c r="W145" s="77"/>
      <c r="X145" s="77"/>
    </row>
    <row r="146" spans="2:24" x14ac:dyDescent="0.25">
      <c r="B146" s="425">
        <f t="shared" si="42"/>
        <v>-9.9999999999999395E-5</v>
      </c>
      <c r="C146" s="163">
        <f t="shared" si="43"/>
        <v>0.01</v>
      </c>
      <c r="F146" s="265">
        <v>45033</v>
      </c>
      <c r="G146" s="266">
        <v>1.01E-2</v>
      </c>
      <c r="H146" s="270">
        <v>5.9999999999999995E-4</v>
      </c>
      <c r="J146"/>
      <c r="Q146" s="77"/>
      <c r="R146" s="77"/>
      <c r="V146" s="77"/>
      <c r="W146" s="77"/>
      <c r="X146" s="77"/>
    </row>
    <row r="147" spans="2:24" x14ac:dyDescent="0.25">
      <c r="B147" s="425">
        <f t="shared" si="42"/>
        <v>-9.9999999999999395E-5</v>
      </c>
      <c r="C147" s="163">
        <f t="shared" si="43"/>
        <v>1.1299999999999999E-2</v>
      </c>
      <c r="F147" s="265">
        <v>45034</v>
      </c>
      <c r="G147" s="266">
        <v>1.1399999999999999E-2</v>
      </c>
      <c r="H147" s="270">
        <v>1.1999999999999999E-3</v>
      </c>
      <c r="J147"/>
      <c r="Q147" s="77"/>
      <c r="R147" s="77"/>
      <c r="V147" s="77"/>
      <c r="W147" s="77"/>
      <c r="X147" s="77"/>
    </row>
    <row r="148" spans="2:24" x14ac:dyDescent="0.25">
      <c r="B148" s="425">
        <f t="shared" si="42"/>
        <v>9.9999999999999395E-5</v>
      </c>
      <c r="C148" s="163">
        <f t="shared" si="43"/>
        <v>1.0999999999999999E-2</v>
      </c>
      <c r="F148" s="265">
        <v>45035</v>
      </c>
      <c r="G148" s="266">
        <v>1.09E-2</v>
      </c>
      <c r="H148" s="270">
        <v>-4.0000000000000002E-4</v>
      </c>
      <c r="J148"/>
      <c r="Q148" s="77"/>
      <c r="R148" s="77"/>
      <c r="V148" s="77"/>
      <c r="W148" s="77"/>
      <c r="X148" s="77"/>
    </row>
    <row r="149" spans="2:24" x14ac:dyDescent="0.25">
      <c r="B149" s="425">
        <f t="shared" si="42"/>
        <v>-2.0000000000000052E-4</v>
      </c>
      <c r="C149" s="163">
        <f t="shared" si="43"/>
        <v>1.3100000000000001E-2</v>
      </c>
      <c r="F149" s="265">
        <v>45036</v>
      </c>
      <c r="G149" s="266">
        <v>1.3300000000000001E-2</v>
      </c>
      <c r="H149" s="270">
        <v>2.2000000000000001E-3</v>
      </c>
      <c r="J149"/>
      <c r="Q149" s="77"/>
      <c r="R149" s="77"/>
      <c r="V149" s="77"/>
      <c r="W149" s="77"/>
      <c r="X149" s="77"/>
    </row>
    <row r="150" spans="2:24" x14ac:dyDescent="0.25">
      <c r="B150" s="425">
        <f t="shared" si="42"/>
        <v>0</v>
      </c>
      <c r="C150" s="163">
        <f t="shared" si="43"/>
        <v>1.4E-2</v>
      </c>
      <c r="F150" s="276">
        <v>45037</v>
      </c>
      <c r="G150" s="266">
        <v>1.3999999999999999E-2</v>
      </c>
      <c r="H150" s="270">
        <v>6.9999999999999999E-4</v>
      </c>
      <c r="J150"/>
      <c r="Q150" s="77"/>
      <c r="R150" s="77"/>
      <c r="V150" s="77"/>
      <c r="W150" s="77"/>
      <c r="X150" s="77"/>
    </row>
    <row r="151" spans="2:24" x14ac:dyDescent="0.25">
      <c r="B151" s="425">
        <f t="shared" si="42"/>
        <v>0</v>
      </c>
      <c r="C151" s="163">
        <f t="shared" si="43"/>
        <v>1.2999999999999998E-2</v>
      </c>
      <c r="F151" s="265">
        <v>45040</v>
      </c>
      <c r="G151" s="266">
        <v>1.3000000000000001E-2</v>
      </c>
      <c r="H151" s="270">
        <v>-1E-3</v>
      </c>
      <c r="J151"/>
      <c r="Q151" s="77"/>
      <c r="R151" s="77"/>
      <c r="V151" s="77"/>
      <c r="W151" s="77"/>
      <c r="X151" s="77"/>
    </row>
    <row r="152" spans="2:24" x14ac:dyDescent="0.25">
      <c r="B152" s="425">
        <f t="shared" si="42"/>
        <v>1.5000000000000013E-3</v>
      </c>
      <c r="C152" s="163">
        <f t="shared" si="43"/>
        <v>6.4000000000000012E-3</v>
      </c>
      <c r="F152" s="265">
        <v>45041</v>
      </c>
      <c r="G152" s="266">
        <v>4.8999999999999998E-3</v>
      </c>
      <c r="H152" s="270">
        <v>-6.6E-3</v>
      </c>
      <c r="J152"/>
      <c r="Q152" s="77"/>
      <c r="R152" s="77"/>
      <c r="V152" s="77"/>
      <c r="W152" s="77"/>
      <c r="X152" s="77"/>
    </row>
    <row r="153" spans="2:24" x14ac:dyDescent="0.25">
      <c r="C153" s="2"/>
      <c r="F153" s="265">
        <v>45042</v>
      </c>
      <c r="J153"/>
      <c r="Q153" s="77"/>
      <c r="R153" s="77"/>
      <c r="V153" s="77"/>
      <c r="W153" s="77"/>
      <c r="X153" s="77"/>
    </row>
    <row r="154" spans="2:24" x14ac:dyDescent="0.25">
      <c r="C154" s="2"/>
      <c r="F154" s="265">
        <v>45043</v>
      </c>
      <c r="J154"/>
      <c r="Q154" s="77"/>
      <c r="R154" s="77"/>
      <c r="V154" s="77"/>
      <c r="W154" s="77"/>
      <c r="X154" s="77"/>
    </row>
    <row r="155" spans="2:24" x14ac:dyDescent="0.25">
      <c r="C155" s="2"/>
      <c r="F155" s="276">
        <v>45044</v>
      </c>
      <c r="J155"/>
      <c r="Q155" s="77"/>
      <c r="R155" s="77"/>
      <c r="V155" s="77"/>
      <c r="W155" s="77"/>
      <c r="X155" s="77"/>
    </row>
    <row r="156" spans="2:24" x14ac:dyDescent="0.25">
      <c r="J156"/>
      <c r="Q156" s="77"/>
      <c r="R156" s="77"/>
      <c r="V156" s="77"/>
      <c r="W156" s="77"/>
      <c r="X156" s="77"/>
    </row>
    <row r="157" spans="2:24" x14ac:dyDescent="0.25">
      <c r="J157"/>
      <c r="Q157" s="77"/>
      <c r="R157" s="77"/>
      <c r="V157" s="77"/>
      <c r="W157" s="77"/>
      <c r="X157" s="77"/>
    </row>
    <row r="158" spans="2:24" x14ac:dyDescent="0.25">
      <c r="J158"/>
      <c r="Q158" s="77"/>
      <c r="R158" s="77"/>
      <c r="V158" s="77"/>
      <c r="W158" s="77"/>
      <c r="X158" s="77"/>
    </row>
    <row r="159" spans="2:24" x14ac:dyDescent="0.25">
      <c r="J159"/>
      <c r="Q159" s="77"/>
      <c r="R159" s="77"/>
      <c r="V159" s="77"/>
      <c r="W159" s="77"/>
      <c r="X159" s="77"/>
    </row>
    <row r="160" spans="2:24" x14ac:dyDescent="0.25">
      <c r="J160"/>
      <c r="Q160" s="77"/>
      <c r="R160" s="77"/>
      <c r="V160" s="77"/>
      <c r="W160" s="77"/>
      <c r="X160" s="77"/>
    </row>
    <row r="161" spans="10:24" x14ac:dyDescent="0.25">
      <c r="J161"/>
      <c r="Q161" s="77"/>
      <c r="R161" s="77"/>
      <c r="V161" s="77"/>
      <c r="W161" s="77"/>
      <c r="X161" s="77"/>
    </row>
    <row r="162" spans="10:24" x14ac:dyDescent="0.25">
      <c r="J162"/>
      <c r="Q162" s="77"/>
      <c r="R162" s="77"/>
      <c r="V162" s="77"/>
      <c r="W162" s="77"/>
      <c r="X162" s="77"/>
    </row>
    <row r="163" spans="10:24" x14ac:dyDescent="0.25">
      <c r="J163"/>
      <c r="Q163" s="77"/>
      <c r="R163" s="77"/>
      <c r="V163" s="77"/>
      <c r="W163" s="77"/>
      <c r="X163" s="77"/>
    </row>
    <row r="164" spans="10:24" x14ac:dyDescent="0.25">
      <c r="J164"/>
      <c r="Q164" s="77"/>
      <c r="R164" s="77"/>
      <c r="V164" s="77"/>
      <c r="W164" s="77"/>
      <c r="X164" s="77"/>
    </row>
    <row r="165" spans="10:24" x14ac:dyDescent="0.25">
      <c r="J165"/>
      <c r="Q165" s="77"/>
      <c r="R165" s="77"/>
      <c r="V165" s="77"/>
      <c r="W165" s="77"/>
      <c r="X165" s="77"/>
    </row>
    <row r="166" spans="10:24" x14ac:dyDescent="0.25">
      <c r="J166"/>
      <c r="Q166" s="77"/>
      <c r="R166" s="77"/>
      <c r="V166" s="77"/>
      <c r="W166" s="77"/>
      <c r="X166" s="77"/>
    </row>
    <row r="167" spans="10:24" x14ac:dyDescent="0.25">
      <c r="J167"/>
      <c r="Q167" s="77"/>
      <c r="R167" s="77"/>
      <c r="V167" s="77"/>
      <c r="W167" s="77"/>
      <c r="X167" s="77"/>
    </row>
    <row r="168" spans="10:24" x14ac:dyDescent="0.25">
      <c r="J168"/>
      <c r="Q168" s="77"/>
      <c r="R168" s="77"/>
      <c r="V168" s="77"/>
      <c r="W168" s="77"/>
      <c r="X168" s="77"/>
    </row>
    <row r="169" spans="10:24" x14ac:dyDescent="0.25">
      <c r="J169"/>
      <c r="Q169" s="77"/>
      <c r="R169" s="77"/>
      <c r="V169" s="77"/>
      <c r="W169" s="77"/>
      <c r="X169" s="77"/>
    </row>
    <row r="170" spans="10:24" x14ac:dyDescent="0.25">
      <c r="J170"/>
      <c r="Q170" s="77"/>
      <c r="R170" s="77"/>
      <c r="V170" s="77"/>
      <c r="W170" s="77"/>
      <c r="X170" s="77"/>
    </row>
    <row r="171" spans="10:24" x14ac:dyDescent="0.25">
      <c r="J171"/>
      <c r="Q171" s="77"/>
      <c r="R171" s="77"/>
      <c r="V171" s="77"/>
      <c r="W171" s="77"/>
      <c r="X171" s="77"/>
    </row>
    <row r="172" spans="10:24" x14ac:dyDescent="0.25">
      <c r="J172"/>
      <c r="Q172" s="77"/>
      <c r="R172" s="84"/>
      <c r="V172" s="77"/>
      <c r="W172" s="84"/>
      <c r="X172" s="84"/>
    </row>
    <row r="173" spans="10:24" x14ac:dyDescent="0.25">
      <c r="J173"/>
      <c r="Q173" s="84"/>
      <c r="R173" s="77"/>
      <c r="V173" s="84"/>
      <c r="W173" s="77"/>
      <c r="X173" s="77"/>
    </row>
    <row r="174" spans="10:24" x14ac:dyDescent="0.25">
      <c r="J174"/>
      <c r="Q174" s="77"/>
      <c r="R174" s="77"/>
      <c r="V174" s="77"/>
      <c r="W174" s="77"/>
      <c r="X174" s="77"/>
    </row>
    <row r="175" spans="10:24" x14ac:dyDescent="0.25">
      <c r="J175"/>
      <c r="Q175" s="77"/>
      <c r="R175" s="77"/>
      <c r="V175" s="77"/>
      <c r="W175" s="77"/>
      <c r="X175" s="77"/>
    </row>
    <row r="176" spans="10:24" x14ac:dyDescent="0.25">
      <c r="J176"/>
      <c r="Q176" s="77"/>
      <c r="R176" s="77"/>
      <c r="V176" s="77"/>
      <c r="W176" s="77"/>
      <c r="X176" s="77"/>
    </row>
    <row r="177" spans="10:24" x14ac:dyDescent="0.25">
      <c r="J177"/>
      <c r="Q177" s="77"/>
      <c r="R177" s="77"/>
      <c r="V177" s="77"/>
      <c r="W177" s="77"/>
      <c r="X177" s="77"/>
    </row>
    <row r="178" spans="10:24" x14ac:dyDescent="0.25">
      <c r="J178"/>
      <c r="Q178" s="77"/>
      <c r="R178" s="77"/>
      <c r="V178" s="77"/>
      <c r="W178" s="77"/>
      <c r="X178" s="77"/>
    </row>
    <row r="179" spans="10:24" x14ac:dyDescent="0.25">
      <c r="J179"/>
      <c r="Q179" s="77"/>
      <c r="R179" s="77"/>
      <c r="V179" s="77"/>
      <c r="W179" s="77"/>
      <c r="X179" s="77"/>
    </row>
    <row r="180" spans="10:24" x14ac:dyDescent="0.25">
      <c r="J180"/>
      <c r="Q180" s="77"/>
      <c r="R180" s="77"/>
      <c r="V180" s="77"/>
      <c r="W180" s="77"/>
      <c r="X180" s="77"/>
    </row>
    <row r="181" spans="10:24" x14ac:dyDescent="0.25">
      <c r="J181"/>
      <c r="Q181" s="77"/>
      <c r="R181" s="77"/>
      <c r="V181" s="77"/>
      <c r="W181" s="77"/>
      <c r="X181" s="77"/>
    </row>
    <row r="182" spans="10:24" x14ac:dyDescent="0.25">
      <c r="J182"/>
      <c r="Q182" s="77"/>
      <c r="R182" s="77"/>
      <c r="V182" s="77"/>
      <c r="W182" s="77"/>
      <c r="X182" s="77"/>
    </row>
    <row r="183" spans="10:24" x14ac:dyDescent="0.25">
      <c r="J183"/>
      <c r="Q183" s="77"/>
      <c r="R183" s="77"/>
      <c r="V183" s="77"/>
      <c r="W183" s="77"/>
      <c r="X183" s="77"/>
    </row>
    <row r="184" spans="10:24" x14ac:dyDescent="0.25">
      <c r="J184"/>
      <c r="Q184" s="77"/>
      <c r="R184" s="77"/>
      <c r="V184" s="77"/>
      <c r="W184" s="77"/>
      <c r="X184" s="77"/>
    </row>
    <row r="185" spans="10:24" x14ac:dyDescent="0.25">
      <c r="J185"/>
      <c r="Q185" s="77"/>
      <c r="R185" s="77"/>
      <c r="V185" s="77"/>
      <c r="W185" s="77"/>
      <c r="X185" s="77"/>
    </row>
    <row r="186" spans="10:24" x14ac:dyDescent="0.25">
      <c r="J186"/>
      <c r="Q186" s="77"/>
      <c r="R186" s="77"/>
      <c r="V186" s="77"/>
      <c r="W186" s="77"/>
      <c r="X186" s="77"/>
    </row>
    <row r="187" spans="10:24" x14ac:dyDescent="0.25">
      <c r="J187"/>
      <c r="Q187" s="77"/>
      <c r="R187" s="77"/>
      <c r="V187" s="77"/>
      <c r="W187" s="77"/>
      <c r="X187" s="77"/>
    </row>
    <row r="188" spans="10:24" x14ac:dyDescent="0.25">
      <c r="J188"/>
      <c r="Q188" s="77"/>
      <c r="R188" s="77"/>
      <c r="V188" s="77"/>
      <c r="W188" s="77"/>
      <c r="X188" s="77"/>
    </row>
    <row r="189" spans="10:24" x14ac:dyDescent="0.25">
      <c r="J189"/>
      <c r="Q189" s="77"/>
      <c r="R189" s="77"/>
      <c r="V189" s="77"/>
      <c r="W189" s="77"/>
      <c r="X189" s="77"/>
    </row>
    <row r="190" spans="10:24" x14ac:dyDescent="0.25">
      <c r="J190"/>
      <c r="Q190" s="77"/>
      <c r="R190" s="77"/>
      <c r="V190" s="77"/>
      <c r="W190" s="77"/>
      <c r="X190" s="77"/>
    </row>
    <row r="191" spans="10:24" x14ac:dyDescent="0.25">
      <c r="J191"/>
      <c r="Q191" s="77"/>
      <c r="R191" s="77"/>
      <c r="V191" s="77"/>
      <c r="W191" s="77"/>
      <c r="X191" s="77"/>
    </row>
    <row r="192" spans="10:24" x14ac:dyDescent="0.25">
      <c r="J192"/>
      <c r="Q192" s="77"/>
      <c r="R192" s="77"/>
      <c r="V192" s="77"/>
      <c r="W192" s="77"/>
      <c r="X192" s="77"/>
    </row>
    <row r="193" spans="10:24" x14ac:dyDescent="0.25">
      <c r="J193"/>
      <c r="Q193" s="77"/>
      <c r="V193" s="77"/>
    </row>
    <row r="194" spans="10:24" x14ac:dyDescent="0.25">
      <c r="J194"/>
      <c r="R194" s="11"/>
      <c r="W194" s="11"/>
      <c r="X194" s="11"/>
    </row>
    <row r="195" spans="10:24" x14ac:dyDescent="0.25">
      <c r="J195"/>
      <c r="Q195" s="11"/>
      <c r="V195" s="11"/>
    </row>
    <row r="196" spans="10:24" x14ac:dyDescent="0.25">
      <c r="J196"/>
    </row>
    <row r="197" spans="10:24" x14ac:dyDescent="0.25">
      <c r="J197"/>
    </row>
    <row r="198" spans="10:24" x14ac:dyDescent="0.25">
      <c r="J198"/>
      <c r="R198" s="77"/>
      <c r="W198" s="77"/>
      <c r="X198" s="77"/>
    </row>
    <row r="199" spans="10:24" x14ac:dyDescent="0.25">
      <c r="J199"/>
      <c r="Q199" s="77"/>
      <c r="R199" s="77"/>
      <c r="V199" s="77"/>
      <c r="W199" s="77"/>
      <c r="X199" s="77"/>
    </row>
    <row r="200" spans="10:24" x14ac:dyDescent="0.25">
      <c r="J200"/>
      <c r="Q200" s="77"/>
      <c r="R200" s="77"/>
      <c r="V200" s="77"/>
      <c r="W200" s="77"/>
      <c r="X200" s="77"/>
    </row>
    <row r="201" spans="10:24" x14ac:dyDescent="0.25">
      <c r="J201"/>
      <c r="Q201" s="77"/>
      <c r="R201" s="84"/>
      <c r="V201" s="77"/>
      <c r="W201" s="84"/>
      <c r="X201" s="84"/>
    </row>
    <row r="202" spans="10:24" x14ac:dyDescent="0.25">
      <c r="J202"/>
      <c r="Q202" s="84"/>
      <c r="R202" s="77"/>
      <c r="V202" s="84"/>
      <c r="W202" s="77"/>
      <c r="X202" s="77"/>
    </row>
    <row r="203" spans="10:24" x14ac:dyDescent="0.25">
      <c r="J203"/>
      <c r="Q203" s="77"/>
      <c r="R203" s="77"/>
      <c r="V203" s="77"/>
      <c r="W203" s="77"/>
      <c r="X203" s="77"/>
    </row>
    <row r="204" spans="10:24" x14ac:dyDescent="0.25">
      <c r="J204"/>
      <c r="Q204" s="77"/>
      <c r="R204" s="77"/>
      <c r="V204" s="77"/>
      <c r="W204" s="77"/>
      <c r="X204" s="77"/>
    </row>
    <row r="205" spans="10:24" x14ac:dyDescent="0.25">
      <c r="J205"/>
      <c r="Q205" s="77"/>
      <c r="R205" s="77"/>
      <c r="V205" s="77"/>
      <c r="W205" s="77"/>
      <c r="X205" s="77"/>
    </row>
    <row r="206" spans="10:24" x14ac:dyDescent="0.25">
      <c r="J206"/>
      <c r="Q206" s="77"/>
      <c r="R206" s="77"/>
      <c r="V206" s="77"/>
      <c r="W206" s="77"/>
      <c r="X206" s="77"/>
    </row>
    <row r="207" spans="10:24" x14ac:dyDescent="0.25">
      <c r="J207"/>
      <c r="Q207" s="77"/>
      <c r="R207" s="77"/>
      <c r="V207" s="77"/>
      <c r="W207" s="77"/>
      <c r="X207" s="77"/>
    </row>
    <row r="208" spans="10:24" x14ac:dyDescent="0.25">
      <c r="J208"/>
      <c r="Q208" s="77"/>
      <c r="V208" s="77"/>
    </row>
    <row r="209" spans="10:24" x14ac:dyDescent="0.25">
      <c r="J209"/>
      <c r="R209" s="10"/>
      <c r="W209" s="10"/>
      <c r="X209" s="10"/>
    </row>
    <row r="210" spans="10:24" x14ac:dyDescent="0.25">
      <c r="J210"/>
      <c r="Q210" s="10"/>
      <c r="V210" s="10"/>
    </row>
    <row r="211" spans="10:24" x14ac:dyDescent="0.25">
      <c r="J211"/>
    </row>
    <row r="212" spans="10:24" x14ac:dyDescent="0.25">
      <c r="J212"/>
      <c r="R212" s="190"/>
      <c r="W212" s="190"/>
      <c r="X212" s="190"/>
    </row>
    <row r="213" spans="10:24" x14ac:dyDescent="0.25">
      <c r="J213"/>
      <c r="Q213" s="190"/>
      <c r="V213" s="190"/>
    </row>
    <row r="214" spans="10:24" x14ac:dyDescent="0.25">
      <c r="J214"/>
    </row>
    <row r="215" spans="10:24" x14ac:dyDescent="0.25">
      <c r="J215"/>
      <c r="R215" s="60"/>
      <c r="W215" s="60"/>
      <c r="X215" s="60"/>
    </row>
    <row r="216" spans="10:24" x14ac:dyDescent="0.25">
      <c r="J216"/>
      <c r="Q216" s="60"/>
      <c r="V216" s="60"/>
    </row>
    <row r="217" spans="10:24" x14ac:dyDescent="0.25">
      <c r="J217"/>
    </row>
    <row r="218" spans="10:24" x14ac:dyDescent="0.25">
      <c r="J218"/>
      <c r="R218" s="5"/>
      <c r="W218" s="5"/>
      <c r="X218" s="5"/>
    </row>
    <row r="219" spans="10:24" x14ac:dyDescent="0.25">
      <c r="J219"/>
      <c r="Q219" s="5"/>
      <c r="R219" s="5"/>
      <c r="V219" s="5"/>
      <c r="W219" s="5"/>
      <c r="X219" s="5"/>
    </row>
    <row r="220" spans="10:24" x14ac:dyDescent="0.25">
      <c r="J220"/>
      <c r="Q220" s="5"/>
      <c r="R220" s="5"/>
      <c r="V220" s="5"/>
      <c r="W220" s="5"/>
      <c r="X220" s="5"/>
    </row>
    <row r="221" spans="10:24" x14ac:dyDescent="0.25">
      <c r="J221"/>
      <c r="N221" s="5"/>
      <c r="O221" s="5"/>
      <c r="P221" s="5"/>
      <c r="Q221" s="5"/>
      <c r="S221" s="5"/>
      <c r="T221" s="5"/>
      <c r="U221" s="5"/>
      <c r="V221" s="5"/>
    </row>
    <row r="222" spans="10:24" x14ac:dyDescent="0.25">
      <c r="J222"/>
    </row>
    <row r="223" spans="10:24" x14ac:dyDescent="0.25">
      <c r="J223"/>
    </row>
    <row r="224" spans="10:24" x14ac:dyDescent="0.25">
      <c r="J224"/>
    </row>
    <row r="225" spans="10:10" x14ac:dyDescent="0.25">
      <c r="J225"/>
    </row>
    <row r="226" spans="10:10" x14ac:dyDescent="0.25">
      <c r="J226"/>
    </row>
    <row r="227" spans="10:10" x14ac:dyDescent="0.25">
      <c r="J227"/>
    </row>
    <row r="228" spans="10:10" x14ac:dyDescent="0.25">
      <c r="J228"/>
    </row>
    <row r="229" spans="10:10" x14ac:dyDescent="0.25">
      <c r="J229"/>
    </row>
    <row r="230" spans="10:10" x14ac:dyDescent="0.25">
      <c r="J230"/>
    </row>
    <row r="231" spans="10:10" x14ac:dyDescent="0.25">
      <c r="J231"/>
    </row>
    <row r="232" spans="10:10" x14ac:dyDescent="0.25">
      <c r="J232"/>
    </row>
    <row r="233" spans="10:10" x14ac:dyDescent="0.25">
      <c r="J233"/>
    </row>
    <row r="234" spans="10:10" x14ac:dyDescent="0.25">
      <c r="J234"/>
    </row>
    <row r="235" spans="10:10" x14ac:dyDescent="0.25">
      <c r="J235"/>
    </row>
    <row r="236" spans="10:10" x14ac:dyDescent="0.25">
      <c r="J236"/>
    </row>
    <row r="237" spans="10:10" x14ac:dyDescent="0.25">
      <c r="J237"/>
    </row>
    <row r="238" spans="10:10" x14ac:dyDescent="0.25">
      <c r="J238"/>
    </row>
    <row r="239" spans="10:10" x14ac:dyDescent="0.25">
      <c r="J239"/>
    </row>
    <row r="240" spans="10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</sheetData>
  <sortState xmlns:xlrd2="http://schemas.microsoft.com/office/spreadsheetml/2017/richdata2" ref="B4:AF46">
    <sortCondition descending="1" ref="M4:M46"/>
  </sortState>
  <mergeCells count="16">
    <mergeCell ref="T67:V67"/>
    <mergeCell ref="T1:U1"/>
    <mergeCell ref="E1:F1"/>
    <mergeCell ref="A1:D1"/>
    <mergeCell ref="O1:P1"/>
    <mergeCell ref="O67:Q67"/>
    <mergeCell ref="AA93:AA94"/>
    <mergeCell ref="AB93:AC93"/>
    <mergeCell ref="AB94:AC94"/>
    <mergeCell ref="J80:K80"/>
    <mergeCell ref="U94:V94"/>
    <mergeCell ref="U93:V93"/>
    <mergeCell ref="T93:T94"/>
    <mergeCell ref="O93:O94"/>
    <mergeCell ref="P93:Q93"/>
    <mergeCell ref="P94:Q94"/>
  </mergeCells>
  <phoneticPr fontId="46" type="noConversion"/>
  <conditionalFormatting sqref="B4:B46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:Q62"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4:V62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4:AA4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A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6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scale="20" orientation="landscape" verticalDpi="192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3069-E18E-41A3-9153-7B59232A51B4}">
  <sheetPr codeName="Sheet9"/>
  <dimension ref="A1:BC266"/>
  <sheetViews>
    <sheetView zoomScale="80" zoomScaleNormal="80" workbookViewId="0">
      <selection activeCell="R40" sqref="R40"/>
    </sheetView>
  </sheetViews>
  <sheetFormatPr defaultRowHeight="15" x14ac:dyDescent="0.25"/>
  <cols>
    <col min="2" max="2" width="10.5703125" customWidth="1"/>
    <col min="5" max="5" width="10.28515625" customWidth="1"/>
    <col min="7" max="7" width="10.5703125" bestFit="1" customWidth="1"/>
    <col min="8" max="8" width="11.85546875" customWidth="1"/>
    <col min="9" max="9" width="17.42578125" customWidth="1"/>
    <col min="10" max="10" width="13.42578125" customWidth="1"/>
    <col min="11" max="11" width="6.7109375" style="47" customWidth="1"/>
    <col min="12" max="12" width="20.28515625" customWidth="1"/>
    <col min="13" max="13" width="9" customWidth="1"/>
    <col min="14" max="14" width="15.7109375" customWidth="1"/>
    <col min="15" max="15" width="14.42578125" customWidth="1"/>
    <col min="16" max="16" width="12.140625" customWidth="1"/>
    <col min="17" max="17" width="13.42578125" customWidth="1"/>
    <col min="18" max="18" width="17.42578125" customWidth="1"/>
    <col min="19" max="19" width="16.7109375" customWidth="1"/>
    <col min="20" max="20" width="12.5703125" customWidth="1"/>
    <col min="21" max="21" width="11.7109375" customWidth="1"/>
    <col min="22" max="22" width="9.85546875" customWidth="1"/>
    <col min="23" max="23" width="8.5703125" customWidth="1"/>
    <col min="24" max="25" width="13.42578125" customWidth="1"/>
    <col min="26" max="27" width="11.28515625" customWidth="1"/>
    <col min="28" max="28" width="8.140625" customWidth="1"/>
    <col min="29" max="29" width="13.140625" customWidth="1"/>
    <col min="30" max="30" width="12.5703125" customWidth="1"/>
    <col min="32" max="32" width="11.28515625" customWidth="1"/>
    <col min="33" max="33" width="4.85546875" style="47" customWidth="1"/>
    <col min="34" max="34" width="17.140625" customWidth="1"/>
    <col min="35" max="35" width="13.7109375" customWidth="1"/>
    <col min="37" max="37" width="10.5703125" customWidth="1"/>
    <col min="38" max="38" width="5.85546875" customWidth="1"/>
    <col min="39" max="39" width="17.140625" customWidth="1"/>
    <col min="40" max="40" width="14.42578125" customWidth="1"/>
    <col min="41" max="41" width="11.5703125" customWidth="1"/>
    <col min="43" max="43" width="6.85546875" customWidth="1"/>
    <col min="44" max="44" width="15" customWidth="1"/>
    <col min="45" max="45" width="15.42578125" customWidth="1"/>
    <col min="49" max="49" width="9.140625" style="22"/>
    <col min="50" max="50" width="8.42578125" customWidth="1"/>
    <col min="51" max="51" width="9.140625" style="96"/>
    <col min="52" max="53" width="8.7109375" customWidth="1"/>
    <col min="54" max="54" width="10.140625" bestFit="1" customWidth="1"/>
    <col min="60" max="60" width="16.28515625" bestFit="1" customWidth="1"/>
  </cols>
  <sheetData>
    <row r="1" spans="1:51" ht="35.25" customHeight="1" thickBot="1" x14ac:dyDescent="0.3">
      <c r="A1" s="953" t="s">
        <v>240</v>
      </c>
      <c r="B1" s="952"/>
      <c r="C1" s="952"/>
      <c r="D1" s="952"/>
      <c r="E1" s="954"/>
      <c r="F1" s="913">
        <v>2023</v>
      </c>
      <c r="G1" s="914"/>
      <c r="H1" s="172" t="s">
        <v>77</v>
      </c>
      <c r="I1" s="172" t="s">
        <v>87</v>
      </c>
      <c r="J1" s="172" t="s">
        <v>88</v>
      </c>
      <c r="L1" s="47"/>
      <c r="M1" s="47"/>
      <c r="N1" s="110"/>
      <c r="O1" s="110"/>
      <c r="P1" s="899" t="s">
        <v>117</v>
      </c>
      <c r="Q1" s="900"/>
      <c r="R1" s="763">
        <f>+AO1/AN1-1</f>
        <v>0.42196119286365419</v>
      </c>
      <c r="S1" s="110"/>
      <c r="V1" s="47"/>
      <c r="W1" s="47"/>
      <c r="X1" s="121" t="s">
        <v>81</v>
      </c>
      <c r="Y1" s="121" t="s">
        <v>80</v>
      </c>
      <c r="Z1" s="47"/>
      <c r="AA1" s="47"/>
      <c r="AB1" s="47"/>
      <c r="AC1" s="121" t="s">
        <v>86</v>
      </c>
      <c r="AD1" s="121" t="s">
        <v>85</v>
      </c>
      <c r="AE1" s="47"/>
      <c r="AF1" s="47"/>
      <c r="AH1" s="47"/>
      <c r="AI1" s="47"/>
      <c r="AJ1" s="47"/>
      <c r="AK1" s="47"/>
      <c r="AL1" s="47"/>
      <c r="AM1" s="22" t="s">
        <v>73</v>
      </c>
      <c r="AN1">
        <v>3839.5</v>
      </c>
      <c r="AO1" s="9">
        <f>_xll.BDP(AM1&amp;" Index",$H$1)</f>
        <v>5459.62</v>
      </c>
      <c r="AW1"/>
      <c r="AY1"/>
    </row>
    <row r="2" spans="1:51" ht="18.75" x14ac:dyDescent="0.25">
      <c r="A2" s="47"/>
      <c r="B2" s="68"/>
      <c r="C2" s="47"/>
      <c r="D2" s="194"/>
      <c r="E2" s="195"/>
      <c r="F2" s="72"/>
      <c r="G2" s="72"/>
      <c r="H2" s="73"/>
      <c r="I2" s="156"/>
      <c r="J2" s="160" t="s">
        <v>113</v>
      </c>
      <c r="K2" s="189"/>
      <c r="L2" s="154" t="s">
        <v>0</v>
      </c>
      <c r="M2" s="189"/>
      <c r="N2" s="1">
        <v>44926</v>
      </c>
      <c r="O2" s="49" t="s">
        <v>1</v>
      </c>
      <c r="P2" s="197" t="s">
        <v>58</v>
      </c>
      <c r="Q2" s="189"/>
      <c r="R2" s="1">
        <v>44926</v>
      </c>
      <c r="S2" s="49" t="s">
        <v>544</v>
      </c>
      <c r="T2" s="47"/>
      <c r="U2" s="80" t="s">
        <v>83</v>
      </c>
      <c r="V2" s="104" t="s">
        <v>82</v>
      </c>
      <c r="W2" s="49"/>
      <c r="X2" s="80" t="s">
        <v>57</v>
      </c>
      <c r="Y2" s="47"/>
      <c r="Z2" s="80" t="s">
        <v>83</v>
      </c>
      <c r="AA2" s="104" t="s">
        <v>84</v>
      </c>
      <c r="AB2" s="49"/>
      <c r="AC2" s="80" t="s">
        <v>57</v>
      </c>
      <c r="AD2" s="47"/>
      <c r="AE2" s="104" t="s">
        <v>94</v>
      </c>
      <c r="AF2" s="122" t="s">
        <v>111</v>
      </c>
      <c r="AG2" s="80" t="s">
        <v>57</v>
      </c>
      <c r="AJ2" s="47"/>
      <c r="AK2" s="47"/>
      <c r="AL2" s="22"/>
      <c r="AN2" s="96"/>
      <c r="AW2"/>
      <c r="AY2"/>
    </row>
    <row r="3" spans="1:51" x14ac:dyDescent="0.25">
      <c r="B3" s="69" t="s">
        <v>63</v>
      </c>
      <c r="C3" s="70" t="s">
        <v>62</v>
      </c>
      <c r="D3" s="12"/>
      <c r="E3" s="52"/>
      <c r="F3" s="74" t="s">
        <v>2</v>
      </c>
      <c r="G3" s="115" t="s">
        <v>89</v>
      </c>
      <c r="H3" s="128" t="s">
        <v>90</v>
      </c>
      <c r="I3" s="2"/>
      <c r="J3" s="132"/>
      <c r="K3"/>
      <c r="L3" s="51"/>
      <c r="N3" s="2"/>
      <c r="P3" s="45"/>
      <c r="R3" s="2"/>
      <c r="S3" s="28"/>
      <c r="T3" s="47"/>
      <c r="U3" s="2"/>
      <c r="X3" s="28"/>
      <c r="Y3" s="47"/>
      <c r="Z3" s="2"/>
      <c r="AA3" s="2"/>
      <c r="AC3" s="28"/>
      <c r="AD3" s="47"/>
      <c r="AE3" s="2"/>
      <c r="AG3" s="28"/>
      <c r="AH3" s="47"/>
      <c r="AI3" s="47"/>
      <c r="AJ3" s="22"/>
      <c r="AL3" s="96"/>
      <c r="AW3"/>
      <c r="AY3"/>
    </row>
    <row r="4" spans="1:51" x14ac:dyDescent="0.25">
      <c r="B4" s="538">
        <v>3.3E-3</v>
      </c>
      <c r="C4" s="25">
        <f t="shared" ref="C4:C21" si="0">+L4/$L$60</f>
        <v>5.5014763477530832E-3</v>
      </c>
      <c r="D4" s="3" t="s">
        <v>400</v>
      </c>
      <c r="E4" s="101">
        <v>5500</v>
      </c>
      <c r="F4" s="9">
        <f>_xll.BDP(D4&amp;" EQUITY",$H$1)</f>
        <v>632.64</v>
      </c>
      <c r="G4" s="111">
        <f>_xll.BDP(D4&amp;" EQUITY",$I$1)</f>
        <v>-12.73</v>
      </c>
      <c r="H4" s="129">
        <f>_xll.BDP(D4&amp;" EQUITY",$J$1)*0.01</f>
        <v>-1.9725120000000002E-2</v>
      </c>
      <c r="I4" s="157">
        <f t="shared" ref="I4:I39" si="1">+RANK(H4,$H$4:$H$55)</f>
        <v>42</v>
      </c>
      <c r="J4" s="161">
        <f t="shared" ref="J4:J39" si="2">+G4*E4</f>
        <v>-70015</v>
      </c>
      <c r="K4" s="99"/>
      <c r="L4" s="62">
        <f t="shared" ref="L4:L39" si="3">+F4*E4</f>
        <v>3479520</v>
      </c>
      <c r="M4" s="99"/>
      <c r="N4" s="173">
        <v>573.41999999999996</v>
      </c>
      <c r="O4" s="37">
        <f t="shared" ref="O4:O39" si="4">+F4/N4-1</f>
        <v>0.10327508632416027</v>
      </c>
      <c r="P4" s="45" t="s">
        <v>61</v>
      </c>
      <c r="Q4" s="99"/>
      <c r="R4" s="173">
        <v>355.42</v>
      </c>
      <c r="S4" s="591">
        <f t="shared" ref="S4:S39" si="5">+F4/R4-1</f>
        <v>0.779978616847673</v>
      </c>
      <c r="T4" s="48"/>
      <c r="U4" s="105" t="str">
        <f>_xll.BDP(D4&amp;" EQUITY",$X$1)</f>
        <v>3/4/2024</v>
      </c>
      <c r="V4" s="84">
        <f>_xll.BDP(D4&amp;" EQUITY",$Y$1)</f>
        <v>732.36990000000003</v>
      </c>
      <c r="W4" s="37">
        <f t="shared" ref="W4:W39" si="6">+F4/V4-1</f>
        <v>-0.13617422015841996</v>
      </c>
      <c r="X4" s="39">
        <f t="shared" ref="X4:X39" si="7">+RANK(W4,$W$4:$W$55)</f>
        <v>36</v>
      </c>
      <c r="Y4" s="47"/>
      <c r="Z4" s="105" t="str">
        <f>_xll.BDP(D4&amp;" EQUITY",$AC$1)</f>
        <v>10/26/2023</v>
      </c>
      <c r="AA4" s="77">
        <f>_xll.BDP(D4&amp;" EQUITY",$AD$1)</f>
        <v>387.01</v>
      </c>
      <c r="AB4" s="37">
        <f t="shared" ref="AB4:AB38" si="8">+F4/AA4-1</f>
        <v>0.63468644221079562</v>
      </c>
      <c r="AC4" s="39">
        <f t="shared" ref="AC4:AC38" si="9">+RANK(AB4,$AB$4:$AB$55)</f>
        <v>8</v>
      </c>
      <c r="AD4" s="47"/>
      <c r="AE4" s="36">
        <v>372.5</v>
      </c>
      <c r="AF4" s="37">
        <f t="shared" ref="AF4:AF29" si="10">+F4/AE4-1</f>
        <v>0.69836241610738248</v>
      </c>
      <c r="AG4" s="39">
        <f t="shared" ref="AG4:AG29" si="11">+RANK(AF4,$AF$4:$AF$55)</f>
        <v>6</v>
      </c>
      <c r="AH4" s="3" t="s">
        <v>26</v>
      </c>
      <c r="AI4" s="47"/>
      <c r="AJ4" s="22" t="s">
        <v>37</v>
      </c>
      <c r="AK4">
        <v>177.57</v>
      </c>
      <c r="AL4" s="96"/>
      <c r="AW4"/>
      <c r="AY4"/>
    </row>
    <row r="5" spans="1:51" x14ac:dyDescent="0.25">
      <c r="B5" s="25">
        <v>2.8999999999999998E-3</v>
      </c>
      <c r="C5" s="25">
        <f t="shared" si="0"/>
        <v>1.5746013897748243E-2</v>
      </c>
      <c r="D5" s="3" t="s">
        <v>19</v>
      </c>
      <c r="E5" s="101">
        <v>23000</v>
      </c>
      <c r="F5" s="9">
        <f>_xll.BDP(D5&amp;" EQUITY",$H$1)</f>
        <v>432.995</v>
      </c>
      <c r="G5" s="112">
        <f>_xll.BDP(D5&amp;" EQUITY",$I$1)</f>
        <v>3.9550000000000001</v>
      </c>
      <c r="H5" s="127">
        <f>_xll.BDP(D5&amp;" EQUITY",$J$1)*0.01</f>
        <v>9.2182549999999999E-3</v>
      </c>
      <c r="I5" s="157">
        <f t="shared" si="1"/>
        <v>8</v>
      </c>
      <c r="J5" s="161">
        <f t="shared" si="2"/>
        <v>90965</v>
      </c>
      <c r="K5" s="99"/>
      <c r="L5" s="62">
        <f t="shared" si="3"/>
        <v>9958885</v>
      </c>
      <c r="M5" s="99"/>
      <c r="N5" s="173">
        <v>337.36</v>
      </c>
      <c r="O5" s="37">
        <f t="shared" si="4"/>
        <v>0.28348055489684598</v>
      </c>
      <c r="P5" s="45" t="s">
        <v>61</v>
      </c>
      <c r="Q5" s="99"/>
      <c r="R5" s="173">
        <v>265.35000000000002</v>
      </c>
      <c r="S5" s="591">
        <f t="shared" si="5"/>
        <v>0.63178820425852633</v>
      </c>
      <c r="T5" s="48"/>
      <c r="U5" s="105" t="str">
        <f>_xll.BDP(D5&amp;" EQUITY",$X$1)</f>
        <v>6/20/2024</v>
      </c>
      <c r="V5" s="84">
        <f>_xll.BDP(D5&amp;" EQUITY",$Y$1)</f>
        <v>437.2</v>
      </c>
      <c r="W5" s="37">
        <f t="shared" si="6"/>
        <v>-9.6180237877401265E-3</v>
      </c>
      <c r="X5" s="106">
        <f t="shared" si="7"/>
        <v>6</v>
      </c>
      <c r="Y5" s="47"/>
      <c r="Z5" s="105" t="str">
        <f>_xll.BDP(D5&amp;" EQUITY",$AC$1)</f>
        <v>10/30/2023</v>
      </c>
      <c r="AA5" s="77">
        <f>_xll.BDP(D5&amp;" EQUITY",$AD$1)</f>
        <v>254.85</v>
      </c>
      <c r="AB5" s="37">
        <f t="shared" si="8"/>
        <v>0.69901903080243288</v>
      </c>
      <c r="AC5" s="106">
        <f t="shared" si="9"/>
        <v>3</v>
      </c>
      <c r="AD5" s="47"/>
      <c r="AE5" s="38">
        <v>272.7</v>
      </c>
      <c r="AF5" s="37">
        <f t="shared" si="10"/>
        <v>0.58780711404473784</v>
      </c>
      <c r="AG5" s="39">
        <f t="shared" si="11"/>
        <v>10</v>
      </c>
      <c r="AH5" s="3" t="s">
        <v>19</v>
      </c>
      <c r="AI5" s="47"/>
      <c r="AJ5" s="22" t="s">
        <v>28</v>
      </c>
      <c r="AK5">
        <v>2893.59</v>
      </c>
      <c r="AL5" s="96"/>
      <c r="AW5"/>
      <c r="AY5"/>
    </row>
    <row r="6" spans="1:51" x14ac:dyDescent="0.25">
      <c r="B6" s="25">
        <v>2.7900000000000001E-2</v>
      </c>
      <c r="C6" s="25">
        <f t="shared" si="0"/>
        <v>4.3173059839268828E-2</v>
      </c>
      <c r="D6" s="3" t="s">
        <v>42</v>
      </c>
      <c r="E6" s="29">
        <v>145000</v>
      </c>
      <c r="F6" s="9">
        <f>_xll.BDP(D6&amp;" EQUITY",$H$1)</f>
        <v>188.315</v>
      </c>
      <c r="G6" s="112">
        <f>_xll.BDP(D6&amp;" EQUITY",$I$1)</f>
        <v>2.7450000000000001</v>
      </c>
      <c r="H6" s="127">
        <f>_xll.BDP(D6&amp;" EQUITY",$J$1)*0.01</f>
        <v>1.479226E-2</v>
      </c>
      <c r="I6" s="157">
        <f t="shared" si="1"/>
        <v>5</v>
      </c>
      <c r="J6" s="161">
        <f t="shared" si="2"/>
        <v>398025</v>
      </c>
      <c r="K6" s="99"/>
      <c r="L6" s="62">
        <f t="shared" si="3"/>
        <v>27305675</v>
      </c>
      <c r="M6" s="99"/>
      <c r="N6" s="173">
        <v>151.94</v>
      </c>
      <c r="O6" s="37">
        <f t="shared" si="4"/>
        <v>0.23940371199157573</v>
      </c>
      <c r="P6" s="45" t="s">
        <v>61</v>
      </c>
      <c r="Q6" s="99"/>
      <c r="R6" s="173">
        <v>84</v>
      </c>
      <c r="S6" s="591">
        <f t="shared" si="5"/>
        <v>1.2418452380952383</v>
      </c>
      <c r="T6" s="48"/>
      <c r="U6" s="105" t="str">
        <f>_xll.BDP(D6&amp;" EQUITY",$X$1)</f>
        <v>5/9/2024</v>
      </c>
      <c r="V6" s="84">
        <f>_xll.BDP(D6&amp;" EQUITY",$Y$1)</f>
        <v>191.7</v>
      </c>
      <c r="W6" s="37">
        <f t="shared" si="6"/>
        <v>-1.7657798643714084E-2</v>
      </c>
      <c r="X6" s="107">
        <f t="shared" si="7"/>
        <v>9</v>
      </c>
      <c r="Y6" s="47"/>
      <c r="Z6" s="105" t="str">
        <f>_xll.BDP(D6&amp;" EQUITY",$AC$1)</f>
        <v>10/26/2023</v>
      </c>
      <c r="AA6" s="77">
        <f>_xll.BDP(D6&amp;" EQUITY",$AD$1)</f>
        <v>118.35</v>
      </c>
      <c r="AB6" s="37">
        <f t="shared" si="8"/>
        <v>0.59117025771018161</v>
      </c>
      <c r="AC6" s="39">
        <f t="shared" si="9"/>
        <v>9</v>
      </c>
      <c r="AD6" s="47"/>
      <c r="AE6" s="36">
        <v>162.80000000000001</v>
      </c>
      <c r="AF6" s="123">
        <f t="shared" si="10"/>
        <v>0.15672604422604408</v>
      </c>
      <c r="AG6" s="39">
        <f t="shared" si="11"/>
        <v>27</v>
      </c>
      <c r="AH6" s="3" t="s">
        <v>42</v>
      </c>
      <c r="AI6" s="47"/>
      <c r="AJ6" s="22" t="s">
        <v>38</v>
      </c>
      <c r="AK6">
        <v>336.32</v>
      </c>
      <c r="AL6" s="96"/>
      <c r="AW6"/>
      <c r="AY6"/>
    </row>
    <row r="7" spans="1:51" x14ac:dyDescent="0.25">
      <c r="B7" s="25">
        <v>2.5000000000000001E-3</v>
      </c>
      <c r="C7" s="25">
        <f t="shared" si="0"/>
        <v>2.966463743175592E-2</v>
      </c>
      <c r="D7" s="3" t="s">
        <v>24</v>
      </c>
      <c r="E7" s="101">
        <v>25000</v>
      </c>
      <c r="F7" s="9">
        <f>_xll.BDP(D7&amp;" EQUITY",$H$1)</f>
        <v>750.48</v>
      </c>
      <c r="G7" s="112">
        <f>_xll.BDP(D7&amp;" EQUITY",$I$1)</f>
        <v>10.89</v>
      </c>
      <c r="H7" s="127">
        <f>_xll.BDP(D7&amp;" EQUITY",$J$1)*0.01</f>
        <v>1.4724370000000001E-2</v>
      </c>
      <c r="I7" s="157">
        <f t="shared" si="1"/>
        <v>6</v>
      </c>
      <c r="J7" s="161">
        <f t="shared" si="2"/>
        <v>272250</v>
      </c>
      <c r="K7" s="99"/>
      <c r="L7" s="62">
        <f t="shared" si="3"/>
        <v>18762000</v>
      </c>
      <c r="M7" s="99"/>
      <c r="N7" s="173">
        <v>706.49</v>
      </c>
      <c r="O7" s="37">
        <f t="shared" si="4"/>
        <v>6.226556639159786E-2</v>
      </c>
      <c r="P7" s="45" t="s">
        <v>61</v>
      </c>
      <c r="Q7" s="99"/>
      <c r="R7" s="173">
        <v>388.27</v>
      </c>
      <c r="S7" s="591">
        <f t="shared" si="5"/>
        <v>0.93288175753985647</v>
      </c>
      <c r="T7" s="48"/>
      <c r="U7" s="105" t="str">
        <f>_xll.BDP(D7&amp;" EQUITY",$X$1)</f>
        <v>2/9/2024</v>
      </c>
      <c r="V7" s="84">
        <f>_xll.BDP(D7&amp;" EQUITY",$Y$1)</f>
        <v>815.32</v>
      </c>
      <c r="W7" s="37">
        <f t="shared" si="6"/>
        <v>-7.9527056861109835E-2</v>
      </c>
      <c r="X7" s="39">
        <f t="shared" si="7"/>
        <v>30</v>
      </c>
      <c r="Y7" s="47"/>
      <c r="Z7" s="105" t="str">
        <f>_xll.BDP(D7&amp;" EQUITY",$AC$1)</f>
        <v>10/25/2023</v>
      </c>
      <c r="AA7" s="77">
        <f>_xll.BDP(D7&amp;" EQUITY",$AD$1)</f>
        <v>527.24</v>
      </c>
      <c r="AB7" s="37">
        <f t="shared" si="8"/>
        <v>0.42341248767164852</v>
      </c>
      <c r="AC7" s="40">
        <f t="shared" si="9"/>
        <v>16</v>
      </c>
      <c r="AD7" s="47"/>
      <c r="AE7" s="38">
        <v>550.42999999999995</v>
      </c>
      <c r="AF7" s="37">
        <f t="shared" si="10"/>
        <v>0.36344312628308795</v>
      </c>
      <c r="AG7" s="107">
        <f t="shared" si="11"/>
        <v>16</v>
      </c>
      <c r="AH7" s="3" t="s">
        <v>24</v>
      </c>
      <c r="AI7" s="47"/>
      <c r="AJ7" s="22" t="s">
        <v>41</v>
      </c>
      <c r="AK7">
        <v>667.24</v>
      </c>
      <c r="AL7" s="96"/>
      <c r="AW7"/>
      <c r="AY7"/>
    </row>
    <row r="8" spans="1:51" x14ac:dyDescent="0.25">
      <c r="B8" s="117">
        <v>1E-4</v>
      </c>
      <c r="C8" s="25">
        <f t="shared" si="0"/>
        <v>1.1344407503083291E-2</v>
      </c>
      <c r="D8" s="3" t="s">
        <v>78</v>
      </c>
      <c r="E8" s="101">
        <v>100000</v>
      </c>
      <c r="F8" s="9">
        <f>_xll.BDP(D8&amp;" EQUITY",$H$1)</f>
        <v>71.75</v>
      </c>
      <c r="G8" s="112">
        <f>_xll.BDP(D8&amp;" EQUITY",$I$1)</f>
        <v>1.21</v>
      </c>
      <c r="H8" s="127">
        <f>_xll.BDP(D8&amp;" EQUITY",$J$1)*0.01</f>
        <v>1.7153390000000001E-2</v>
      </c>
      <c r="I8" s="157">
        <f t="shared" si="1"/>
        <v>2</v>
      </c>
      <c r="J8" s="161">
        <f t="shared" si="2"/>
        <v>121000</v>
      </c>
      <c r="K8" s="99"/>
      <c r="L8" s="62">
        <f t="shared" si="3"/>
        <v>7175000</v>
      </c>
      <c r="M8" s="99"/>
      <c r="N8" s="173">
        <v>61.57</v>
      </c>
      <c r="O8" s="37">
        <f t="shared" si="4"/>
        <v>0.16534026311515349</v>
      </c>
      <c r="P8" s="45" t="s">
        <v>61</v>
      </c>
      <c r="Q8" s="99"/>
      <c r="R8" s="173">
        <v>24.73</v>
      </c>
      <c r="S8" s="591">
        <f t="shared" si="5"/>
        <v>1.9013344116457742</v>
      </c>
      <c r="T8" s="48"/>
      <c r="U8" s="105" t="str">
        <f>_xll.BDP(D8&amp;" EQUITY",$X$1)</f>
        <v>3/4/2024</v>
      </c>
      <c r="V8" s="84">
        <f>_xll.BDP(D8&amp;" EQUITY",$Y$1)</f>
        <v>82.14</v>
      </c>
      <c r="W8" s="37">
        <f t="shared" si="6"/>
        <v>-0.12649135622108598</v>
      </c>
      <c r="X8" s="39">
        <f t="shared" si="7"/>
        <v>34</v>
      </c>
      <c r="Y8" s="47"/>
      <c r="Z8" s="105" t="str">
        <f>_xll.BDP(D8&amp;" EQUITY",$AC$1)</f>
        <v>10/26/2023</v>
      </c>
      <c r="AA8" s="77">
        <f>_xll.BDP(D8&amp;" EQUITY",$AD$1)</f>
        <v>40.090000000000003</v>
      </c>
      <c r="AB8" s="37">
        <f t="shared" si="8"/>
        <v>0.78972312297330993</v>
      </c>
      <c r="AC8" s="106">
        <f t="shared" si="9"/>
        <v>2</v>
      </c>
      <c r="AD8" s="47"/>
      <c r="AE8" s="38">
        <v>51</v>
      </c>
      <c r="AF8" s="123">
        <f t="shared" si="10"/>
        <v>0.40686274509803932</v>
      </c>
      <c r="AG8" s="107">
        <f t="shared" si="11"/>
        <v>13</v>
      </c>
      <c r="AH8" s="3" t="s">
        <v>78</v>
      </c>
      <c r="AI8" s="47"/>
      <c r="AJ8" s="22" t="s">
        <v>24</v>
      </c>
      <c r="AK8">
        <v>649.11</v>
      </c>
      <c r="AL8" s="96"/>
      <c r="AW8"/>
      <c r="AY8"/>
    </row>
    <row r="9" spans="1:51" x14ac:dyDescent="0.25">
      <c r="B9" s="25">
        <v>5.33E-2</v>
      </c>
      <c r="C9" s="25">
        <f t="shared" si="0"/>
        <v>7.4567620596364265E-2</v>
      </c>
      <c r="D9" s="3" t="s">
        <v>38</v>
      </c>
      <c r="E9" s="29">
        <v>105000</v>
      </c>
      <c r="F9" s="9">
        <f>_xll.BDP(D9&amp;" EQUITY",$H$1)</f>
        <v>449.16</v>
      </c>
      <c r="G9" s="112">
        <f>_xll.BDP(D9&amp;" EQUITY",$I$1)</f>
        <v>1.49</v>
      </c>
      <c r="H9" s="127">
        <f>_xll.BDP(D9&amp;" EQUITY",$J$1)*0.01</f>
        <v>3.3283449999999999E-3</v>
      </c>
      <c r="I9" s="157">
        <f t="shared" si="1"/>
        <v>14</v>
      </c>
      <c r="J9" s="161">
        <f t="shared" si="2"/>
        <v>156450</v>
      </c>
      <c r="K9" s="99"/>
      <c r="L9" s="62">
        <f t="shared" si="3"/>
        <v>47161800</v>
      </c>
      <c r="M9" s="99"/>
      <c r="N9" s="173">
        <v>376.04</v>
      </c>
      <c r="O9" s="37">
        <f t="shared" si="4"/>
        <v>0.1944473992128497</v>
      </c>
      <c r="P9" s="45" t="s">
        <v>61</v>
      </c>
      <c r="Q9" s="99"/>
      <c r="R9" s="173">
        <v>239.82</v>
      </c>
      <c r="S9" s="591">
        <f t="shared" si="5"/>
        <v>0.87290467850888187</v>
      </c>
      <c r="T9" s="48"/>
      <c r="U9" s="105" t="str">
        <f>_xll.BDP(D9&amp;" EQUITY",$X$1)</f>
        <v>6/24/2024</v>
      </c>
      <c r="V9" s="84">
        <f>_xll.BDP(D9&amp;" EQUITY",$Y$1)</f>
        <v>452.75</v>
      </c>
      <c r="W9" s="37">
        <f t="shared" si="6"/>
        <v>-7.9293208172279694E-3</v>
      </c>
      <c r="X9" s="106">
        <f t="shared" si="7"/>
        <v>4</v>
      </c>
      <c r="Y9" s="119"/>
      <c r="Z9" s="105" t="str">
        <f>_xll.BDP(D9&amp;" EQUITY",$AC$1)</f>
        <v>9/28/2023</v>
      </c>
      <c r="AA9" s="77">
        <f>_xll.BDP(D9&amp;" EQUITY",$AD$1)</f>
        <v>309.45</v>
      </c>
      <c r="AB9" s="37">
        <f t="shared" si="8"/>
        <v>0.45147842947164341</v>
      </c>
      <c r="AC9" s="40">
        <f t="shared" si="9"/>
        <v>15</v>
      </c>
      <c r="AD9" s="47"/>
      <c r="AE9" s="36">
        <v>222.42</v>
      </c>
      <c r="AF9" s="37">
        <f t="shared" si="10"/>
        <v>1.0194227137847318</v>
      </c>
      <c r="AG9" s="40">
        <f t="shared" si="11"/>
        <v>4</v>
      </c>
      <c r="AH9" s="3" t="s">
        <v>38</v>
      </c>
      <c r="AI9" s="47"/>
      <c r="AJ9" s="22" t="s">
        <v>23</v>
      </c>
      <c r="AK9">
        <v>336.35</v>
      </c>
      <c r="AL9" s="96"/>
      <c r="AW9"/>
      <c r="AY9"/>
    </row>
    <row r="10" spans="1:51" x14ac:dyDescent="0.25">
      <c r="B10" s="25">
        <v>8.3999999999999995E-3</v>
      </c>
      <c r="C10" s="25">
        <f t="shared" si="0"/>
        <v>2.3835730651973076E-2</v>
      </c>
      <c r="D10" s="31" t="s">
        <v>17</v>
      </c>
      <c r="E10" s="32">
        <v>33000</v>
      </c>
      <c r="F10" s="33">
        <f>_xll.BDP(D10&amp;" EQUITY",$H$1)</f>
        <v>456.83</v>
      </c>
      <c r="G10" s="114">
        <f>_xll.BDP(D10&amp;" EQUITY",$I$1)</f>
        <v>-0.13</v>
      </c>
      <c r="H10" s="130">
        <f>_xll.BDP(D10&amp;" EQUITY",$J$1)*0.01</f>
        <v>-2.8448880000000001E-4</v>
      </c>
      <c r="I10" s="157">
        <f t="shared" si="1"/>
        <v>21</v>
      </c>
      <c r="J10" s="161">
        <f t="shared" si="2"/>
        <v>-4290</v>
      </c>
      <c r="K10" s="99"/>
      <c r="L10" s="63">
        <f t="shared" si="3"/>
        <v>15075390</v>
      </c>
      <c r="M10" s="99"/>
      <c r="N10" s="173">
        <v>426.51</v>
      </c>
      <c r="O10" s="37">
        <f t="shared" si="4"/>
        <v>7.108860284635754E-2</v>
      </c>
      <c r="P10" s="45" t="s">
        <v>61</v>
      </c>
      <c r="Q10" s="99"/>
      <c r="R10" s="173">
        <v>347.73</v>
      </c>
      <c r="S10" s="591">
        <f t="shared" si="5"/>
        <v>0.3137491732090989</v>
      </c>
      <c r="T10" s="48"/>
      <c r="U10" s="105" t="str">
        <f>_xll.BDP(D10&amp;" EQUITY",$X$1)</f>
        <v>3/21/2024</v>
      </c>
      <c r="V10" s="84">
        <f>_xll.BDP(D10&amp;" EQUITY",$Y$1)</f>
        <v>490</v>
      </c>
      <c r="W10" s="37">
        <f t="shared" si="6"/>
        <v>-6.7693877551020409E-2</v>
      </c>
      <c r="X10" s="106">
        <f t="shared" si="7"/>
        <v>22</v>
      </c>
      <c r="Y10" s="47"/>
      <c r="Z10" s="105" t="str">
        <f>_xll.BDP(D10&amp;" EQUITY",$AC$1)</f>
        <v>10/27/2023</v>
      </c>
      <c r="AA10" s="77">
        <f>_xll.BDP(D10&amp;" EQUITY",$AD$1)</f>
        <v>359.77</v>
      </c>
      <c r="AB10" s="37">
        <f t="shared" si="8"/>
        <v>0.2697834727742725</v>
      </c>
      <c r="AC10" s="39">
        <f t="shared" si="9"/>
        <v>34</v>
      </c>
      <c r="AD10" s="47"/>
      <c r="AE10" s="38">
        <v>356.94</v>
      </c>
      <c r="AF10" s="37">
        <f t="shared" si="10"/>
        <v>0.27985095534263449</v>
      </c>
      <c r="AG10" s="39">
        <f t="shared" si="11"/>
        <v>20</v>
      </c>
      <c r="AH10" s="31" t="s">
        <v>17</v>
      </c>
      <c r="AI10" s="47"/>
      <c r="AJ10" s="22" t="s">
        <v>32</v>
      </c>
      <c r="AK10">
        <v>502.14</v>
      </c>
      <c r="AL10" s="96"/>
      <c r="AW10"/>
      <c r="AY10"/>
    </row>
    <row r="11" spans="1:51" x14ac:dyDescent="0.25">
      <c r="B11" s="25">
        <v>5.1000000000000004E-3</v>
      </c>
      <c r="C11" s="25">
        <f t="shared" si="0"/>
        <v>1.0164146414177143E-2</v>
      </c>
      <c r="D11" s="3" t="s">
        <v>18</v>
      </c>
      <c r="E11" s="101">
        <v>63000</v>
      </c>
      <c r="F11" s="9">
        <f>_xll.BDP(D11&amp;" EQUITY",$H$1)</f>
        <v>102.04</v>
      </c>
      <c r="G11" s="112">
        <f>_xll.BDP(D11&amp;" EQUITY",$I$1)</f>
        <v>0.06</v>
      </c>
      <c r="H11" s="127">
        <f>_xll.BDP(D11&amp;" EQUITY",$J$1)*0.01</f>
        <v>5.8835070000000009E-4</v>
      </c>
      <c r="I11" s="157">
        <f t="shared" si="1"/>
        <v>19</v>
      </c>
      <c r="J11" s="161">
        <f t="shared" si="2"/>
        <v>3780</v>
      </c>
      <c r="K11" s="99"/>
      <c r="L11" s="62">
        <f t="shared" si="3"/>
        <v>6428520</v>
      </c>
      <c r="M11" s="99"/>
      <c r="N11" s="173">
        <v>90.29</v>
      </c>
      <c r="O11" s="37">
        <f t="shared" si="4"/>
        <v>0.13013622771070987</v>
      </c>
      <c r="P11" s="45" t="s">
        <v>61</v>
      </c>
      <c r="Q11" s="99"/>
      <c r="R11" s="173">
        <v>86.88</v>
      </c>
      <c r="S11" s="591">
        <f t="shared" si="5"/>
        <v>0.17449355432780855</v>
      </c>
      <c r="T11" s="48"/>
      <c r="U11" s="105" t="str">
        <f>_xll.BDP(D11&amp;" EQUITY",$X$1)</f>
        <v>3/28/2024</v>
      </c>
      <c r="V11" s="84">
        <f>_xll.BDP(D11&amp;" EQUITY",$Y$1)</f>
        <v>123.74</v>
      </c>
      <c r="W11" s="37">
        <f t="shared" si="6"/>
        <v>-0.17536770648133171</v>
      </c>
      <c r="X11" s="107">
        <f t="shared" si="7"/>
        <v>38</v>
      </c>
      <c r="Y11" s="47"/>
      <c r="Z11" s="105" t="str">
        <f>_xll.BDP(D11&amp;" EQUITY",$AC$1)</f>
        <v>10/4/2023</v>
      </c>
      <c r="AA11" s="77">
        <f>_xll.BDP(D11&amp;" EQUITY",$AD$1)</f>
        <v>78.730900000000005</v>
      </c>
      <c r="AB11" s="37">
        <f t="shared" si="8"/>
        <v>0.29606037781862016</v>
      </c>
      <c r="AC11" s="39">
        <f t="shared" si="9"/>
        <v>31</v>
      </c>
      <c r="AD11" s="47"/>
      <c r="AE11" s="38">
        <v>181.18</v>
      </c>
      <c r="AF11" s="123">
        <f t="shared" si="10"/>
        <v>-0.43680317915884759</v>
      </c>
      <c r="AG11" s="107">
        <f t="shared" si="11"/>
        <v>40</v>
      </c>
      <c r="AH11" s="3" t="s">
        <v>18</v>
      </c>
      <c r="AI11" s="47"/>
      <c r="AJ11" s="22" t="s">
        <v>14</v>
      </c>
      <c r="AK11">
        <v>129.38999999999999</v>
      </c>
      <c r="AL11" s="96"/>
      <c r="AW11"/>
      <c r="AY11"/>
    </row>
    <row r="12" spans="1:51" x14ac:dyDescent="0.25">
      <c r="B12" s="85">
        <v>6.1999999999999998E-3</v>
      </c>
      <c r="C12" s="109">
        <f t="shared" si="0"/>
        <v>6.3573300718275071E-3</v>
      </c>
      <c r="D12" s="3" t="s">
        <v>70</v>
      </c>
      <c r="E12" s="101">
        <v>60000</v>
      </c>
      <c r="F12" s="9">
        <f>_xll.BDP(D12&amp;" EQUITY",$H$1)</f>
        <v>67.0137</v>
      </c>
      <c r="G12" s="112">
        <f>_xll.BDP(D12&amp;" EQUITY",$I$1)</f>
        <v>-1.8863000000000001</v>
      </c>
      <c r="H12" s="127">
        <f>_xll.BDP(D12&amp;" EQUITY",$J$1)*0.01</f>
        <v>-2.737736E-2</v>
      </c>
      <c r="I12" s="157">
        <f t="shared" si="1"/>
        <v>43</v>
      </c>
      <c r="J12" s="161">
        <f t="shared" si="2"/>
        <v>-113178</v>
      </c>
      <c r="K12" s="99"/>
      <c r="L12" s="62">
        <f t="shared" si="3"/>
        <v>4020822</v>
      </c>
      <c r="M12" s="99"/>
      <c r="N12" s="173">
        <f>157.65/3</f>
        <v>52.550000000000004</v>
      </c>
      <c r="O12" s="37">
        <f t="shared" si="4"/>
        <v>0.27523691722169352</v>
      </c>
      <c r="P12" s="45" t="s">
        <v>61</v>
      </c>
      <c r="Q12" s="99"/>
      <c r="R12" s="173">
        <v>141.79</v>
      </c>
      <c r="S12" s="591">
        <f t="shared" si="5"/>
        <v>-0.52737358064743634</v>
      </c>
      <c r="T12" s="48"/>
      <c r="U12" s="105" t="str">
        <f>_xll.BDP(D12&amp;" EQUITY",$X$1)</f>
        <v>6/24/2024</v>
      </c>
      <c r="V12" s="84">
        <f>_xll.BDP(D12&amp;" EQUITY",$Y$1)</f>
        <v>69.040000000000006</v>
      </c>
      <c r="W12" s="37">
        <f t="shared" si="6"/>
        <v>-2.9349652375434632E-2</v>
      </c>
      <c r="X12" s="106">
        <f t="shared" si="7"/>
        <v>13</v>
      </c>
      <c r="Y12" s="47"/>
      <c r="Z12" s="105" t="str">
        <f>_xll.BDP(D12&amp;" EQUITY",$AC$1)</f>
        <v>12/11/2023</v>
      </c>
      <c r="AA12" s="77">
        <f>_xll.BDP(D12&amp;" EQUITY",$AD$1)</f>
        <v>49.846699999999998</v>
      </c>
      <c r="AB12" s="37">
        <f t="shared" si="8"/>
        <v>0.34439591788423307</v>
      </c>
      <c r="AC12" s="39">
        <f t="shared" si="9"/>
        <v>24</v>
      </c>
      <c r="AD12" s="47"/>
      <c r="AE12" s="36">
        <v>144.15</v>
      </c>
      <c r="AF12" s="37">
        <f t="shared" si="10"/>
        <v>-0.53511134235171698</v>
      </c>
      <c r="AG12" s="39">
        <f t="shared" si="11"/>
        <v>41</v>
      </c>
      <c r="AH12" s="3" t="s">
        <v>70</v>
      </c>
      <c r="AI12" s="47"/>
      <c r="AJ12" s="22" t="s">
        <v>39</v>
      </c>
      <c r="AK12">
        <v>329.01</v>
      </c>
      <c r="AL12" s="96"/>
      <c r="AW12"/>
      <c r="AY12"/>
    </row>
    <row r="13" spans="1:51" x14ac:dyDescent="0.25">
      <c r="B13" s="25">
        <v>6.7999999999999996E-3</v>
      </c>
      <c r="C13" s="109">
        <f t="shared" si="0"/>
        <v>2.6921741524250847E-2</v>
      </c>
      <c r="D13" s="3" t="s">
        <v>43</v>
      </c>
      <c r="E13" s="101">
        <v>20000</v>
      </c>
      <c r="F13" s="9">
        <f>_xll.BDP(D13&amp;" EQUITY",$H$1)</f>
        <v>851.36</v>
      </c>
      <c r="G13" s="112">
        <f>_xll.BDP(D13&amp;" EQUITY",$I$1)</f>
        <v>3.2</v>
      </c>
      <c r="H13" s="127">
        <f>_xll.BDP(D13&amp;" EQUITY",$J$1)*0.01</f>
        <v>3.7728729999999999E-3</v>
      </c>
      <c r="I13" s="157">
        <f t="shared" si="1"/>
        <v>12</v>
      </c>
      <c r="J13" s="161">
        <f t="shared" si="2"/>
        <v>64000</v>
      </c>
      <c r="K13" s="99"/>
      <c r="L13" s="62">
        <f t="shared" si="3"/>
        <v>17027200</v>
      </c>
      <c r="M13" s="99"/>
      <c r="N13" s="173">
        <v>660.08</v>
      </c>
      <c r="O13" s="37">
        <f t="shared" si="4"/>
        <v>0.28978305659920012</v>
      </c>
      <c r="P13" s="45" t="s">
        <v>61</v>
      </c>
      <c r="Q13" s="99"/>
      <c r="R13" s="173">
        <v>456.5</v>
      </c>
      <c r="S13" s="591">
        <f t="shared" si="5"/>
        <v>0.86497261774370204</v>
      </c>
      <c r="T13" s="48"/>
      <c r="U13" s="105" t="str">
        <f>_xll.BDP(D13&amp;" EQUITY",$X$1)</f>
        <v>6/18/2024</v>
      </c>
      <c r="V13" s="84">
        <f>_xll.BDP(D13&amp;" EQUITY",$Y$1)</f>
        <v>873.96</v>
      </c>
      <c r="W13" s="37">
        <f t="shared" si="6"/>
        <v>-2.585930706210815E-2</v>
      </c>
      <c r="X13" s="39">
        <f t="shared" si="7"/>
        <v>10</v>
      </c>
      <c r="Y13" s="47"/>
      <c r="Z13" s="105" t="str">
        <f>_xll.BDP(D13&amp;" EQUITY",$AC$1)</f>
        <v>6/26/2023</v>
      </c>
      <c r="AA13" s="77">
        <f>_xll.BDP(D13&amp;" EQUITY",$AD$1)</f>
        <v>509.67</v>
      </c>
      <c r="AB13" s="37">
        <f t="shared" si="8"/>
        <v>0.67041418957364574</v>
      </c>
      <c r="AC13" s="39">
        <f t="shared" si="9"/>
        <v>5</v>
      </c>
      <c r="AD13" s="47"/>
      <c r="AE13" s="36">
        <v>376.78</v>
      </c>
      <c r="AF13" s="37">
        <f t="shared" si="10"/>
        <v>1.2595679176177081</v>
      </c>
      <c r="AG13" s="106">
        <f t="shared" si="11"/>
        <v>1</v>
      </c>
      <c r="AH13" s="3" t="s">
        <v>43</v>
      </c>
      <c r="AI13" s="47"/>
      <c r="AJ13" s="22" t="s">
        <v>17</v>
      </c>
      <c r="AK13">
        <v>359.32</v>
      </c>
      <c r="AL13" s="96"/>
      <c r="AW13"/>
      <c r="AY13"/>
    </row>
    <row r="14" spans="1:51" x14ac:dyDescent="0.25">
      <c r="B14" s="25">
        <v>1.9E-3</v>
      </c>
      <c r="C14" s="25">
        <f t="shared" si="0"/>
        <v>1.6411839704808997E-2</v>
      </c>
      <c r="D14" s="3" t="s">
        <v>9</v>
      </c>
      <c r="E14" s="101">
        <v>10000</v>
      </c>
      <c r="F14" s="9">
        <f>_xll.BDP(D14&amp;" EQUITY",$H$1)</f>
        <v>1038</v>
      </c>
      <c r="G14" s="112">
        <f>_xll.BDP(D14&amp;" EQUITY",$I$1)</f>
        <v>13.58</v>
      </c>
      <c r="H14" s="127">
        <f>_xll.BDP(D14&amp;" EQUITY",$J$1)*0.01</f>
        <v>1.325628E-2</v>
      </c>
      <c r="I14" s="157">
        <f t="shared" si="1"/>
        <v>7</v>
      </c>
      <c r="J14" s="161">
        <f t="shared" si="2"/>
        <v>135800</v>
      </c>
      <c r="K14" s="99"/>
      <c r="L14" s="62">
        <f t="shared" si="3"/>
        <v>10380000</v>
      </c>
      <c r="M14" s="99"/>
      <c r="N14" s="173">
        <v>783.26</v>
      </c>
      <c r="O14" s="37">
        <f t="shared" si="4"/>
        <v>0.3252304471056866</v>
      </c>
      <c r="P14" s="45" t="s">
        <v>61</v>
      </c>
      <c r="Q14" s="99"/>
      <c r="R14" s="173">
        <v>420.3</v>
      </c>
      <c r="S14" s="591">
        <f t="shared" si="5"/>
        <v>1.4696645253390437</v>
      </c>
      <c r="T14" s="48"/>
      <c r="U14" s="105" t="str">
        <f>_xll.BDP(D14&amp;" EQUITY",$X$1)</f>
        <v>6/18/2024</v>
      </c>
      <c r="V14" s="84">
        <f>_xll.BDP(D14&amp;" EQUITY",$Y$1)</f>
        <v>1101.8100999999999</v>
      </c>
      <c r="W14" s="37">
        <f t="shared" si="6"/>
        <v>-5.7913881893077557E-2</v>
      </c>
      <c r="X14" s="40">
        <f t="shared" si="7"/>
        <v>20</v>
      </c>
      <c r="Y14" s="47"/>
      <c r="Z14" s="105" t="str">
        <f>_xll.BDP(D14&amp;" EQUITY",$AC$1)</f>
        <v>10/31/2023</v>
      </c>
      <c r="AA14" s="77">
        <f>_xll.BDP(D14&amp;" EQUITY",$AD$1)</f>
        <v>574.41999999999996</v>
      </c>
      <c r="AB14" s="37">
        <f t="shared" si="8"/>
        <v>0.80704014484175346</v>
      </c>
      <c r="AC14" s="106">
        <f t="shared" si="9"/>
        <v>1</v>
      </c>
      <c r="AD14" s="47"/>
      <c r="AE14" s="38">
        <v>472.27</v>
      </c>
      <c r="AF14" s="37">
        <f t="shared" si="10"/>
        <v>1.1978952717725031</v>
      </c>
      <c r="AG14" s="107">
        <f t="shared" si="11"/>
        <v>2</v>
      </c>
      <c r="AH14" s="3" t="s">
        <v>9</v>
      </c>
      <c r="AI14" s="47"/>
      <c r="AJ14" s="22" t="s">
        <v>21</v>
      </c>
      <c r="AK14">
        <v>643.22</v>
      </c>
      <c r="AL14" s="96"/>
      <c r="AW14"/>
      <c r="AY14"/>
    </row>
    <row r="15" spans="1:51" x14ac:dyDescent="0.25">
      <c r="B15" s="25">
        <v>5.1000000000000004E-3</v>
      </c>
      <c r="C15" s="109">
        <f t="shared" si="0"/>
        <v>2.0186128033840036E-2</v>
      </c>
      <c r="D15" s="3" t="s">
        <v>39</v>
      </c>
      <c r="E15" s="29">
        <v>50000</v>
      </c>
      <c r="F15" s="9">
        <f>_xll.BDP(D15&amp;" EQUITY",$H$1)</f>
        <v>255.3425</v>
      </c>
      <c r="G15" s="112">
        <f>_xll.BDP(D15&amp;" EQUITY",$I$1)</f>
        <v>-1.4175</v>
      </c>
      <c r="H15" s="127">
        <f>_xll.BDP(D15&amp;" EQUITY",$J$1)*0.01</f>
        <v>-5.5207199999999998E-3</v>
      </c>
      <c r="I15" s="157">
        <f t="shared" si="1"/>
        <v>30</v>
      </c>
      <c r="J15" s="161">
        <f t="shared" si="2"/>
        <v>-70875</v>
      </c>
      <c r="K15" s="99"/>
      <c r="L15" s="62">
        <f t="shared" si="3"/>
        <v>12767125</v>
      </c>
      <c r="M15" s="99"/>
      <c r="N15" s="173">
        <v>231.34</v>
      </c>
      <c r="O15" s="37">
        <f t="shared" si="4"/>
        <v>0.10375421457594891</v>
      </c>
      <c r="P15" s="45" t="s">
        <v>61</v>
      </c>
      <c r="Q15" s="99"/>
      <c r="R15" s="173">
        <v>265.42</v>
      </c>
      <c r="S15" s="591">
        <f t="shared" si="5"/>
        <v>-3.7968125988998569E-2</v>
      </c>
      <c r="T15" s="48"/>
      <c r="U15" s="105" t="str">
        <f>_xll.BDP(D15&amp;" EQUITY",$X$1)</f>
        <v>6/6/2024</v>
      </c>
      <c r="V15" s="84">
        <f>_xll.BDP(D15&amp;" EQUITY",$Y$1)</f>
        <v>269.11</v>
      </c>
      <c r="W15" s="37">
        <f t="shared" si="6"/>
        <v>-5.115937720634689E-2</v>
      </c>
      <c r="X15" s="107">
        <f t="shared" si="7"/>
        <v>18</v>
      </c>
      <c r="Y15" s="47"/>
      <c r="Z15" s="105" t="str">
        <f>_xll.BDP(D15&amp;" EQUITY",$AC$1)</f>
        <v>10/30/2023</v>
      </c>
      <c r="AA15" s="77">
        <f>_xll.BDP(D15&amp;" EQUITY",$AD$1)</f>
        <v>182.09</v>
      </c>
      <c r="AB15" s="37">
        <f t="shared" si="8"/>
        <v>0.40228733044099063</v>
      </c>
      <c r="AC15" s="107">
        <f t="shared" si="9"/>
        <v>19</v>
      </c>
      <c r="AD15" s="47"/>
      <c r="AE15" s="36">
        <v>222.14</v>
      </c>
      <c r="AF15" s="37">
        <f t="shared" si="10"/>
        <v>0.14946655262447117</v>
      </c>
      <c r="AG15" s="40">
        <f t="shared" si="11"/>
        <v>28</v>
      </c>
      <c r="AH15" s="3" t="s">
        <v>39</v>
      </c>
      <c r="AI15" s="47"/>
      <c r="AJ15" s="22" t="s">
        <v>29</v>
      </c>
      <c r="AK15">
        <v>188.58</v>
      </c>
      <c r="AL15" s="96"/>
      <c r="AW15"/>
      <c r="AY15"/>
    </row>
    <row r="16" spans="1:51" x14ac:dyDescent="0.25">
      <c r="B16" s="25">
        <v>1.03E-2</v>
      </c>
      <c r="C16" s="25">
        <f t="shared" si="0"/>
        <v>2.3933022188042025E-2</v>
      </c>
      <c r="D16" s="3" t="s">
        <v>31</v>
      </c>
      <c r="E16" s="29">
        <v>55000</v>
      </c>
      <c r="F16" s="9">
        <f>_xll.BDP(D16&amp;" EQUITY",$H$1)</f>
        <v>275.21679999999998</v>
      </c>
      <c r="G16" s="112">
        <f>_xll.BDP(D16&amp;" EQUITY",$I$1)</f>
        <v>-1.0831999999999999</v>
      </c>
      <c r="H16" s="127">
        <f>_xll.BDP(D16&amp;" EQUITY",$J$1)*0.01</f>
        <v>-2.8954039999999999E-3</v>
      </c>
      <c r="I16" s="157">
        <f t="shared" si="1"/>
        <v>25</v>
      </c>
      <c r="J16" s="161">
        <f t="shared" si="2"/>
        <v>-59576</v>
      </c>
      <c r="K16" s="99"/>
      <c r="L16" s="62">
        <f t="shared" si="3"/>
        <v>15136923.999999998</v>
      </c>
      <c r="M16" s="99"/>
      <c r="N16" s="173">
        <v>260.35000000000002</v>
      </c>
      <c r="O16" s="37">
        <f t="shared" si="4"/>
        <v>5.7103130401382485E-2</v>
      </c>
      <c r="P16" s="45" t="s">
        <v>61</v>
      </c>
      <c r="Q16" s="99"/>
      <c r="R16" s="173">
        <v>207.76</v>
      </c>
      <c r="S16" s="591">
        <f t="shared" si="5"/>
        <v>0.32468617635733543</v>
      </c>
      <c r="T16" s="48"/>
      <c r="U16" s="105" t="str">
        <f>_xll.BDP(D16&amp;" EQUITY",$X$1)</f>
        <v>3/21/2024</v>
      </c>
      <c r="V16" s="84">
        <f>_xll.BDP(D16&amp;" EQUITY",$Y$1)</f>
        <v>290.95999999999998</v>
      </c>
      <c r="W16" s="37">
        <f t="shared" si="6"/>
        <v>-5.4107781138300837E-2</v>
      </c>
      <c r="X16" s="106">
        <f t="shared" si="7"/>
        <v>19</v>
      </c>
      <c r="Y16" s="47"/>
      <c r="Z16" s="105" t="str">
        <f>_xll.BDP(D16&amp;" EQUITY",$AC$1)</f>
        <v>6/28/2023</v>
      </c>
      <c r="AA16" s="77">
        <f>_xll.BDP(D16&amp;" EQUITY",$AD$1)</f>
        <v>226.02</v>
      </c>
      <c r="AB16" s="37">
        <f t="shared" si="8"/>
        <v>0.21766569330147756</v>
      </c>
      <c r="AC16" s="39">
        <f t="shared" si="9"/>
        <v>37</v>
      </c>
      <c r="AD16" s="47"/>
      <c r="AE16" s="38">
        <v>218.73</v>
      </c>
      <c r="AF16" s="37">
        <f t="shared" si="10"/>
        <v>0.25824898276413832</v>
      </c>
      <c r="AG16" s="39">
        <f t="shared" si="11"/>
        <v>21</v>
      </c>
      <c r="AH16" s="3" t="s">
        <v>31</v>
      </c>
      <c r="AI16" s="47"/>
      <c r="AJ16" s="22" t="s">
        <v>19</v>
      </c>
      <c r="AK16">
        <v>359.3</v>
      </c>
      <c r="AL16" s="96"/>
      <c r="AW16"/>
      <c r="AY16"/>
    </row>
    <row r="17" spans="2:51" x14ac:dyDescent="0.25">
      <c r="B17" s="85">
        <v>5.1000000000000004E-3</v>
      </c>
      <c r="C17" s="25">
        <f t="shared" si="0"/>
        <v>1.9433009580333952E-2</v>
      </c>
      <c r="D17" s="3" t="s">
        <v>307</v>
      </c>
      <c r="E17" s="101">
        <v>40000</v>
      </c>
      <c r="F17" s="9">
        <f>_xll.BDP(D17&amp;" EQUITY",$H$1)</f>
        <v>307.27</v>
      </c>
      <c r="G17" s="112">
        <f>_xll.BDP(D17&amp;" EQUITY",$I$1)</f>
        <v>0.06</v>
      </c>
      <c r="H17" s="127">
        <f>_xll.BDP(D17&amp;" EQUITY",$J$1)*0.01</f>
        <v>1.953061E-4</v>
      </c>
      <c r="I17" s="157">
        <f t="shared" si="1"/>
        <v>20</v>
      </c>
      <c r="J17" s="161">
        <f t="shared" si="2"/>
        <v>2400</v>
      </c>
      <c r="K17" s="99"/>
      <c r="L17" s="62">
        <f t="shared" si="3"/>
        <v>12290800</v>
      </c>
      <c r="M17" s="99"/>
      <c r="N17" s="173">
        <v>350.91</v>
      </c>
      <c r="O17" s="37">
        <f t="shared" si="4"/>
        <v>-0.12436237211820711</v>
      </c>
      <c r="P17" s="45" t="s">
        <v>61</v>
      </c>
      <c r="Q17" s="99"/>
      <c r="R17" s="173">
        <v>266.83999999999997</v>
      </c>
      <c r="S17" s="591">
        <f t="shared" si="5"/>
        <v>0.15151401588967173</v>
      </c>
      <c r="T17" s="48"/>
      <c r="U17" s="108">
        <v>44559</v>
      </c>
      <c r="V17" s="84">
        <v>417.37</v>
      </c>
      <c r="W17" s="37">
        <f t="shared" si="6"/>
        <v>-0.26379471452188707</v>
      </c>
      <c r="X17" s="107">
        <f t="shared" si="7"/>
        <v>40</v>
      </c>
      <c r="Y17" s="47"/>
      <c r="Z17" s="108">
        <v>44099</v>
      </c>
      <c r="AA17" s="77">
        <v>201.42</v>
      </c>
      <c r="AB17" s="37">
        <f t="shared" si="8"/>
        <v>0.52551881640353493</v>
      </c>
      <c r="AC17" s="40">
        <f t="shared" si="9"/>
        <v>12</v>
      </c>
      <c r="AD17" s="47"/>
      <c r="AE17" s="36">
        <v>261.20999999999998</v>
      </c>
      <c r="AF17" s="37">
        <f t="shared" si="10"/>
        <v>0.17633321848321271</v>
      </c>
      <c r="AG17" s="39">
        <f t="shared" si="11"/>
        <v>25</v>
      </c>
      <c r="AH17" s="3" t="s">
        <v>35</v>
      </c>
      <c r="AI17" s="47"/>
      <c r="AJ17" s="22" t="s">
        <v>15</v>
      </c>
      <c r="AK17">
        <v>158.35</v>
      </c>
      <c r="AL17" s="96"/>
      <c r="AW17"/>
      <c r="AY17"/>
    </row>
    <row r="18" spans="2:51" x14ac:dyDescent="0.25">
      <c r="B18" s="25">
        <v>4.0000000000000001E-3</v>
      </c>
      <c r="C18" s="25">
        <f t="shared" si="0"/>
        <v>2.1952021431750301E-2</v>
      </c>
      <c r="D18" s="3" t="s">
        <v>110</v>
      </c>
      <c r="E18" s="101">
        <v>26000</v>
      </c>
      <c r="F18" s="9">
        <f>_xll.BDP(D18&amp;" EQUITY",$H$1)</f>
        <v>534</v>
      </c>
      <c r="G18" s="112">
        <f>_xll.BDP(D18&amp;" EQUITY",$I$1)</f>
        <v>-7.71</v>
      </c>
      <c r="H18" s="127">
        <f>_xll.BDP(D18&amp;" EQUITY",$J$1)*0.01</f>
        <v>-1.4232709999999999E-2</v>
      </c>
      <c r="I18" s="157">
        <f t="shared" si="1"/>
        <v>40</v>
      </c>
      <c r="J18" s="161">
        <f t="shared" si="2"/>
        <v>-200460</v>
      </c>
      <c r="K18" s="99"/>
      <c r="L18" s="62">
        <f t="shared" si="3"/>
        <v>13884000</v>
      </c>
      <c r="M18" s="99"/>
      <c r="N18" s="173">
        <v>471.56</v>
      </c>
      <c r="O18" s="37">
        <f t="shared" si="4"/>
        <v>0.13241157010772753</v>
      </c>
      <c r="P18" s="45" t="s">
        <v>61</v>
      </c>
      <c r="Q18" s="99"/>
      <c r="R18" s="173">
        <v>512.97</v>
      </c>
      <c r="S18" s="591">
        <f t="shared" si="5"/>
        <v>4.0996549505819102E-2</v>
      </c>
      <c r="T18" s="48"/>
      <c r="U18" s="105" t="str">
        <f>_xll.BDP(D18&amp;" EQUITY",$X$1)</f>
        <v>5/22/2024</v>
      </c>
      <c r="V18" s="84">
        <f>_xll.BDP(D18&amp;" EQUITY",$Y$1)</f>
        <v>550.34</v>
      </c>
      <c r="W18" s="37">
        <f t="shared" si="6"/>
        <v>-2.9690736635534454E-2</v>
      </c>
      <c r="X18" s="39">
        <f t="shared" si="7"/>
        <v>14</v>
      </c>
      <c r="Y18" s="47"/>
      <c r="Z18" s="105" t="str">
        <f>_xll.BDP(D18&amp;" EQUITY",$AC$1)</f>
        <v>7/12/2023</v>
      </c>
      <c r="AA18" s="77">
        <f>_xll.BDP(D18&amp;" EQUITY",$AD$1)</f>
        <v>412</v>
      </c>
      <c r="AB18" s="37">
        <f t="shared" si="8"/>
        <v>0.29611650485436902</v>
      </c>
      <c r="AC18" s="107">
        <f t="shared" si="9"/>
        <v>30</v>
      </c>
      <c r="AD18" s="47"/>
      <c r="AE18" s="36">
        <v>321.08999999999997</v>
      </c>
      <c r="AF18" s="37">
        <f t="shared" si="10"/>
        <v>0.66308511632252642</v>
      </c>
      <c r="AG18" s="106">
        <f t="shared" si="11"/>
        <v>7</v>
      </c>
      <c r="AH18" s="3" t="s">
        <v>110</v>
      </c>
      <c r="AI18" s="47"/>
      <c r="AJ18" s="22" t="s">
        <v>26</v>
      </c>
      <c r="AK18">
        <v>566</v>
      </c>
      <c r="AL18" s="96"/>
      <c r="AW18"/>
      <c r="AY18"/>
    </row>
    <row r="19" spans="2:51" x14ac:dyDescent="0.25">
      <c r="B19" s="85">
        <v>1E-4</v>
      </c>
      <c r="C19" s="25">
        <f t="shared" si="0"/>
        <v>5.8745848191924695E-3</v>
      </c>
      <c r="D19" s="3" t="s">
        <v>93</v>
      </c>
      <c r="E19" s="101">
        <v>50000</v>
      </c>
      <c r="F19" s="9">
        <f>_xll.BDP(D19&amp;" EQUITY",$H$1)</f>
        <v>74.31</v>
      </c>
      <c r="G19" s="112">
        <f>_xll.BDP(D19&amp;" EQUITY",$I$1)</f>
        <v>-4.62</v>
      </c>
      <c r="H19" s="127">
        <f>_xll.BDP(D19&amp;" EQUITY",$J$1)*0.01</f>
        <v>-5.8532880000000002E-2</v>
      </c>
      <c r="I19" s="157">
        <f t="shared" si="1"/>
        <v>45</v>
      </c>
      <c r="J19" s="161">
        <f t="shared" si="2"/>
        <v>-231000</v>
      </c>
      <c r="K19" s="99"/>
      <c r="L19" s="62">
        <f t="shared" si="3"/>
        <v>3715500</v>
      </c>
      <c r="M19" s="99"/>
      <c r="N19" s="173">
        <v>82.79</v>
      </c>
      <c r="O19" s="37">
        <f t="shared" si="4"/>
        <v>-0.102427829448001</v>
      </c>
      <c r="P19" s="45" t="s">
        <v>61</v>
      </c>
      <c r="Q19" s="99"/>
      <c r="R19" s="173">
        <v>42.33</v>
      </c>
      <c r="S19" s="591">
        <f t="shared" si="5"/>
        <v>0.75549255846917096</v>
      </c>
      <c r="T19" s="48"/>
      <c r="U19" s="105" t="str">
        <f>_xll.BDP(D19&amp;" EQUITY",$X$1)</f>
        <v>2/27/2024</v>
      </c>
      <c r="V19" s="84">
        <f>_xll.BDP(D19&amp;" EQUITY",$Y$1)</f>
        <v>101.91</v>
      </c>
      <c r="W19" s="37">
        <f t="shared" si="6"/>
        <v>-0.27082720047100373</v>
      </c>
      <c r="X19" s="39">
        <f t="shared" si="7"/>
        <v>42</v>
      </c>
      <c r="Y19" s="47"/>
      <c r="Z19" s="105" t="str">
        <f>_xll.BDP(D19&amp;" EQUITY",$AC$1)</f>
        <v>10/20/2023</v>
      </c>
      <c r="AA19" s="77">
        <f>_xll.BDP(D19&amp;" EQUITY",$AD$1)</f>
        <v>53.59</v>
      </c>
      <c r="AB19" s="37">
        <f t="shared" si="8"/>
        <v>0.38663929837656275</v>
      </c>
      <c r="AC19" s="40">
        <f t="shared" si="9"/>
        <v>20</v>
      </c>
      <c r="AD19" s="47"/>
      <c r="AE19" s="38">
        <v>83.72</v>
      </c>
      <c r="AF19" s="123">
        <f t="shared" si="10"/>
        <v>-0.11239847109412326</v>
      </c>
      <c r="AG19" s="107">
        <f t="shared" si="11"/>
        <v>35</v>
      </c>
      <c r="AH19" s="3" t="s">
        <v>93</v>
      </c>
      <c r="AI19" s="47"/>
      <c r="AJ19" s="22" t="s">
        <v>9</v>
      </c>
      <c r="AK19">
        <v>719.15</v>
      </c>
      <c r="AL19" s="96"/>
      <c r="AW19"/>
      <c r="AY19"/>
    </row>
    <row r="20" spans="2:51" x14ac:dyDescent="0.25">
      <c r="B20" s="25">
        <v>6.4999999999999997E-3</v>
      </c>
      <c r="C20" s="109">
        <f t="shared" si="0"/>
        <v>2.6544016234705675E-2</v>
      </c>
      <c r="D20" s="3" t="s">
        <v>41</v>
      </c>
      <c r="E20" s="29">
        <v>30000</v>
      </c>
      <c r="F20" s="9">
        <f>_xll.BDP(D20&amp;" EQUITY",$H$1)</f>
        <v>559.61</v>
      </c>
      <c r="G20" s="112">
        <f>_xll.BDP(D20&amp;" EQUITY",$I$1)</f>
        <v>-6.34</v>
      </c>
      <c r="H20" s="127">
        <f>_xll.BDP(D20&amp;" EQUITY",$J$1)*0.01</f>
        <v>-1.12024E-2</v>
      </c>
      <c r="I20" s="157">
        <f t="shared" si="1"/>
        <v>38</v>
      </c>
      <c r="J20" s="161">
        <f t="shared" si="2"/>
        <v>-190200</v>
      </c>
      <c r="K20" s="99"/>
      <c r="L20" s="62">
        <f t="shared" si="3"/>
        <v>16788300</v>
      </c>
      <c r="M20" s="99"/>
      <c r="N20" s="173">
        <v>530.79</v>
      </c>
      <c r="O20" s="37">
        <f t="shared" si="4"/>
        <v>5.4296426081878124E-2</v>
      </c>
      <c r="P20" s="45" t="s">
        <v>61</v>
      </c>
      <c r="Q20" s="99"/>
      <c r="R20" s="173">
        <v>545.57230000000004</v>
      </c>
      <c r="S20" s="591">
        <f t="shared" si="5"/>
        <v>2.5730228605814531E-2</v>
      </c>
      <c r="T20" s="48"/>
      <c r="U20" s="105" t="str">
        <f>_xll.BDP(D20&amp;" EQUITY",$X$1)</f>
        <v>3/8/2024</v>
      </c>
      <c r="V20" s="84">
        <f>_xll.BDP(D20&amp;" EQUITY",$Y$1)</f>
        <v>603.82000000000005</v>
      </c>
      <c r="W20" s="37">
        <f t="shared" si="6"/>
        <v>-7.3217183928985463E-2</v>
      </c>
      <c r="X20" s="39">
        <f t="shared" si="7"/>
        <v>27</v>
      </c>
      <c r="Y20" s="47"/>
      <c r="Z20" s="105" t="str">
        <f>_xll.BDP(D20&amp;" EQUITY",$AC$1)</f>
        <v>10/25/2023</v>
      </c>
      <c r="AA20" s="77">
        <f>_xll.BDP(D20&amp;" EQUITY",$AD$1)</f>
        <v>415.6</v>
      </c>
      <c r="AB20" s="37">
        <f t="shared" si="8"/>
        <v>0.3465110683349375</v>
      </c>
      <c r="AC20" s="39">
        <f t="shared" si="9"/>
        <v>23</v>
      </c>
      <c r="AD20" s="47"/>
      <c r="AE20" s="36">
        <v>465.78</v>
      </c>
      <c r="AF20" s="37">
        <f t="shared" si="10"/>
        <v>0.20144703508093964</v>
      </c>
      <c r="AG20" s="40">
        <f t="shared" si="11"/>
        <v>24</v>
      </c>
      <c r="AH20" s="3" t="s">
        <v>41</v>
      </c>
      <c r="AI20" s="47"/>
      <c r="AJ20" s="22" t="s">
        <v>26</v>
      </c>
      <c r="AK20">
        <v>566</v>
      </c>
      <c r="AL20" s="96"/>
      <c r="AW20"/>
      <c r="AY20"/>
    </row>
    <row r="21" spans="2:51" x14ac:dyDescent="0.25">
      <c r="B21" s="25">
        <v>2.5999999999999999E-3</v>
      </c>
      <c r="C21" s="25">
        <f t="shared" si="0"/>
        <v>1.7545489904071818E-2</v>
      </c>
      <c r="D21" s="3" t="s">
        <v>6</v>
      </c>
      <c r="E21" s="101">
        <v>100000</v>
      </c>
      <c r="F21" s="9">
        <f>_xll.BDP(D21&amp;" EQUITY",$H$1)</f>
        <v>110.97</v>
      </c>
      <c r="G21" s="112">
        <f>_xll.BDP(D21&amp;" EQUITY",$I$1)</f>
        <v>-0.08</v>
      </c>
      <c r="H21" s="127">
        <f>_xll.BDP(D21&amp;" EQUITY",$J$1)*0.01</f>
        <v>-7.2039619999999995E-4</v>
      </c>
      <c r="I21" s="157">
        <f t="shared" si="1"/>
        <v>22</v>
      </c>
      <c r="J21" s="161">
        <f t="shared" si="2"/>
        <v>-8000</v>
      </c>
      <c r="K21" s="99"/>
      <c r="L21" s="62">
        <f t="shared" si="3"/>
        <v>11097000</v>
      </c>
      <c r="M21" s="99"/>
      <c r="N21" s="173">
        <v>93.81</v>
      </c>
      <c r="O21" s="37">
        <f t="shared" si="4"/>
        <v>0.18292292932523191</v>
      </c>
      <c r="P21" s="45" t="s">
        <v>61</v>
      </c>
      <c r="Q21" s="99"/>
      <c r="R21" s="173">
        <v>79.599999999999994</v>
      </c>
      <c r="S21" s="591">
        <f t="shared" si="5"/>
        <v>0.39409547738693473</v>
      </c>
      <c r="T21" s="48"/>
      <c r="U21" s="105" t="str">
        <f>_xll.BDP(D21&amp;" EQUITY",$X$1)</f>
        <v>6/24/2024</v>
      </c>
      <c r="V21" s="84">
        <f>_xll.BDP(D21&amp;" EQUITY",$Y$1)</f>
        <v>111.565</v>
      </c>
      <c r="W21" s="37">
        <f t="shared" si="6"/>
        <v>-5.3332138215389513E-3</v>
      </c>
      <c r="X21" s="40">
        <f t="shared" si="7"/>
        <v>3</v>
      </c>
      <c r="Y21" s="47"/>
      <c r="Z21" s="105" t="str">
        <f>_xll.BDP(D21&amp;" EQUITY",$AC$1)</f>
        <v>6/26/2023</v>
      </c>
      <c r="AA21" s="77">
        <f>_xll.BDP(D21&amp;" EQUITY",$AD$1)</f>
        <v>81.650000000000006</v>
      </c>
      <c r="AB21" s="37">
        <f t="shared" si="8"/>
        <v>0.35909369259032453</v>
      </c>
      <c r="AC21" s="40">
        <f t="shared" si="9"/>
        <v>21</v>
      </c>
      <c r="AD21" s="47"/>
      <c r="AE21" s="36">
        <v>68.290000000000006</v>
      </c>
      <c r="AF21" s="37">
        <f t="shared" si="10"/>
        <v>0.62498169570947404</v>
      </c>
      <c r="AG21" s="39">
        <f t="shared" si="11"/>
        <v>9</v>
      </c>
      <c r="AH21" s="3" t="s">
        <v>6</v>
      </c>
      <c r="AI21" s="47"/>
      <c r="AJ21" s="22" t="s">
        <v>40</v>
      </c>
      <c r="AK21">
        <v>292.5</v>
      </c>
      <c r="AL21" s="96"/>
      <c r="AW21"/>
      <c r="AY21"/>
    </row>
    <row r="22" spans="2:51" x14ac:dyDescent="0.25">
      <c r="B22" s="25">
        <v>5.9999999999999995E-4</v>
      </c>
      <c r="C22" s="25">
        <v>1.1209999999999999E-2</v>
      </c>
      <c r="D22" s="3" t="s">
        <v>4</v>
      </c>
      <c r="E22" s="101">
        <v>20000</v>
      </c>
      <c r="F22" s="9">
        <f>_xll.BDP(D22&amp;" EQUITY",$H$1)</f>
        <v>387.98</v>
      </c>
      <c r="G22" s="112">
        <f>_xll.BDP(D22&amp;" EQUITY",$I$1)</f>
        <v>-1.74</v>
      </c>
      <c r="H22" s="127">
        <f>_xll.BDP(D22&amp;" EQUITY",$J$1)*0.01</f>
        <v>-4.4647439999999997E-3</v>
      </c>
      <c r="I22" s="157">
        <f t="shared" si="1"/>
        <v>26</v>
      </c>
      <c r="J22" s="161">
        <f t="shared" si="2"/>
        <v>-34800</v>
      </c>
      <c r="K22" s="99"/>
      <c r="L22" s="62">
        <f t="shared" si="3"/>
        <v>7759600</v>
      </c>
      <c r="M22" s="99"/>
      <c r="N22" s="173">
        <v>489.99</v>
      </c>
      <c r="O22" s="37">
        <f t="shared" si="4"/>
        <v>-0.20818792220249394</v>
      </c>
      <c r="P22" s="45" t="s">
        <v>61</v>
      </c>
      <c r="Q22" s="99"/>
      <c r="R22" s="173">
        <v>469.07</v>
      </c>
      <c r="S22" s="591">
        <f t="shared" si="5"/>
        <v>-0.1728739846931161</v>
      </c>
      <c r="T22" s="48"/>
      <c r="U22" s="105" t="str">
        <f>_xll.BDP(D22&amp;" EQUITY",$X$1)</f>
        <v>3/14/2024</v>
      </c>
      <c r="V22" s="84">
        <f>_xll.BDP(D22&amp;" EQUITY",$Y$1)</f>
        <v>574.76</v>
      </c>
      <c r="W22" s="37">
        <f t="shared" si="6"/>
        <v>-0.3249704224371911</v>
      </c>
      <c r="X22" s="39">
        <f t="shared" si="7"/>
        <v>43</v>
      </c>
      <c r="Y22" s="47"/>
      <c r="Z22" s="105" t="str">
        <f>_xll.BDP(D22&amp;" EQUITY",$AC$1)</f>
        <v>10/23/2023</v>
      </c>
      <c r="AA22" s="77">
        <f>_xll.BDP(D22&amp;" EQUITY",$AD$1)</f>
        <v>368.02</v>
      </c>
      <c r="AB22" s="37">
        <f t="shared" si="8"/>
        <v>5.4236182816151501E-2</v>
      </c>
      <c r="AC22" s="106">
        <f t="shared" si="9"/>
        <v>42</v>
      </c>
      <c r="AD22" s="47"/>
      <c r="AE22" s="36">
        <v>287.16000000000003</v>
      </c>
      <c r="AF22" s="37">
        <f t="shared" si="10"/>
        <v>0.35109346705669298</v>
      </c>
      <c r="AG22" s="106">
        <f t="shared" si="11"/>
        <v>17</v>
      </c>
      <c r="AH22" s="3" t="s">
        <v>4</v>
      </c>
      <c r="AI22" s="47"/>
      <c r="AJ22" s="22" t="s">
        <v>6</v>
      </c>
      <c r="AK22">
        <v>75.92</v>
      </c>
      <c r="AL22" s="96"/>
      <c r="AW22"/>
      <c r="AY22"/>
    </row>
    <row r="23" spans="2:51" x14ac:dyDescent="0.25">
      <c r="B23" s="85">
        <v>3.5999999999999999E-3</v>
      </c>
      <c r="C23" s="25">
        <f t="shared" ref="C23:C35" si="12">+L23/$L$60</f>
        <v>3.5086236501870567E-3</v>
      </c>
      <c r="D23" s="3" t="s">
        <v>95</v>
      </c>
      <c r="E23" s="101">
        <v>5000</v>
      </c>
      <c r="F23" s="9">
        <f>_xll.BDP(D23&amp;" EQUITY",$H$1)</f>
        <v>443.82</v>
      </c>
      <c r="G23" s="112">
        <f>_xll.BDP(D23&amp;" EQUITY",$I$1)</f>
        <v>-1.1499999999999999</v>
      </c>
      <c r="H23" s="127">
        <f>_xll.BDP(D23&amp;" EQUITY",$J$1)*0.01</f>
        <v>-2.5844440000000004E-3</v>
      </c>
      <c r="I23" s="157">
        <f t="shared" si="1"/>
        <v>24</v>
      </c>
      <c r="J23" s="161">
        <f t="shared" si="2"/>
        <v>-5750</v>
      </c>
      <c r="K23" s="99"/>
      <c r="L23" s="62">
        <f t="shared" si="3"/>
        <v>2219100</v>
      </c>
      <c r="M23" s="99"/>
      <c r="N23" s="173">
        <v>440.52</v>
      </c>
      <c r="O23" s="37">
        <f t="shared" si="4"/>
        <v>7.4911468264777792E-3</v>
      </c>
      <c r="P23" s="45" t="s">
        <v>61</v>
      </c>
      <c r="Q23" s="99"/>
      <c r="R23" s="494">
        <v>334.94</v>
      </c>
      <c r="S23" s="765">
        <f t="shared" si="5"/>
        <v>0.32507314742939042</v>
      </c>
      <c r="T23" s="48"/>
      <c r="U23" s="105" t="str">
        <f>_xll.BDP(D23&amp;" EQUITY",$X$1)</f>
        <v>2/7/2024</v>
      </c>
      <c r="V23" s="84">
        <f>_xll.BDP(D23&amp;" EQUITY",$Y$1)</f>
        <v>461.16</v>
      </c>
      <c r="W23" s="37">
        <f t="shared" si="6"/>
        <v>-3.7600832682800012E-2</v>
      </c>
      <c r="X23" s="39">
        <f t="shared" si="7"/>
        <v>16</v>
      </c>
      <c r="Y23" s="47"/>
      <c r="Z23" s="105" t="str">
        <f>_xll.BDP(D23&amp;" EQUITY",$AC$1)</f>
        <v>10/30/2023</v>
      </c>
      <c r="AA23" s="77">
        <f>_xll.BDP(D23&amp;" EQUITY",$AD$1)</f>
        <v>340.49</v>
      </c>
      <c r="AB23" s="37">
        <f t="shared" si="8"/>
        <v>0.30347440453464114</v>
      </c>
      <c r="AC23" s="39">
        <f t="shared" si="9"/>
        <v>29</v>
      </c>
      <c r="AD23" s="47"/>
      <c r="AE23" s="36">
        <v>378.97</v>
      </c>
      <c r="AF23" s="37">
        <f t="shared" si="10"/>
        <v>0.17112172467477627</v>
      </c>
      <c r="AG23" s="39">
        <f t="shared" si="11"/>
        <v>26</v>
      </c>
      <c r="AH23" s="3" t="s">
        <v>95</v>
      </c>
      <c r="AI23" s="47"/>
      <c r="AJ23" s="22" t="s">
        <v>5</v>
      </c>
      <c r="AK23">
        <v>91.64</v>
      </c>
      <c r="AL23" s="96"/>
      <c r="AW23"/>
      <c r="AY23"/>
    </row>
    <row r="24" spans="2:51" x14ac:dyDescent="0.25">
      <c r="B24" s="25">
        <v>5.0000000000000001E-4</v>
      </c>
      <c r="C24" s="25">
        <f t="shared" si="12"/>
        <v>1.3867625086061758E-2</v>
      </c>
      <c r="D24" s="3" t="s">
        <v>36</v>
      </c>
      <c r="E24" s="101">
        <v>18000</v>
      </c>
      <c r="F24" s="9">
        <f>_xll.BDP(D24&amp;" EQUITY",$H$1)</f>
        <v>487.27</v>
      </c>
      <c r="G24" s="112">
        <f>_xll.BDP(D24&amp;" EQUITY",$I$1)</f>
        <v>-4.3</v>
      </c>
      <c r="H24" s="127">
        <f>_xll.BDP(D24&amp;" EQUITY",$J$1)*0.01</f>
        <v>-8.7474830000000003E-3</v>
      </c>
      <c r="I24" s="157">
        <f t="shared" si="1"/>
        <v>33</v>
      </c>
      <c r="J24" s="161">
        <f t="shared" si="2"/>
        <v>-77400</v>
      </c>
      <c r="K24" s="99"/>
      <c r="L24" s="62">
        <f t="shared" si="3"/>
        <v>8770860</v>
      </c>
      <c r="M24" s="99"/>
      <c r="N24" s="173">
        <v>418.12</v>
      </c>
      <c r="O24" s="37">
        <f t="shared" si="4"/>
        <v>0.16538314359514006</v>
      </c>
      <c r="P24" s="45" t="s">
        <v>61</v>
      </c>
      <c r="Q24" s="99"/>
      <c r="R24" s="173">
        <v>322.41000000000003</v>
      </c>
      <c r="S24" s="591">
        <f t="shared" si="5"/>
        <v>0.51133649700691652</v>
      </c>
      <c r="T24" s="48"/>
      <c r="U24" s="105" t="str">
        <f>_xll.BDP(D24&amp;" EQUITY",$X$1)</f>
        <v>5/22/2024</v>
      </c>
      <c r="V24" s="84">
        <f>_xll.BDP(D24&amp;" EQUITY",$Y$1)</f>
        <v>500.49</v>
      </c>
      <c r="W24" s="37">
        <f t="shared" si="6"/>
        <v>-2.6414114168115344E-2</v>
      </c>
      <c r="X24" s="39">
        <f t="shared" si="7"/>
        <v>12</v>
      </c>
      <c r="Y24" s="47"/>
      <c r="Z24" s="105" t="str">
        <f>_xll.BDP(D24&amp;" EQUITY",$AC$1)</f>
        <v>10/26/2023</v>
      </c>
      <c r="AA24" s="77">
        <f>_xll.BDP(D24&amp;" EQUITY",$AD$1)</f>
        <v>361.15699999999998</v>
      </c>
      <c r="AB24" s="37">
        <f t="shared" si="8"/>
        <v>0.34919162580262886</v>
      </c>
      <c r="AC24" s="39">
        <f t="shared" si="9"/>
        <v>22</v>
      </c>
      <c r="AD24" s="47"/>
      <c r="AE24" s="36">
        <v>436.52</v>
      </c>
      <c r="AF24" s="123">
        <f t="shared" si="10"/>
        <v>0.11626042334830022</v>
      </c>
      <c r="AG24" s="39">
        <f t="shared" si="11"/>
        <v>29</v>
      </c>
      <c r="AH24" s="3" t="s">
        <v>36</v>
      </c>
      <c r="AI24" s="47"/>
      <c r="AJ24" s="22" t="s">
        <v>36</v>
      </c>
      <c r="AK24">
        <v>537.95000000000005</v>
      </c>
      <c r="AL24" s="96"/>
      <c r="AW24"/>
      <c r="AY24"/>
    </row>
    <row r="25" spans="2:51" x14ac:dyDescent="0.25">
      <c r="B25" s="25">
        <v>3.3E-3</v>
      </c>
      <c r="C25" s="25">
        <f t="shared" si="12"/>
        <v>2.0802101691970866E-2</v>
      </c>
      <c r="D25" s="3" t="s">
        <v>21</v>
      </c>
      <c r="E25" s="101">
        <v>21000</v>
      </c>
      <c r="F25" s="9">
        <f>_xll.BDP(D25&amp;" EQUITY",$H$1)</f>
        <v>626.51</v>
      </c>
      <c r="G25" s="112">
        <f>_xll.BDP(D25&amp;" EQUITY",$I$1)</f>
        <v>2.63</v>
      </c>
      <c r="H25" s="127">
        <f>_xll.BDP(D25&amp;" EQUITY",$J$1)*0.01</f>
        <v>4.2155540000000007E-3</v>
      </c>
      <c r="I25" s="157">
        <f t="shared" si="1"/>
        <v>11</v>
      </c>
      <c r="J25" s="161">
        <f t="shared" si="2"/>
        <v>55230</v>
      </c>
      <c r="K25" s="99"/>
      <c r="L25" s="62">
        <f t="shared" si="3"/>
        <v>13156710</v>
      </c>
      <c r="M25" s="99"/>
      <c r="N25" s="173">
        <v>625.03</v>
      </c>
      <c r="O25" s="37">
        <f t="shared" si="4"/>
        <v>2.3678863414555718E-3</v>
      </c>
      <c r="P25" s="45" t="s">
        <v>61</v>
      </c>
      <c r="Q25" s="99"/>
      <c r="R25" s="173">
        <v>389.22</v>
      </c>
      <c r="S25" s="591">
        <f t="shared" si="5"/>
        <v>0.60965520785160043</v>
      </c>
      <c r="T25" s="48"/>
      <c r="U25" s="105" t="str">
        <f>_xll.BDP(D25&amp;" EQUITY",$X$1)</f>
        <v>5/23/2024</v>
      </c>
      <c r="V25" s="84">
        <f>_xll.BDP(D25&amp;" EQUITY",$Y$1)</f>
        <v>676.62</v>
      </c>
      <c r="W25" s="37">
        <f t="shared" si="6"/>
        <v>-7.4059294729685865E-2</v>
      </c>
      <c r="X25" s="39">
        <f t="shared" si="7"/>
        <v>29</v>
      </c>
      <c r="Y25" s="47"/>
      <c r="Z25" s="105" t="str">
        <f>_xll.BDP(D25&amp;" EQUITY",$AC$1)</f>
        <v>7/6/2023</v>
      </c>
      <c r="AA25" s="77">
        <f>_xll.BDP(D25&amp;" EQUITY",$AD$1)</f>
        <v>444.19</v>
      </c>
      <c r="AB25" s="37">
        <f t="shared" si="8"/>
        <v>0.4104549854791868</v>
      </c>
      <c r="AC25" s="39">
        <f t="shared" si="9"/>
        <v>18</v>
      </c>
      <c r="AD25" s="47"/>
      <c r="AE25" s="38">
        <v>379.85</v>
      </c>
      <c r="AF25" s="37">
        <f t="shared" si="10"/>
        <v>0.64936159010135563</v>
      </c>
      <c r="AG25" s="40">
        <f t="shared" si="11"/>
        <v>8</v>
      </c>
      <c r="AH25" s="3" t="s">
        <v>21</v>
      </c>
      <c r="AI25" s="47"/>
      <c r="AJ25" s="22" t="s">
        <v>33</v>
      </c>
      <c r="AK25">
        <v>254.13</v>
      </c>
      <c r="AL25" s="96"/>
      <c r="AW25"/>
      <c r="AY25"/>
    </row>
    <row r="26" spans="2:51" x14ac:dyDescent="0.25">
      <c r="B26" s="25">
        <f>0.0176+0.0157</f>
        <v>3.3299999999999996E-2</v>
      </c>
      <c r="C26" s="25">
        <f t="shared" si="12"/>
        <v>6.3933444152568075E-2</v>
      </c>
      <c r="D26" s="3" t="s">
        <v>28</v>
      </c>
      <c r="E26" s="29">
        <v>220000</v>
      </c>
      <c r="F26" s="9">
        <f>_xll.BDP(D26&amp;" EQUITY",$H$1)</f>
        <v>183.8</v>
      </c>
      <c r="G26" s="112">
        <f>_xll.BDP(D26&amp;" EQUITY",$I$1)</f>
        <v>3.01</v>
      </c>
      <c r="H26" s="127">
        <f>_xll.BDP(D26&amp;" EQUITY",$J$1)*0.01</f>
        <v>1.6649149999999998E-2</v>
      </c>
      <c r="I26" s="157">
        <f t="shared" si="1"/>
        <v>4</v>
      </c>
      <c r="J26" s="161">
        <f t="shared" si="2"/>
        <v>662200</v>
      </c>
      <c r="K26" s="99"/>
      <c r="L26" s="62">
        <f t="shared" si="3"/>
        <v>40436000</v>
      </c>
      <c r="M26" s="99"/>
      <c r="N26" s="173">
        <v>140.93</v>
      </c>
      <c r="O26" s="37">
        <f t="shared" si="4"/>
        <v>0.30419357127652025</v>
      </c>
      <c r="P26" s="45" t="s">
        <v>61</v>
      </c>
      <c r="Q26" s="99"/>
      <c r="R26" s="173">
        <v>88.73</v>
      </c>
      <c r="S26" s="591">
        <f t="shared" si="5"/>
        <v>1.0714527217401106</v>
      </c>
      <c r="T26" s="48"/>
      <c r="U26" s="105" t="str">
        <f>_xll.BDP(D26&amp;" EQUITY",$X$1)</f>
        <v>6/25/2024</v>
      </c>
      <c r="V26" s="84">
        <f>_xll.BDP(D26&amp;" EQUITY",$Y$1)</f>
        <v>184.16</v>
      </c>
      <c r="W26" s="37">
        <f t="shared" si="6"/>
        <v>-1.9548218940050877E-3</v>
      </c>
      <c r="X26" s="39">
        <f t="shared" si="7"/>
        <v>2</v>
      </c>
      <c r="Y26" s="119"/>
      <c r="Z26" s="105" t="str">
        <f>_xll.BDP(D26&amp;" EQUITY",$AC$1)</f>
        <v>7/11/2023</v>
      </c>
      <c r="AA26" s="77">
        <f>_xll.BDP(D26&amp;" EQUITY",$AD$1)</f>
        <v>115.83</v>
      </c>
      <c r="AB26" s="37">
        <f t="shared" si="8"/>
        <v>0.58680825347492016</v>
      </c>
      <c r="AC26" s="39">
        <f t="shared" si="9"/>
        <v>10</v>
      </c>
      <c r="AD26" s="47"/>
      <c r="AE26" s="36">
        <v>87.59</v>
      </c>
      <c r="AF26" s="37">
        <f t="shared" si="10"/>
        <v>1.0984130608516955</v>
      </c>
      <c r="AG26" s="40">
        <f t="shared" si="11"/>
        <v>3</v>
      </c>
      <c r="AH26" s="3" t="s">
        <v>28</v>
      </c>
      <c r="AI26" s="47"/>
      <c r="AJ26" s="22" t="s">
        <v>20</v>
      </c>
      <c r="AK26">
        <v>463.54</v>
      </c>
      <c r="AL26" s="96"/>
      <c r="AW26"/>
      <c r="AY26"/>
    </row>
    <row r="27" spans="2:51" x14ac:dyDescent="0.25">
      <c r="B27" s="25">
        <v>5.9999999999999995E-4</v>
      </c>
      <c r="C27" s="25">
        <f t="shared" si="12"/>
        <v>1.5060946078239748E-2</v>
      </c>
      <c r="D27" s="3" t="s">
        <v>22</v>
      </c>
      <c r="E27" s="101">
        <v>70000</v>
      </c>
      <c r="F27" s="9">
        <f>_xll.BDP(D27&amp;" EQUITY",$H$1)</f>
        <v>136.08000000000001</v>
      </c>
      <c r="G27" s="112">
        <f>_xll.BDP(D27&amp;" EQUITY",$I$1)</f>
        <v>-2.2599999999999998</v>
      </c>
      <c r="H27" s="127">
        <f>_xll.BDP(D27&amp;" EQUITY",$J$1)*0.01</f>
        <v>-1.633656E-2</v>
      </c>
      <c r="I27" s="157">
        <f t="shared" si="1"/>
        <v>41</v>
      </c>
      <c r="J27" s="161">
        <f t="shared" si="2"/>
        <v>-158199.99999999997</v>
      </c>
      <c r="K27" s="99"/>
      <c r="L27" s="62">
        <f t="shared" si="3"/>
        <v>9525600</v>
      </c>
      <c r="M27" s="99"/>
      <c r="N27" s="173">
        <v>114.36</v>
      </c>
      <c r="O27" s="37">
        <f t="shared" si="4"/>
        <v>0.18992654774396645</v>
      </c>
      <c r="P27" s="45"/>
      <c r="Q27" s="99"/>
      <c r="R27" s="173">
        <v>110.57</v>
      </c>
      <c r="S27" s="591">
        <f t="shared" si="5"/>
        <v>0.23071357511078983</v>
      </c>
      <c r="T27" s="48"/>
      <c r="U27" s="105" t="str">
        <f>_xll.BDP(D27&amp;" EQUITY",$X$1)</f>
        <v>5/21/2024</v>
      </c>
      <c r="V27" s="84">
        <f>_xll.BDP(D27&amp;" EQUITY",$Y$1)</f>
        <v>146.08000000000001</v>
      </c>
      <c r="W27" s="37">
        <f t="shared" si="6"/>
        <v>-6.8455640744797375E-2</v>
      </c>
      <c r="X27" s="39">
        <f t="shared" si="7"/>
        <v>23</v>
      </c>
      <c r="Y27" s="47"/>
      <c r="Z27" s="105" t="str">
        <f>_xll.BDP(D27&amp;" EQUITY",$AC$1)</f>
        <v>10/30/2023</v>
      </c>
      <c r="AA27" s="77">
        <f>_xll.BDP(D27&amp;" EQUITY",$AD$1)</f>
        <v>87.59</v>
      </c>
      <c r="AB27" s="37">
        <f t="shared" si="8"/>
        <v>0.55360200936179949</v>
      </c>
      <c r="AC27" s="40">
        <f t="shared" si="9"/>
        <v>11</v>
      </c>
      <c r="AD27" s="47"/>
      <c r="AE27" s="38">
        <v>101.79</v>
      </c>
      <c r="AF27" s="123">
        <f t="shared" si="10"/>
        <v>0.33687002652519893</v>
      </c>
      <c r="AG27" s="39">
        <f t="shared" si="11"/>
        <v>18</v>
      </c>
      <c r="AH27" s="3" t="s">
        <v>22</v>
      </c>
      <c r="AI27" s="47"/>
      <c r="AJ27" s="22" t="s">
        <v>4</v>
      </c>
      <c r="AK27">
        <v>412.34</v>
      </c>
      <c r="AL27" s="96"/>
      <c r="AW27"/>
      <c r="AY27"/>
    </row>
    <row r="28" spans="2:51" x14ac:dyDescent="0.25">
      <c r="B28" s="25">
        <v>1.4E-3</v>
      </c>
      <c r="C28" s="25">
        <f t="shared" si="12"/>
        <v>1.6043379673517218E-2</v>
      </c>
      <c r="D28" s="3" t="s">
        <v>30</v>
      </c>
      <c r="E28" s="101">
        <v>18000</v>
      </c>
      <c r="F28" s="9">
        <f>_xll.BDP(D28&amp;" EQUITY",$H$1)</f>
        <v>563.72</v>
      </c>
      <c r="G28" s="112">
        <f>_xll.BDP(D28&amp;" EQUITY",$I$1)</f>
        <v>1.17</v>
      </c>
      <c r="H28" s="127">
        <f>_xll.BDP(D28&amp;" EQUITY",$J$1)*0.01</f>
        <v>2.079815E-3</v>
      </c>
      <c r="I28" s="157">
        <f t="shared" si="1"/>
        <v>16</v>
      </c>
      <c r="J28" s="161">
        <f t="shared" si="2"/>
        <v>21060</v>
      </c>
      <c r="K28" s="99"/>
      <c r="L28" s="62">
        <f t="shared" si="3"/>
        <v>10146960</v>
      </c>
      <c r="M28" s="99"/>
      <c r="N28" s="173">
        <v>545.16999999999996</v>
      </c>
      <c r="O28" s="37">
        <f t="shared" si="4"/>
        <v>3.4026083606948365E-2</v>
      </c>
      <c r="P28" s="45"/>
      <c r="Q28" s="99"/>
      <c r="R28" s="173">
        <v>432.09</v>
      </c>
      <c r="S28" s="591">
        <f t="shared" si="5"/>
        <v>0.30463560832234049</v>
      </c>
      <c r="T28" s="48"/>
      <c r="U28" s="105" t="str">
        <f>_xll.BDP(D28&amp;" EQUITY",$X$1)</f>
        <v>6/24/2024</v>
      </c>
      <c r="V28" s="84">
        <f>_xll.BDP(D28&amp;" EQUITY",$Y$1)</f>
        <v>568.67999999999995</v>
      </c>
      <c r="W28" s="37">
        <f t="shared" si="6"/>
        <v>-8.7219525919671748E-3</v>
      </c>
      <c r="X28" s="106">
        <f t="shared" si="7"/>
        <v>5</v>
      </c>
      <c r="Y28" s="47"/>
      <c r="Z28" s="105" t="str">
        <f>_xll.BDP(D28&amp;" EQUITY",$AC$1)</f>
        <v>6/26/2023</v>
      </c>
      <c r="AA28" s="77">
        <f>_xll.BDP(D28&amp;" EQUITY",$AD$1)</f>
        <v>457.44</v>
      </c>
      <c r="AB28" s="37">
        <f t="shared" si="8"/>
        <v>0.23233648128716333</v>
      </c>
      <c r="AC28" s="39">
        <f t="shared" si="9"/>
        <v>36</v>
      </c>
      <c r="AD28" s="47"/>
      <c r="AE28" s="36">
        <v>431.09</v>
      </c>
      <c r="AF28" s="37">
        <f t="shared" si="10"/>
        <v>0.30766197313786003</v>
      </c>
      <c r="AG28" s="39">
        <f t="shared" si="11"/>
        <v>19</v>
      </c>
      <c r="AH28" s="3" t="s">
        <v>30</v>
      </c>
      <c r="AI28" s="47"/>
      <c r="AJ28" s="22" t="s">
        <v>3</v>
      </c>
      <c r="AK28">
        <v>90.58</v>
      </c>
      <c r="AL28" s="96"/>
      <c r="AW28"/>
      <c r="AY28"/>
    </row>
    <row r="29" spans="2:51" x14ac:dyDescent="0.25">
      <c r="B29" s="25">
        <v>1.2999999999999999E-3</v>
      </c>
      <c r="C29" s="25">
        <f t="shared" si="12"/>
        <v>3.724206920297915E-3</v>
      </c>
      <c r="D29" s="3" t="s">
        <v>10</v>
      </c>
      <c r="E29" s="101">
        <v>10000</v>
      </c>
      <c r="F29" s="9">
        <f>_xll.BDP(D29&amp;" EQUITY",$H$1)</f>
        <v>235.54499999999999</v>
      </c>
      <c r="G29" s="112">
        <f>_xll.BDP(D29&amp;" EQUITY",$I$1)</f>
        <v>-1.5349999999999999</v>
      </c>
      <c r="H29" s="127">
        <f>_xll.BDP(D29&amp;" EQUITY",$J$1)*0.01</f>
        <v>-6.4746079999999998E-3</v>
      </c>
      <c r="I29" s="157">
        <f t="shared" si="1"/>
        <v>32</v>
      </c>
      <c r="J29" s="161">
        <f t="shared" si="2"/>
        <v>-15350</v>
      </c>
      <c r="K29" s="99"/>
      <c r="L29" s="155">
        <f t="shared" si="3"/>
        <v>2355450</v>
      </c>
      <c r="M29" s="99"/>
      <c r="N29" s="173">
        <v>274</v>
      </c>
      <c r="O29" s="37">
        <f t="shared" si="4"/>
        <v>-0.14034671532846721</v>
      </c>
      <c r="P29" s="45"/>
      <c r="Q29" s="99"/>
      <c r="R29" s="173">
        <v>210.9</v>
      </c>
      <c r="S29" s="591">
        <f t="shared" si="5"/>
        <v>0.11685633001422469</v>
      </c>
      <c r="T29" s="48"/>
      <c r="U29" s="105" t="str">
        <f>_xll.BDP(D29&amp;" EQUITY",$X$1)</f>
        <v>7/27/2023</v>
      </c>
      <c r="V29" s="84">
        <f>_xll.BDP(D29&amp;" EQUITY",$Y$1)</f>
        <v>413.2</v>
      </c>
      <c r="W29" s="37">
        <f t="shared" si="6"/>
        <v>-0.42994917715392067</v>
      </c>
      <c r="X29" s="107">
        <f t="shared" si="7"/>
        <v>45</v>
      </c>
      <c r="Y29" s="47"/>
      <c r="Z29" s="105" t="str">
        <f>_xll.BDP(D29&amp;" EQUITY",$AC$1)</f>
        <v>10/30/2023</v>
      </c>
      <c r="AA29" s="77">
        <f>_xll.BDP(D29&amp;" EQUITY",$AD$1)</f>
        <v>176.34</v>
      </c>
      <c r="AB29" s="37">
        <f t="shared" si="8"/>
        <v>0.33574345015311313</v>
      </c>
      <c r="AC29" s="106">
        <f t="shared" si="9"/>
        <v>25</v>
      </c>
      <c r="AD29" s="47"/>
      <c r="AE29" s="38">
        <v>534.38</v>
      </c>
      <c r="AF29" s="123">
        <f t="shared" si="10"/>
        <v>-0.55921815936225161</v>
      </c>
      <c r="AG29" s="107">
        <f t="shared" si="11"/>
        <v>43</v>
      </c>
      <c r="AH29" s="3" t="s">
        <v>10</v>
      </c>
      <c r="AI29" s="47"/>
      <c r="AJ29" s="22" t="s">
        <v>11</v>
      </c>
      <c r="AK29">
        <v>44.49</v>
      </c>
      <c r="AL29" s="96"/>
      <c r="AW29"/>
      <c r="AY29"/>
    </row>
    <row r="30" spans="2:51" x14ac:dyDescent="0.25">
      <c r="B30" s="85">
        <v>3.7000000000000002E-3</v>
      </c>
      <c r="C30" s="25">
        <f t="shared" si="12"/>
        <v>2.905354147357589E-3</v>
      </c>
      <c r="D30" s="3" t="s">
        <v>122</v>
      </c>
      <c r="E30" s="101">
        <v>5000</v>
      </c>
      <c r="F30" s="9">
        <f>_xll.BDP(D30&amp;" EQUITY",$H$1)</f>
        <v>367.51</v>
      </c>
      <c r="G30" s="112">
        <f>_xll.BDP(D30&amp;" EQUITY",$I$1)</f>
        <v>-10.66</v>
      </c>
      <c r="H30" s="127">
        <f>_xll.BDP(D30&amp;" EQUITY",$J$1)*0.01</f>
        <v>-2.8188379999999999E-2</v>
      </c>
      <c r="I30" s="157">
        <f t="shared" si="1"/>
        <v>44</v>
      </c>
      <c r="J30" s="161">
        <f t="shared" si="2"/>
        <v>-53300</v>
      </c>
      <c r="K30" s="99"/>
      <c r="L30" s="62">
        <f t="shared" si="3"/>
        <v>1837550</v>
      </c>
      <c r="M30" s="99"/>
      <c r="N30" s="173">
        <v>399.87</v>
      </c>
      <c r="O30" s="37">
        <f t="shared" si="4"/>
        <v>-8.0926301047840599E-2</v>
      </c>
      <c r="P30" s="45"/>
      <c r="Q30" s="99"/>
      <c r="R30" s="173">
        <v>428.76</v>
      </c>
      <c r="S30" s="591">
        <f t="shared" si="5"/>
        <v>-0.14285381098983119</v>
      </c>
      <c r="T30" s="48"/>
      <c r="U30" s="105" t="str">
        <f>_xll.BDP(D30&amp;" EQUITY",$X$1)</f>
        <v>7/25/2023</v>
      </c>
      <c r="V30" s="84">
        <f>_xll.BDP(D30&amp;" EQUITY",$Y$1)</f>
        <v>450</v>
      </c>
      <c r="W30" s="37">
        <f t="shared" si="6"/>
        <v>-0.18331111111111109</v>
      </c>
      <c r="X30" s="39">
        <f t="shared" si="7"/>
        <v>39</v>
      </c>
      <c r="Y30" s="47"/>
      <c r="Z30" s="105" t="str">
        <f>_xll.BDP(D30&amp;" EQUITY",$AC$1)</f>
        <v>2/22/2024</v>
      </c>
      <c r="AA30" s="77">
        <f>_xll.BDP(D30&amp;" EQUITY",$AD$1)</f>
        <v>353.15</v>
      </c>
      <c r="AB30" s="37">
        <f t="shared" si="8"/>
        <v>4.0662607956958752E-2</v>
      </c>
      <c r="AC30" s="40">
        <f t="shared" si="9"/>
        <v>43</v>
      </c>
      <c r="AD30" s="47"/>
      <c r="AE30" s="36"/>
      <c r="AF30" s="123"/>
      <c r="AG30" s="107"/>
      <c r="AH30" s="3" t="s">
        <v>122</v>
      </c>
      <c r="AI30" s="47"/>
      <c r="AJ30" s="22" t="s">
        <v>34</v>
      </c>
      <c r="AK30">
        <v>50.33</v>
      </c>
      <c r="AL30" s="96"/>
      <c r="AW30"/>
      <c r="AY30"/>
    </row>
    <row r="31" spans="2:51" x14ac:dyDescent="0.25">
      <c r="B31" s="117">
        <v>1E-4</v>
      </c>
      <c r="C31" s="25">
        <f t="shared" si="12"/>
        <v>1.556911229029424E-2</v>
      </c>
      <c r="D31" s="3" t="s">
        <v>5</v>
      </c>
      <c r="E31" s="101">
        <v>100000</v>
      </c>
      <c r="F31" s="9">
        <f>_xll.BDP(D31&amp;" EQUITY",$H$1)</f>
        <v>98.47</v>
      </c>
      <c r="G31" s="112">
        <f>_xll.BDP(D31&amp;" EQUITY",$I$1)</f>
        <v>2.71</v>
      </c>
      <c r="H31" s="127">
        <f>_xll.BDP(D31&amp;" EQUITY",$J$1)*0.01</f>
        <v>2.8299919999999999E-2</v>
      </c>
      <c r="I31" s="157">
        <f t="shared" si="1"/>
        <v>1</v>
      </c>
      <c r="J31" s="161">
        <f t="shared" si="2"/>
        <v>271000</v>
      </c>
      <c r="K31" s="99"/>
      <c r="L31" s="62">
        <f t="shared" si="3"/>
        <v>9847000</v>
      </c>
      <c r="M31" s="99"/>
      <c r="N31" s="173">
        <v>71.959999999999994</v>
      </c>
      <c r="O31" s="37">
        <f t="shared" si="4"/>
        <v>0.36839911061700947</v>
      </c>
      <c r="P31" s="45"/>
      <c r="Q31" s="99"/>
      <c r="R31" s="173">
        <v>44.83</v>
      </c>
      <c r="S31" s="591">
        <f t="shared" si="5"/>
        <v>1.1965201873745261</v>
      </c>
      <c r="T31" s="48"/>
      <c r="U31" s="105" t="str">
        <f>_xll.BDP(D31&amp;" EQUITY",$X$1)</f>
        <v>6/18/2024</v>
      </c>
      <c r="V31" s="84">
        <f>_xll.BDP(D31&amp;" EQUITY",$Y$1)</f>
        <v>99.54</v>
      </c>
      <c r="W31" s="37">
        <f t="shared" si="6"/>
        <v>-1.0749447458308303E-2</v>
      </c>
      <c r="X31" s="39">
        <f t="shared" si="7"/>
        <v>7</v>
      </c>
      <c r="Y31" s="47"/>
      <c r="Z31" s="105" t="str">
        <f>_xll.BDP(D31&amp;" EQUITY",$AC$1)</f>
        <v>11/10/2023</v>
      </c>
      <c r="AA31" s="77">
        <f>_xll.BDP(D31&amp;" EQUITY",$AD$1)</f>
        <v>60.23</v>
      </c>
      <c r="AB31" s="37">
        <f t="shared" si="8"/>
        <v>0.63489955171841284</v>
      </c>
      <c r="AC31" s="106">
        <f t="shared" si="9"/>
        <v>7</v>
      </c>
      <c r="AD31" s="47"/>
      <c r="AE31" s="36">
        <v>80.099999999999994</v>
      </c>
      <c r="AF31" s="37">
        <f t="shared" ref="AF31:AF38" si="13">+F31/AE31-1</f>
        <v>0.22933832709113622</v>
      </c>
      <c r="AG31" s="39">
        <f t="shared" ref="AG31:AG38" si="14">+RANK(AF31,$AF$4:$AF$55)</f>
        <v>22</v>
      </c>
      <c r="AH31" s="3" t="s">
        <v>5</v>
      </c>
      <c r="AI31" s="47"/>
      <c r="AJ31" s="22" t="s">
        <v>22</v>
      </c>
      <c r="AK31">
        <v>119.92</v>
      </c>
      <c r="AL31" s="96"/>
      <c r="AW31"/>
      <c r="AY31"/>
    </row>
    <row r="32" spans="2:51" x14ac:dyDescent="0.25">
      <c r="B32" s="25">
        <v>1.5100000000000001E-2</v>
      </c>
      <c r="C32" s="25">
        <f t="shared" si="12"/>
        <v>2.4568555660140892E-2</v>
      </c>
      <c r="D32" s="3" t="s">
        <v>32</v>
      </c>
      <c r="E32" s="101">
        <v>32000</v>
      </c>
      <c r="F32" s="9">
        <f>_xll.BDP(D32&amp;" EQUITY",$H$1)</f>
        <v>485.59</v>
      </c>
      <c r="G32" s="112">
        <f>_xll.BDP(D32&amp;" EQUITY",$I$1)</f>
        <v>-4.3899999999999997</v>
      </c>
      <c r="H32" s="127">
        <f>_xll.BDP(D32&amp;" EQUITY",$J$1)*0.01</f>
        <v>-8.9595490000000007E-3</v>
      </c>
      <c r="I32" s="157">
        <f t="shared" si="1"/>
        <v>34</v>
      </c>
      <c r="J32" s="161">
        <f t="shared" si="2"/>
        <v>-140480</v>
      </c>
      <c r="K32" s="99"/>
      <c r="L32" s="62">
        <f t="shared" si="3"/>
        <v>15538880</v>
      </c>
      <c r="M32" s="99"/>
      <c r="N32" s="173">
        <v>526.47</v>
      </c>
      <c r="O32" s="37">
        <f t="shared" si="4"/>
        <v>-7.7649248770110479E-2</v>
      </c>
      <c r="P32" s="45"/>
      <c r="Q32" s="99"/>
      <c r="R32" s="173">
        <v>530.17999999999995</v>
      </c>
      <c r="S32" s="591">
        <f t="shared" si="5"/>
        <v>-8.4103512014787385E-2</v>
      </c>
      <c r="T32" s="48"/>
      <c r="U32" s="105" t="str">
        <f>_xll.BDP(D32&amp;" EQUITY",$X$1)</f>
        <v>12/1/2023</v>
      </c>
      <c r="V32" s="84">
        <f>_xll.BDP(D32&amp;" EQUITY",$Y$1)</f>
        <v>554.70000000000005</v>
      </c>
      <c r="W32" s="37">
        <f t="shared" si="6"/>
        <v>-0.12458986839733199</v>
      </c>
      <c r="X32" s="39">
        <f t="shared" si="7"/>
        <v>33</v>
      </c>
      <c r="Y32" s="47"/>
      <c r="Z32" s="105" t="str">
        <f>_xll.BDP(D32&amp;" EQUITY",$AC$1)</f>
        <v>4/12/2024</v>
      </c>
      <c r="AA32" s="77">
        <f>_xll.BDP(D32&amp;" EQUITY",$AD$1)</f>
        <v>436.38</v>
      </c>
      <c r="AB32" s="37">
        <f t="shared" si="8"/>
        <v>0.11276868784087268</v>
      </c>
      <c r="AC32" s="107">
        <f t="shared" si="9"/>
        <v>41</v>
      </c>
      <c r="AD32" s="47"/>
      <c r="AE32" s="38">
        <v>350.68</v>
      </c>
      <c r="AF32" s="37">
        <f t="shared" si="13"/>
        <v>0.38470970685525252</v>
      </c>
      <c r="AG32" s="106">
        <f t="shared" si="14"/>
        <v>15</v>
      </c>
      <c r="AH32" s="3" t="s">
        <v>32</v>
      </c>
      <c r="AI32" s="47"/>
      <c r="AJ32" s="22" t="s">
        <v>30</v>
      </c>
      <c r="AK32">
        <v>491.86</v>
      </c>
      <c r="AL32" s="96"/>
      <c r="AW32"/>
      <c r="AY32"/>
    </row>
    <row r="33" spans="1:51" x14ac:dyDescent="0.25">
      <c r="B33" s="25">
        <v>7.1199999999999999E-2</v>
      </c>
      <c r="C33" s="25">
        <f t="shared" si="12"/>
        <v>6.4590431598940026E-2</v>
      </c>
      <c r="D33" s="3" t="s">
        <v>37</v>
      </c>
      <c r="E33" s="29">
        <v>195000</v>
      </c>
      <c r="F33" s="9">
        <f>_xll.BDP(D33&amp;" EQUITY",$H$1)</f>
        <v>209.495</v>
      </c>
      <c r="G33" s="112">
        <f>_xll.BDP(D33&amp;" EQUITY",$I$1)</f>
        <v>1.355</v>
      </c>
      <c r="H33" s="127">
        <f>_xll.BDP(D33&amp;" EQUITY",$J$1)*0.01</f>
        <v>6.5100410000000003E-3</v>
      </c>
      <c r="I33" s="157">
        <f t="shared" si="1"/>
        <v>10</v>
      </c>
      <c r="J33" s="161">
        <f t="shared" si="2"/>
        <v>264225</v>
      </c>
      <c r="K33" s="99"/>
      <c r="L33" s="62">
        <f t="shared" si="3"/>
        <v>40851525</v>
      </c>
      <c r="M33" s="99"/>
      <c r="N33" s="173">
        <v>192.53</v>
      </c>
      <c r="O33" s="37">
        <f t="shared" si="4"/>
        <v>8.8116137744767009E-2</v>
      </c>
      <c r="P33" s="45"/>
      <c r="Q33" s="99"/>
      <c r="R33" s="173">
        <v>129.93</v>
      </c>
      <c r="S33" s="591">
        <f t="shared" si="5"/>
        <v>0.61236819826060174</v>
      </c>
      <c r="T33" s="48"/>
      <c r="U33" s="105" t="str">
        <f>_xll.BDP(D33&amp;" EQUITY",$X$1)</f>
        <v>6/12/2024</v>
      </c>
      <c r="V33" s="84">
        <f>_xll.BDP(D33&amp;" EQUITY",$Y$1)</f>
        <v>220.2</v>
      </c>
      <c r="W33" s="37">
        <f t="shared" si="6"/>
        <v>-4.8614895549500381E-2</v>
      </c>
      <c r="X33" s="106">
        <f t="shared" si="7"/>
        <v>17</v>
      </c>
      <c r="Y33" s="119"/>
      <c r="Z33" s="105" t="str">
        <f>_xll.BDP(D33&amp;" EQUITY",$AC$1)</f>
        <v>4/19/2024</v>
      </c>
      <c r="AA33" s="77">
        <f>_xll.BDP(D33&amp;" EQUITY",$AD$1)</f>
        <v>164.07499999999999</v>
      </c>
      <c r="AB33" s="37">
        <f t="shared" si="8"/>
        <v>0.2768246228858755</v>
      </c>
      <c r="AC33" s="40">
        <f t="shared" si="9"/>
        <v>33</v>
      </c>
      <c r="AD33" s="47"/>
      <c r="AE33" s="36">
        <v>132.69</v>
      </c>
      <c r="AF33" s="37">
        <f t="shared" si="13"/>
        <v>0.57883035646996772</v>
      </c>
      <c r="AG33" s="40">
        <f t="shared" si="14"/>
        <v>11</v>
      </c>
      <c r="AH33" s="3" t="s">
        <v>37</v>
      </c>
      <c r="AI33" s="47"/>
      <c r="AJ33" s="22" t="s">
        <v>18</v>
      </c>
      <c r="AK33">
        <v>154.88999999999999</v>
      </c>
      <c r="AL33" s="96"/>
      <c r="AW33"/>
      <c r="AY33"/>
    </row>
    <row r="34" spans="1:51" x14ac:dyDescent="0.25">
      <c r="B34" s="117">
        <v>1E-4</v>
      </c>
      <c r="C34" s="25">
        <f t="shared" si="12"/>
        <v>1.9607247030764587E-2</v>
      </c>
      <c r="D34" s="3" t="s">
        <v>14</v>
      </c>
      <c r="E34" s="29">
        <v>100000</v>
      </c>
      <c r="F34" s="9">
        <f>_xll.BDP(D34&amp;" EQUITY",$H$1)</f>
        <v>124.01</v>
      </c>
      <c r="G34" s="112">
        <f>_xll.BDP(D34&amp;" EQUITY",$I$1)</f>
        <v>-1.25</v>
      </c>
      <c r="H34" s="127">
        <f>_xll.BDP(D34&amp;" EQUITY",$J$1)*0.01</f>
        <v>-9.9792430000000005E-3</v>
      </c>
      <c r="I34" s="157">
        <f t="shared" si="1"/>
        <v>37</v>
      </c>
      <c r="J34" s="161">
        <f t="shared" si="2"/>
        <v>-125000</v>
      </c>
      <c r="K34" s="99"/>
      <c r="L34" s="62">
        <f t="shared" si="3"/>
        <v>12401000</v>
      </c>
      <c r="M34" s="99"/>
      <c r="N34" s="173">
        <v>130.91999999999999</v>
      </c>
      <c r="O34" s="37">
        <f t="shared" si="4"/>
        <v>-5.2780323861900236E-2</v>
      </c>
      <c r="P34" s="45"/>
      <c r="Q34" s="99"/>
      <c r="R34" s="173">
        <v>74.19</v>
      </c>
      <c r="S34" s="591">
        <f t="shared" si="5"/>
        <v>0.67151907265130073</v>
      </c>
      <c r="T34" s="48"/>
      <c r="U34" s="105" t="str">
        <f>_xll.BDP(D34&amp;" EQUITY",$X$1)</f>
        <v>3/21/2024</v>
      </c>
      <c r="V34" s="84">
        <f>_xll.BDP(D34&amp;" EQUITY",$Y$1)</f>
        <v>133.56</v>
      </c>
      <c r="W34" s="37">
        <f t="shared" si="6"/>
        <v>-7.1503444144953576E-2</v>
      </c>
      <c r="X34" s="107">
        <f t="shared" si="7"/>
        <v>26</v>
      </c>
      <c r="Y34" s="47"/>
      <c r="Z34" s="105" t="str">
        <f>_xll.BDP(D34&amp;" EQUITY",$AC$1)</f>
        <v>6/26/2023</v>
      </c>
      <c r="AA34" s="77">
        <f>_xll.BDP(D34&amp;" EQUITY",$AD$1)</f>
        <v>87.59</v>
      </c>
      <c r="AB34" s="37">
        <f t="shared" si="8"/>
        <v>0.4158008905126156</v>
      </c>
      <c r="AC34" s="39">
        <f t="shared" si="9"/>
        <v>17</v>
      </c>
      <c r="AD34" s="47"/>
      <c r="AE34" s="38">
        <v>64.81</v>
      </c>
      <c r="AF34" s="37">
        <f t="shared" si="13"/>
        <v>0.91343928406110164</v>
      </c>
      <c r="AG34" s="106">
        <f t="shared" si="14"/>
        <v>5</v>
      </c>
      <c r="AH34" s="3" t="s">
        <v>14</v>
      </c>
      <c r="AI34" s="47"/>
      <c r="AJ34" s="22" t="s">
        <v>25</v>
      </c>
      <c r="AK34">
        <v>355.41</v>
      </c>
      <c r="AL34" s="96"/>
      <c r="AW34"/>
      <c r="AY34"/>
    </row>
    <row r="35" spans="1:51" x14ac:dyDescent="0.25">
      <c r="B35" s="25">
        <v>8.9999999999999998E-4</v>
      </c>
      <c r="C35" s="109">
        <f t="shared" si="12"/>
        <v>1.7791201074527099E-2</v>
      </c>
      <c r="D35" s="3" t="s">
        <v>16</v>
      </c>
      <c r="E35" s="101">
        <v>23000</v>
      </c>
      <c r="F35" s="9">
        <f>_xll.BDP(D35&amp;" EQUITY",$H$1)</f>
        <v>489.23500000000001</v>
      </c>
      <c r="G35" s="112">
        <f>_xll.BDP(D35&amp;" EQUITY",$I$1)</f>
        <v>-2.2549999999999999</v>
      </c>
      <c r="H35" s="127">
        <f>_xll.BDP(D35&amp;" EQUITY",$J$1)*0.01</f>
        <v>-4.5880890000000001E-3</v>
      </c>
      <c r="I35" s="157">
        <f t="shared" si="1"/>
        <v>27</v>
      </c>
      <c r="J35" s="161">
        <f t="shared" si="2"/>
        <v>-51865</v>
      </c>
      <c r="K35" s="99"/>
      <c r="L35" s="62">
        <f t="shared" si="3"/>
        <v>11252405</v>
      </c>
      <c r="M35" s="99"/>
      <c r="N35" s="173">
        <v>555.04999999999995</v>
      </c>
      <c r="O35" s="37">
        <f t="shared" si="4"/>
        <v>-0.11857490316187724</v>
      </c>
      <c r="P35" s="45"/>
      <c r="Q35" s="99"/>
      <c r="R35" s="173">
        <v>407.96</v>
      </c>
      <c r="S35" s="591">
        <f t="shared" si="5"/>
        <v>0.19922296303559173</v>
      </c>
      <c r="T35" s="48"/>
      <c r="U35" s="105" t="str">
        <f>_xll.BDP(D35&amp;" EQUITY",$X$1)</f>
        <v>3/1/2024</v>
      </c>
      <c r="V35" s="84">
        <f>_xll.BDP(D35&amp;" EQUITY",$Y$1)</f>
        <v>583.39</v>
      </c>
      <c r="W35" s="37">
        <f t="shared" si="6"/>
        <v>-0.1613928932617974</v>
      </c>
      <c r="X35" s="40">
        <f t="shared" si="7"/>
        <v>37</v>
      </c>
      <c r="Y35" s="47"/>
      <c r="Z35" s="105" t="str">
        <f>_xll.BDP(D35&amp;" EQUITY",$AC$1)</f>
        <v>11/1/2023</v>
      </c>
      <c r="AA35" s="77">
        <f>_xll.BDP(D35&amp;" EQUITY",$AD$1)</f>
        <v>372.5</v>
      </c>
      <c r="AB35" s="37">
        <f t="shared" si="8"/>
        <v>0.3133825503355705</v>
      </c>
      <c r="AC35" s="106">
        <f t="shared" si="9"/>
        <v>28</v>
      </c>
      <c r="AD35" s="47"/>
      <c r="AE35" s="38">
        <v>499.87</v>
      </c>
      <c r="AF35" s="123">
        <f t="shared" si="13"/>
        <v>-2.1275531638225931E-2</v>
      </c>
      <c r="AG35" s="39">
        <f t="shared" si="14"/>
        <v>33</v>
      </c>
      <c r="AH35" s="3" t="s">
        <v>16</v>
      </c>
      <c r="AI35" s="47"/>
      <c r="AJ35" s="22" t="s">
        <v>55</v>
      </c>
      <c r="AK35">
        <v>651.97</v>
      </c>
      <c r="AL35" s="96"/>
      <c r="AW35"/>
      <c r="AY35"/>
    </row>
    <row r="36" spans="1:51" x14ac:dyDescent="0.25">
      <c r="B36" s="117">
        <v>1E-4</v>
      </c>
      <c r="C36" s="25">
        <v>1.0500000000000001E-2</v>
      </c>
      <c r="D36" s="3" t="s">
        <v>3</v>
      </c>
      <c r="E36" s="101">
        <v>85000</v>
      </c>
      <c r="F36" s="9">
        <f>_xll.BDP(D36&amp;" EQUITY",$H$1)</f>
        <v>73.22</v>
      </c>
      <c r="G36" s="112">
        <f>_xll.BDP(D36&amp;" EQUITY",$I$1)</f>
        <v>0.2</v>
      </c>
      <c r="H36" s="127">
        <f>_xll.BDP(D36&amp;" EQUITY",$J$1)*0.01</f>
        <v>2.7389760000000002E-3</v>
      </c>
      <c r="I36" s="157">
        <f t="shared" si="1"/>
        <v>15</v>
      </c>
      <c r="J36" s="161">
        <f t="shared" si="2"/>
        <v>17000</v>
      </c>
      <c r="K36" s="99"/>
      <c r="L36" s="62">
        <f t="shared" si="3"/>
        <v>6223700</v>
      </c>
      <c r="M36" s="99"/>
      <c r="N36" s="173">
        <v>73</v>
      </c>
      <c r="O36" s="37">
        <f t="shared" si="4"/>
        <v>3.0136986301370072E-3</v>
      </c>
      <c r="P36" s="45"/>
      <c r="Q36" s="99"/>
      <c r="R36" s="173">
        <v>78.8</v>
      </c>
      <c r="S36" s="591">
        <f t="shared" si="5"/>
        <v>-7.081218274111678E-2</v>
      </c>
      <c r="T36" s="48"/>
      <c r="U36" s="105" t="str">
        <f>_xll.BDP(D36&amp;" EQUITY",$X$1)</f>
        <v>1/8/2024</v>
      </c>
      <c r="V36" s="84">
        <f>_xll.BDP(D36&amp;" EQUITY",$Y$1)</f>
        <v>75.86</v>
      </c>
      <c r="W36" s="37">
        <f t="shared" si="6"/>
        <v>-3.48009491167941E-2</v>
      </c>
      <c r="X36" s="107">
        <f t="shared" si="7"/>
        <v>15</v>
      </c>
      <c r="Y36" s="47"/>
      <c r="Z36" s="105" t="str">
        <f>_xll.BDP(D36&amp;" EQUITY",$AC$1)</f>
        <v>9/26/2023</v>
      </c>
      <c r="AA36" s="77">
        <f>_xll.BDP(D36&amp;" EQUITY",$AD$1)</f>
        <v>44.13</v>
      </c>
      <c r="AB36" s="37">
        <f t="shared" si="8"/>
        <v>0.65918876048039876</v>
      </c>
      <c r="AC36" s="40">
        <f t="shared" si="9"/>
        <v>6</v>
      </c>
      <c r="AD36" s="47"/>
      <c r="AE36" s="36">
        <v>77.63</v>
      </c>
      <c r="AF36" s="37">
        <f t="shared" si="13"/>
        <v>-5.680793507664561E-2</v>
      </c>
      <c r="AG36" s="39">
        <f t="shared" si="14"/>
        <v>34</v>
      </c>
      <c r="AH36" s="3" t="s">
        <v>3</v>
      </c>
      <c r="AI36" s="47"/>
      <c r="AJ36" s="22" t="s">
        <v>69</v>
      </c>
      <c r="AK36">
        <v>152.31</v>
      </c>
      <c r="AL36" s="96"/>
      <c r="AW36"/>
      <c r="AY36"/>
    </row>
    <row r="37" spans="1:51" x14ac:dyDescent="0.25">
      <c r="B37" s="25">
        <v>4.0000000000000002E-4</v>
      </c>
      <c r="C37" s="25">
        <f>+L37/$L$60</f>
        <v>1.2274886083649777E-2</v>
      </c>
      <c r="D37" s="3" t="s">
        <v>26</v>
      </c>
      <c r="E37" s="101">
        <v>25000</v>
      </c>
      <c r="F37" s="9">
        <f>_xll.BDP(D37&amp;" EQUITY",$H$1)</f>
        <v>310.54000000000002</v>
      </c>
      <c r="G37" s="112">
        <f>_xll.BDP(D37&amp;" EQUITY",$I$1)</f>
        <v>-27.37</v>
      </c>
      <c r="H37" s="127">
        <f>_xll.BDP(D37&amp;" EQUITY",$J$1)*0.01</f>
        <v>-8.0997900000000012E-2</v>
      </c>
      <c r="I37" s="157">
        <f t="shared" si="1"/>
        <v>46</v>
      </c>
      <c r="J37" s="161">
        <f t="shared" si="2"/>
        <v>-684250</v>
      </c>
      <c r="K37" s="99"/>
      <c r="L37" s="62">
        <f t="shared" si="3"/>
        <v>7763500.0000000009</v>
      </c>
      <c r="M37" s="99"/>
      <c r="N37" s="173">
        <v>398.71</v>
      </c>
      <c r="O37" s="37">
        <f t="shared" si="4"/>
        <v>-0.22113817060018548</v>
      </c>
      <c r="P37" s="45"/>
      <c r="Q37" s="99"/>
      <c r="R37" s="173">
        <v>302.33</v>
      </c>
      <c r="S37" s="591">
        <f t="shared" si="5"/>
        <v>2.7155756954321486E-2</v>
      </c>
      <c r="T37" s="48"/>
      <c r="U37" s="105" t="str">
        <f>_xll.BDP(D37&amp;" EQUITY",$X$1)</f>
        <v>3/8/2024</v>
      </c>
      <c r="V37" s="84">
        <f>_xll.BDP(D37&amp;" EQUITY",$Y$1)</f>
        <v>422.73</v>
      </c>
      <c r="W37" s="37">
        <f t="shared" si="6"/>
        <v>-0.2653939867054621</v>
      </c>
      <c r="X37" s="39">
        <f t="shared" si="7"/>
        <v>41</v>
      </c>
      <c r="Y37" s="47"/>
      <c r="Z37" s="105" t="str">
        <f>_xll.BDP(D37&amp;" EQUITY",$AC$1)</f>
        <v>6/25/2024</v>
      </c>
      <c r="AA37" s="77">
        <f>_xll.BDP(D37&amp;" EQUITY",$AD$1)</f>
        <v>299.24</v>
      </c>
      <c r="AB37" s="37">
        <f t="shared" si="8"/>
        <v>3.776233123913908E-2</v>
      </c>
      <c r="AC37" s="39">
        <f t="shared" si="9"/>
        <v>44</v>
      </c>
      <c r="AD37" s="47"/>
      <c r="AE37" s="36">
        <v>372.5</v>
      </c>
      <c r="AF37" s="37">
        <f t="shared" si="13"/>
        <v>-0.16633557046979863</v>
      </c>
      <c r="AG37" s="39">
        <f t="shared" si="14"/>
        <v>37</v>
      </c>
      <c r="AH37" s="3" t="s">
        <v>26</v>
      </c>
      <c r="AI37" s="47"/>
      <c r="AJ37" s="22" t="s">
        <v>78</v>
      </c>
      <c r="AK37">
        <v>41.93</v>
      </c>
      <c r="AL37" s="96"/>
      <c r="AW37"/>
      <c r="AY37"/>
    </row>
    <row r="38" spans="1:51" x14ac:dyDescent="0.25">
      <c r="B38" s="85">
        <v>3.7000000000000002E-3</v>
      </c>
      <c r="C38" s="25">
        <f>+L38/$L$60</f>
        <v>4.075132529400261E-3</v>
      </c>
      <c r="D38" s="3" t="s">
        <v>149</v>
      </c>
      <c r="E38" s="101">
        <v>35000</v>
      </c>
      <c r="F38" s="9">
        <f>_xll.BDP(D38&amp;" EQUITY",$H$1)</f>
        <v>73.64</v>
      </c>
      <c r="G38" s="112">
        <f>_xll.BDP(D38&amp;" EQUITY",$I$1)</f>
        <v>-0.89</v>
      </c>
      <c r="H38" s="127">
        <f>_xll.BDP(D38&amp;" EQUITY",$J$1)*0.01</f>
        <v>-1.1941500000000001E-2</v>
      </c>
      <c r="I38" s="157">
        <f t="shared" si="1"/>
        <v>39</v>
      </c>
      <c r="J38" s="161">
        <f t="shared" si="2"/>
        <v>-31150</v>
      </c>
      <c r="K38" s="99"/>
      <c r="L38" s="62">
        <f t="shared" si="3"/>
        <v>2577400</v>
      </c>
      <c r="M38" s="99"/>
      <c r="N38" s="173">
        <v>68.8</v>
      </c>
      <c r="O38" s="37">
        <f t="shared" si="4"/>
        <v>7.0348837209302406E-2</v>
      </c>
      <c r="P38" s="45"/>
      <c r="Q38" s="99"/>
      <c r="R38" s="173">
        <v>83.26</v>
      </c>
      <c r="S38" s="591">
        <f t="shared" si="5"/>
        <v>-0.11554167667547444</v>
      </c>
      <c r="T38" s="48"/>
      <c r="U38" s="105" t="str">
        <f>_xll.BDP(D38&amp;" EQUITY",$X$1)</f>
        <v>5/22/2024</v>
      </c>
      <c r="V38" s="84">
        <f>_xll.BDP(D38&amp;" EQUITY",$Y$1)</f>
        <v>79.489999999999995</v>
      </c>
      <c r="W38" s="37">
        <f t="shared" si="6"/>
        <v>-7.3594162787771977E-2</v>
      </c>
      <c r="X38" s="107">
        <f t="shared" si="7"/>
        <v>28</v>
      </c>
      <c r="Y38" s="47"/>
      <c r="Z38" s="105" t="str">
        <f>_xll.BDP(D38&amp;" EQUITY",$AC$1)</f>
        <v>10/25/2023</v>
      </c>
      <c r="AA38" s="77">
        <f>_xll.BDP(D38&amp;" EQUITY",$AD$1)</f>
        <v>48.66</v>
      </c>
      <c r="AB38" s="37">
        <f t="shared" si="8"/>
        <v>0.51335799424578732</v>
      </c>
      <c r="AC38" s="39">
        <f t="shared" si="9"/>
        <v>13</v>
      </c>
      <c r="AD38" s="47"/>
      <c r="AE38" s="38">
        <v>53.04</v>
      </c>
      <c r="AF38" s="123">
        <f t="shared" si="13"/>
        <v>0.38838612368024128</v>
      </c>
      <c r="AG38" s="107">
        <f t="shared" si="14"/>
        <v>14</v>
      </c>
      <c r="AH38" s="3" t="s">
        <v>149</v>
      </c>
      <c r="AI38" s="47"/>
      <c r="AJ38" s="22"/>
      <c r="AL38" s="96"/>
      <c r="AW38"/>
      <c r="AY38"/>
    </row>
    <row r="39" spans="1:51" x14ac:dyDescent="0.25">
      <c r="B39" s="25">
        <v>1.2800000000000001E-2</v>
      </c>
      <c r="C39" s="25">
        <f>+L39/$L$60</f>
        <v>5.8720487314384692E-3</v>
      </c>
      <c r="D39" s="3" t="s">
        <v>487</v>
      </c>
      <c r="E39" s="101">
        <v>20000</v>
      </c>
      <c r="F39" s="9">
        <f>_xll.BDP(D39&amp;" EQUITY",$H$1)</f>
        <v>185.69479999999999</v>
      </c>
      <c r="G39" s="112">
        <f>_xll.BDP(D39&amp;" EQUITY",$I$1)</f>
        <v>3.1147999999999998</v>
      </c>
      <c r="H39" s="127">
        <f>_xll.BDP(D39&amp;" EQUITY",$J$1)*0.01</f>
        <v>1.7059919999999999E-2</v>
      </c>
      <c r="I39" s="157">
        <f t="shared" si="1"/>
        <v>3</v>
      </c>
      <c r="J39" s="161">
        <f t="shared" si="2"/>
        <v>62295.999999999993</v>
      </c>
      <c r="K39" s="99"/>
      <c r="L39" s="62">
        <f t="shared" si="3"/>
        <v>3713895.9999999995</v>
      </c>
      <c r="M39" s="99"/>
      <c r="N39" s="173">
        <v>248.48</v>
      </c>
      <c r="O39" s="37">
        <f t="shared" si="4"/>
        <v>-0.25267707662588546</v>
      </c>
      <c r="P39" s="45"/>
      <c r="Q39" s="99"/>
      <c r="R39" s="173">
        <v>123.18</v>
      </c>
      <c r="S39" s="591">
        <f t="shared" si="5"/>
        <v>0.50750771229095615</v>
      </c>
      <c r="T39" s="48"/>
      <c r="U39" s="105" t="str">
        <f>_xll.BDP(D39&amp;" EQUITY",$X$1)</f>
        <v>7/19/2023</v>
      </c>
      <c r="V39" s="84">
        <f>_xll.BDP(D39&amp;" EQUITY",$Y$1)</f>
        <v>299.29000000000002</v>
      </c>
      <c r="W39" s="37">
        <f t="shared" si="6"/>
        <v>-0.37954893247352073</v>
      </c>
      <c r="X39" s="40">
        <f t="shared" si="7"/>
        <v>44</v>
      </c>
      <c r="Y39" s="47"/>
      <c r="Z39" s="105"/>
      <c r="AA39" s="77"/>
      <c r="AB39" s="37"/>
      <c r="AC39" s="106"/>
      <c r="AD39" s="47"/>
      <c r="AE39" s="38"/>
      <c r="AF39" s="123"/>
      <c r="AG39" s="39"/>
      <c r="AH39" s="3"/>
      <c r="AI39" s="47"/>
      <c r="AJ39" s="22" t="s">
        <v>92</v>
      </c>
      <c r="AK39">
        <v>90.69</v>
      </c>
      <c r="AL39" s="96"/>
      <c r="AW39"/>
      <c r="AY39"/>
    </row>
    <row r="40" spans="1:51" x14ac:dyDescent="0.25">
      <c r="B40" s="85"/>
      <c r="C40" s="25"/>
      <c r="D40" s="3" t="s">
        <v>786</v>
      </c>
      <c r="E40" s="101">
        <v>17000</v>
      </c>
      <c r="F40" s="9">
        <f>_xll.BDP(D40&amp;" EQUITY",$H$1)</f>
        <v>124.07</v>
      </c>
      <c r="G40" s="112">
        <f>_xll.BDP(D40&amp;" EQUITY",$I$1)</f>
        <v>-0.73</v>
      </c>
      <c r="H40" s="127">
        <f>_xll.BDP(D40&amp;" EQUITY",$J$1)*0.01</f>
        <v>-5.8493589999999993E-3</v>
      </c>
      <c r="I40" s="157">
        <f t="shared" ref="I40" si="15">+RANK(H40,$H$4:$H$55)</f>
        <v>31</v>
      </c>
      <c r="J40" s="161">
        <f t="shared" ref="J40" si="16">+G40*E40</f>
        <v>-12410</v>
      </c>
      <c r="K40" s="99"/>
      <c r="L40" s="62">
        <f t="shared" ref="L40" si="17">+F40*E40</f>
        <v>2109190</v>
      </c>
      <c r="M40" s="99"/>
      <c r="N40" s="173">
        <v>199</v>
      </c>
      <c r="O40" s="37">
        <f t="shared" ref="O40" si="18">+F40/N40-1</f>
        <v>-0.37653266331658297</v>
      </c>
      <c r="P40" s="337"/>
      <c r="Q40" s="99"/>
      <c r="R40" s="38"/>
      <c r="S40" s="591"/>
      <c r="T40" s="48"/>
      <c r="U40" s="105"/>
      <c r="V40" s="84"/>
      <c r="W40" s="37"/>
      <c r="X40" s="39"/>
      <c r="Z40" s="105"/>
      <c r="AA40" s="84"/>
      <c r="AB40" s="37"/>
      <c r="AC40" s="39"/>
      <c r="AE40" s="38"/>
      <c r="AF40" s="37"/>
      <c r="AG40" s="39"/>
      <c r="AI40" s="47"/>
      <c r="AJ40" s="22" t="s">
        <v>79</v>
      </c>
      <c r="AK40">
        <v>187.35</v>
      </c>
      <c r="AL40" s="96"/>
      <c r="AW40"/>
      <c r="AY40"/>
    </row>
    <row r="41" spans="1:51" x14ac:dyDescent="0.25">
      <c r="B41" s="85"/>
      <c r="C41" s="25"/>
      <c r="D41" s="3"/>
      <c r="E41" s="101"/>
      <c r="F41" s="9"/>
      <c r="G41" s="112"/>
      <c r="H41" s="127"/>
      <c r="I41" s="157"/>
      <c r="J41" s="161"/>
      <c r="K41" s="99"/>
      <c r="L41" s="62"/>
      <c r="M41" s="99"/>
      <c r="N41" s="764"/>
      <c r="P41" s="337"/>
      <c r="Q41" s="99"/>
      <c r="R41" s="38"/>
      <c r="S41" s="591"/>
      <c r="T41" s="48"/>
      <c r="U41" s="105"/>
      <c r="V41" s="84"/>
      <c r="W41" s="37"/>
      <c r="X41" s="39"/>
      <c r="Z41" s="105"/>
      <c r="AA41" s="84"/>
      <c r="AB41" s="37"/>
      <c r="AC41" s="39"/>
      <c r="AE41" s="38"/>
      <c r="AF41" s="37"/>
      <c r="AG41" s="39"/>
      <c r="AI41" s="47"/>
      <c r="AJ41" s="22"/>
      <c r="AL41" s="96"/>
      <c r="AW41"/>
      <c r="AY41"/>
    </row>
    <row r="42" spans="1:51" x14ac:dyDescent="0.25">
      <c r="B42" s="100"/>
      <c r="D42" s="3"/>
      <c r="E42" s="101"/>
      <c r="F42" s="9"/>
      <c r="G42" s="112"/>
      <c r="H42" s="127"/>
      <c r="I42" s="158"/>
      <c r="J42" s="161"/>
      <c r="K42" s="99"/>
      <c r="L42" s="125"/>
      <c r="M42" s="99"/>
      <c r="N42" s="764"/>
      <c r="P42" s="337"/>
      <c r="Q42" s="99"/>
      <c r="R42" s="36"/>
      <c r="S42" s="591"/>
      <c r="T42" s="48"/>
      <c r="U42" s="105"/>
      <c r="V42" s="77"/>
      <c r="W42" s="37"/>
      <c r="X42" s="39"/>
      <c r="Y42" s="47"/>
      <c r="Z42" s="105"/>
      <c r="AA42" s="77"/>
      <c r="AB42" s="37"/>
      <c r="AC42" s="39"/>
      <c r="AD42" s="47"/>
      <c r="AE42" s="36"/>
      <c r="AF42" s="37"/>
      <c r="AG42" s="39"/>
      <c r="AH42" s="47"/>
      <c r="AI42" s="47"/>
      <c r="AJ42" s="22"/>
      <c r="AL42" s="96"/>
      <c r="AW42"/>
      <c r="AY42"/>
    </row>
    <row r="43" spans="1:51" x14ac:dyDescent="0.25">
      <c r="A43" s="22"/>
      <c r="D43" s="3"/>
      <c r="E43" s="101"/>
      <c r="F43" s="9"/>
      <c r="G43" s="112"/>
      <c r="H43" s="113"/>
      <c r="I43" s="157"/>
      <c r="J43" s="161"/>
      <c r="K43" s="99"/>
      <c r="L43" s="81">
        <f>SUM(L4:L42)</f>
        <v>460940787</v>
      </c>
      <c r="M43" s="99"/>
      <c r="N43" s="764"/>
      <c r="P43" s="337"/>
      <c r="Q43" s="99"/>
      <c r="R43" s="36"/>
      <c r="S43" s="591"/>
      <c r="T43" s="48"/>
      <c r="U43" s="105"/>
      <c r="V43" s="77"/>
      <c r="W43" s="37"/>
      <c r="X43" s="39"/>
      <c r="Y43" s="47"/>
      <c r="Z43" s="105"/>
      <c r="AA43" s="77"/>
      <c r="AB43" s="37"/>
      <c r="AC43" s="39"/>
      <c r="AD43" s="47"/>
      <c r="AE43" s="36"/>
      <c r="AF43" s="37"/>
      <c r="AG43" s="39"/>
      <c r="AH43" s="47"/>
      <c r="AI43" s="47"/>
      <c r="AJ43" s="22"/>
      <c r="AL43" s="96"/>
      <c r="AW43"/>
      <c r="AY43"/>
    </row>
    <row r="44" spans="1:51" x14ac:dyDescent="0.25">
      <c r="D44" s="3"/>
      <c r="E44" s="29"/>
      <c r="F44" s="9"/>
      <c r="G44" s="112"/>
      <c r="H44" s="113"/>
      <c r="I44" s="157"/>
      <c r="J44" s="161"/>
      <c r="K44" s="99"/>
      <c r="L44" s="176"/>
      <c r="M44" s="99"/>
      <c r="N44" s="764"/>
      <c r="P44" s="337"/>
      <c r="Q44" s="99"/>
      <c r="R44" s="36"/>
      <c r="S44" s="591"/>
      <c r="T44" s="48"/>
      <c r="U44" s="105"/>
      <c r="V44" s="77"/>
      <c r="W44" s="37"/>
      <c r="X44" s="39"/>
      <c r="Y44" s="47"/>
      <c r="Z44" s="105"/>
      <c r="AA44" s="77"/>
      <c r="AB44" s="37"/>
      <c r="AC44" s="39"/>
      <c r="AD44" s="47"/>
      <c r="AE44" s="36"/>
      <c r="AF44" s="37"/>
      <c r="AG44" s="39"/>
      <c r="AH44" s="47"/>
      <c r="AI44" s="47"/>
      <c r="AJ44" s="22" t="s">
        <v>54</v>
      </c>
      <c r="AL44" s="96"/>
      <c r="AW44"/>
      <c r="AY44"/>
    </row>
    <row r="45" spans="1:51" ht="15.75" x14ac:dyDescent="0.25">
      <c r="D45" s="15" t="s">
        <v>54</v>
      </c>
      <c r="E45" s="29"/>
      <c r="F45" s="9"/>
      <c r="G45" s="112"/>
      <c r="H45" s="113"/>
      <c r="I45" s="157"/>
      <c r="J45" s="161"/>
      <c r="K45" s="99"/>
      <c r="L45" s="132"/>
      <c r="M45" s="99"/>
      <c r="N45" s="764"/>
      <c r="P45" s="337"/>
      <c r="Q45" s="99"/>
      <c r="R45" s="36"/>
      <c r="S45" s="591"/>
      <c r="T45" s="48"/>
      <c r="U45" s="105"/>
      <c r="V45" s="77"/>
      <c r="W45" s="37"/>
      <c r="X45" s="39"/>
      <c r="Y45" s="47"/>
      <c r="Z45" s="105"/>
      <c r="AA45" s="77"/>
      <c r="AB45" s="37"/>
      <c r="AC45" s="39"/>
      <c r="AD45" s="47"/>
      <c r="AE45" s="36"/>
      <c r="AF45" s="37"/>
      <c r="AG45" s="39"/>
      <c r="AH45" s="47"/>
      <c r="AI45" s="47"/>
      <c r="AJ45" s="22"/>
      <c r="AL45" s="96"/>
      <c r="AW45"/>
      <c r="AY45"/>
    </row>
    <row r="46" spans="1:51" x14ac:dyDescent="0.25">
      <c r="A46">
        <f>5+27+8</f>
        <v>40</v>
      </c>
      <c r="C46" s="87"/>
      <c r="D46" s="3"/>
      <c r="E46" s="29"/>
      <c r="F46" s="9"/>
      <c r="G46" s="112"/>
      <c r="H46" s="113"/>
      <c r="I46" s="157"/>
      <c r="J46" s="161"/>
      <c r="K46" s="99"/>
      <c r="L46" s="132"/>
      <c r="M46" s="99"/>
      <c r="N46" s="764"/>
      <c r="P46" s="337"/>
      <c r="Q46" s="99"/>
      <c r="R46" s="36"/>
      <c r="S46" s="591"/>
      <c r="T46" s="48"/>
      <c r="U46" s="105"/>
      <c r="V46" s="77"/>
      <c r="W46" s="37"/>
      <c r="X46" s="39"/>
      <c r="Y46" s="47"/>
      <c r="Z46" s="105"/>
      <c r="AA46" s="77"/>
      <c r="AB46" s="37"/>
      <c r="AC46" s="39"/>
      <c r="AD46" s="47"/>
      <c r="AE46" s="36"/>
      <c r="AF46" s="37"/>
      <c r="AG46" s="39"/>
      <c r="AH46" s="47"/>
      <c r="AI46" s="47"/>
      <c r="AJ46" s="22" t="s">
        <v>45</v>
      </c>
      <c r="AK46">
        <v>542.32000000000005</v>
      </c>
      <c r="AL46" s="96"/>
      <c r="AW46"/>
      <c r="AY46"/>
    </row>
    <row r="47" spans="1:51" x14ac:dyDescent="0.25">
      <c r="A47">
        <f>9+37+38</f>
        <v>84</v>
      </c>
      <c r="C47" s="88">
        <f t="shared" ref="C47:C55" si="19">+L47/$L$60</f>
        <v>1.8856667827216681E-2</v>
      </c>
      <c r="D47" s="3" t="s">
        <v>50</v>
      </c>
      <c r="E47" s="29">
        <v>190000</v>
      </c>
      <c r="F47" s="9">
        <f>_xll.BDP(D47&amp;" EQUITY",$H$1)</f>
        <v>62.7699</v>
      </c>
      <c r="G47" s="112">
        <f>_xll.BDP(D47&amp;" EQUITY",$I$1)</f>
        <v>0.11990000000000001</v>
      </c>
      <c r="H47" s="113">
        <f>_xll.BDP(D47&amp;" EQUITY",$J$1)*0.01</f>
        <v>1.913807E-3</v>
      </c>
      <c r="I47" s="157">
        <f t="shared" ref="I47:I55" si="20">+RANK(H47,$H$4:$H$55)</f>
        <v>17</v>
      </c>
      <c r="J47" s="161">
        <f t="shared" ref="J47:J55" si="21">+G47*E47</f>
        <v>22781</v>
      </c>
      <c r="K47" s="99"/>
      <c r="L47" s="62">
        <f t="shared" ref="L47:L55" si="22">+F47*E47</f>
        <v>11926281</v>
      </c>
      <c r="M47" s="99"/>
      <c r="N47" s="173">
        <v>60.41</v>
      </c>
      <c r="O47" s="37">
        <f t="shared" ref="O47:O55" si="23">+F47/N47-1</f>
        <v>3.9064724383380378E-2</v>
      </c>
      <c r="P47" s="45" t="s">
        <v>61</v>
      </c>
      <c r="Q47" s="99"/>
      <c r="R47" s="173">
        <v>44.05</v>
      </c>
      <c r="S47" s="591">
        <f t="shared" ref="S47:S55" si="24">+F47/R47-1</f>
        <v>0.42496935300794569</v>
      </c>
      <c r="T47" s="7"/>
      <c r="U47" s="105" t="str">
        <f>_xll.BDP(D47&amp;" EQUITY",$X$1)</f>
        <v>2/9/2024</v>
      </c>
      <c r="V47" s="77">
        <f>_xll.BDP(D47&amp;" EQUITY",$Y$1)</f>
        <v>67.489998</v>
      </c>
      <c r="W47" s="37">
        <f t="shared" ref="W47:W55" si="25">+F47/V47-1</f>
        <v>-6.9937740996821485E-2</v>
      </c>
      <c r="X47" s="39">
        <f t="shared" ref="X47:X55" si="26">+RANK(W47,$W$4:$W$55)</f>
        <v>24</v>
      </c>
      <c r="Y47" s="47"/>
      <c r="Z47" s="105" t="str">
        <f>_xll.BDP(D47&amp;" EQUITY",$AC$1)</f>
        <v>8/18/2023</v>
      </c>
      <c r="AA47" s="77">
        <f>_xll.BDP(D47&amp;" EQUITY",$AD$1)</f>
        <v>48.700001</v>
      </c>
      <c r="AB47" s="37">
        <f t="shared" ref="AB47:AB55" si="27">+F47/AA47-1</f>
        <v>0.28890962445770785</v>
      </c>
      <c r="AC47" s="39">
        <f t="shared" ref="AC47:AC55" si="28">+RANK(AB47,$AB$4:$AB$55)</f>
        <v>32</v>
      </c>
      <c r="AD47" s="47"/>
      <c r="AE47" s="38">
        <v>61.45</v>
      </c>
      <c r="AF47" s="37">
        <f t="shared" ref="AF47:AF55" si="29">+F47/AE47-1</f>
        <v>2.147925142392193E-2</v>
      </c>
      <c r="AG47" s="39">
        <f t="shared" ref="AG47:AG55" si="30">+RANK(AF47,$AF$4:$AF$55)</f>
        <v>31</v>
      </c>
      <c r="AH47" s="47" t="s">
        <v>50</v>
      </c>
      <c r="AI47" s="47"/>
      <c r="AJ47" s="22" t="s">
        <v>44</v>
      </c>
      <c r="AK47">
        <v>76.959999999999994</v>
      </c>
      <c r="AL47" s="96"/>
      <c r="AW47"/>
      <c r="AY47"/>
    </row>
    <row r="48" spans="1:51" x14ac:dyDescent="0.25">
      <c r="C48" s="88">
        <f t="shared" si="19"/>
        <v>4.0588867054150095E-2</v>
      </c>
      <c r="D48" s="3" t="s">
        <v>44</v>
      </c>
      <c r="E48" s="29">
        <v>275000</v>
      </c>
      <c r="F48" s="9">
        <f>_xll.BDP(D48&amp;" EQUITY",$H$1)</f>
        <v>93.35</v>
      </c>
      <c r="G48" s="112">
        <f>_xll.BDP(D48&amp;" EQUITY",$I$1)</f>
        <v>0.32</v>
      </c>
      <c r="H48" s="113">
        <f>_xll.BDP(D48&amp;" EQUITY",$J$1)*0.01</f>
        <v>3.439751E-3</v>
      </c>
      <c r="I48" s="157">
        <f t="shared" si="20"/>
        <v>13</v>
      </c>
      <c r="J48" s="161">
        <f t="shared" si="21"/>
        <v>88000</v>
      </c>
      <c r="K48" s="99"/>
      <c r="L48" s="62">
        <f t="shared" si="22"/>
        <v>25671250</v>
      </c>
      <c r="M48" s="99"/>
      <c r="N48" s="173">
        <v>81.37</v>
      </c>
      <c r="O48" s="37">
        <f t="shared" si="23"/>
        <v>0.14722870836917767</v>
      </c>
      <c r="P48" s="45" t="s">
        <v>61</v>
      </c>
      <c r="Q48" s="99"/>
      <c r="R48" s="494">
        <v>77.740799999999993</v>
      </c>
      <c r="S48" s="765">
        <f t="shared" si="24"/>
        <v>0.20078517329381751</v>
      </c>
      <c r="T48" s="48"/>
      <c r="U48" s="105" t="str">
        <f>_xll.BDP(D48&amp;" EQUITY",$X$1)</f>
        <v>6/25/2024</v>
      </c>
      <c r="V48" s="77">
        <f>_xll.BDP(D48&amp;" EQUITY",$Y$1)</f>
        <v>93.43</v>
      </c>
      <c r="W48" s="37">
        <f t="shared" si="25"/>
        <v>-8.5625602055028338E-4</v>
      </c>
      <c r="X48" s="106">
        <f t="shared" si="26"/>
        <v>1</v>
      </c>
      <c r="Y48" s="47"/>
      <c r="Z48" s="105" t="str">
        <f>_xll.BDP(D48&amp;" EQUITY",$AC$1)</f>
        <v>10/27/2023</v>
      </c>
      <c r="AA48" s="77">
        <f>_xll.BDP(D48&amp;" EQUITY",$AD$1)</f>
        <v>74.05</v>
      </c>
      <c r="AB48" s="37">
        <f t="shared" si="27"/>
        <v>0.26063470627954088</v>
      </c>
      <c r="AC48" s="39">
        <f t="shared" si="28"/>
        <v>35</v>
      </c>
      <c r="AD48" s="47"/>
      <c r="AE48" s="36">
        <v>76.959999999999994</v>
      </c>
      <c r="AF48" s="37">
        <f t="shared" si="29"/>
        <v>0.21296777546777546</v>
      </c>
      <c r="AG48" s="39">
        <f t="shared" si="30"/>
        <v>23</v>
      </c>
      <c r="AH48" s="47" t="s">
        <v>44</v>
      </c>
      <c r="AI48" s="47"/>
      <c r="AJ48" s="22" t="s">
        <v>48</v>
      </c>
      <c r="AK48">
        <v>77.11</v>
      </c>
      <c r="AL48" s="96"/>
      <c r="AW48"/>
      <c r="AY48"/>
    </row>
    <row r="49" spans="3:52" x14ac:dyDescent="0.25">
      <c r="C49" s="88">
        <f t="shared" si="19"/>
        <v>1.635254837639567E-2</v>
      </c>
      <c r="D49" s="3" t="s">
        <v>47</v>
      </c>
      <c r="E49" s="29">
        <v>250000</v>
      </c>
      <c r="F49" s="9">
        <f>_xll.BDP(D49&amp;" EQUITY",$H$1)</f>
        <v>41.37</v>
      </c>
      <c r="G49" s="112">
        <f>_xll.BDP(D49&amp;" EQUITY",$I$1)</f>
        <v>-0.22</v>
      </c>
      <c r="H49" s="113">
        <f>_xll.BDP(D49&amp;" EQUITY",$J$1)*0.01</f>
        <v>-5.2897329999999996E-3</v>
      </c>
      <c r="I49" s="157">
        <f t="shared" si="20"/>
        <v>29</v>
      </c>
      <c r="J49" s="161">
        <f t="shared" si="21"/>
        <v>-55000</v>
      </c>
      <c r="K49" s="99"/>
      <c r="L49" s="155">
        <f t="shared" si="22"/>
        <v>10342500</v>
      </c>
      <c r="M49" s="99"/>
      <c r="N49" s="173">
        <v>37.6</v>
      </c>
      <c r="O49" s="37">
        <f t="shared" si="23"/>
        <v>0.10026595744680833</v>
      </c>
      <c r="P49" s="45" t="s">
        <v>61</v>
      </c>
      <c r="Q49" s="99"/>
      <c r="R49" s="173">
        <v>34.200000000000003</v>
      </c>
      <c r="S49" s="591">
        <f t="shared" si="24"/>
        <v>0.20964912280701742</v>
      </c>
      <c r="T49" s="48"/>
      <c r="U49" s="105" t="str">
        <f>_xll.BDP(D49&amp;" EQUITY",$X$1)</f>
        <v>5/17/2024</v>
      </c>
      <c r="V49" s="77">
        <f>_xll.BDP(D49&amp;" EQUITY",$Y$1)</f>
        <v>42.49</v>
      </c>
      <c r="W49" s="37">
        <f t="shared" si="25"/>
        <v>-2.635914332784195E-2</v>
      </c>
      <c r="X49" s="39">
        <f t="shared" si="26"/>
        <v>11</v>
      </c>
      <c r="Y49" s="47"/>
      <c r="Z49" s="105" t="str">
        <f>_xll.BDP(D49&amp;" EQUITY",$AC$1)</f>
        <v>10/27/2023</v>
      </c>
      <c r="AA49" s="77">
        <f>_xll.BDP(D49&amp;" EQUITY",$AD$1)</f>
        <v>31.355</v>
      </c>
      <c r="AB49" s="37">
        <f t="shared" si="27"/>
        <v>0.31940679317493204</v>
      </c>
      <c r="AC49" s="107">
        <f t="shared" si="28"/>
        <v>27</v>
      </c>
      <c r="AD49" s="47"/>
      <c r="AE49" s="36">
        <v>39.049999999999997</v>
      </c>
      <c r="AF49" s="37">
        <f t="shared" si="29"/>
        <v>5.9411011523687662E-2</v>
      </c>
      <c r="AG49" s="39">
        <f t="shared" si="30"/>
        <v>30</v>
      </c>
      <c r="AH49" s="47" t="s">
        <v>47</v>
      </c>
      <c r="AI49" s="47"/>
      <c r="AJ49" s="22" t="s">
        <v>47</v>
      </c>
      <c r="AK49">
        <v>39.049999999999997</v>
      </c>
      <c r="AL49" s="96"/>
      <c r="AW49"/>
      <c r="AY49"/>
    </row>
    <row r="50" spans="3:52" x14ac:dyDescent="0.25">
      <c r="C50" s="88">
        <f t="shared" si="19"/>
        <v>8.344481315253309E-2</v>
      </c>
      <c r="D50" s="3" t="s">
        <v>45</v>
      </c>
      <c r="E50" s="29">
        <v>216000</v>
      </c>
      <c r="F50" s="9">
        <f>_xll.BDP(D50&amp;" EQUITY",$H$1)</f>
        <v>244.33500000000001</v>
      </c>
      <c r="G50" s="112">
        <f>_xll.BDP(D50&amp;" EQUITY",$I$1)</f>
        <v>1.6850000000000001</v>
      </c>
      <c r="H50" s="113">
        <f>_xll.BDP(D50&amp;" EQUITY",$J$1)*0.01</f>
        <v>6.9441580000000006E-3</v>
      </c>
      <c r="I50" s="157">
        <f t="shared" si="20"/>
        <v>9</v>
      </c>
      <c r="J50" s="161">
        <f t="shared" si="21"/>
        <v>363960</v>
      </c>
      <c r="K50" s="99"/>
      <c r="L50" s="62">
        <f t="shared" si="22"/>
        <v>52776360</v>
      </c>
      <c r="M50" s="99"/>
      <c r="N50" s="173">
        <v>576.1</v>
      </c>
      <c r="O50" s="37">
        <f t="shared" si="23"/>
        <v>-0.57588092345078978</v>
      </c>
      <c r="P50" s="45" t="s">
        <v>61</v>
      </c>
      <c r="Q50" s="99"/>
      <c r="R50" s="173">
        <v>347.98</v>
      </c>
      <c r="S50" s="591">
        <f t="shared" si="24"/>
        <v>-0.29784757744697976</v>
      </c>
      <c r="T50" s="48"/>
      <c r="U50" s="105" t="str">
        <f>_xll.BDP(D50&amp;" EQUITY",$X$1)</f>
        <v>6/18/2024</v>
      </c>
      <c r="V50" s="77">
        <f>_xll.BDP(D50&amp;" EQUITY",$Y$1)</f>
        <v>260.64999389648438</v>
      </c>
      <c r="W50" s="37">
        <f t="shared" si="25"/>
        <v>-6.2593494258679216E-2</v>
      </c>
      <c r="X50" s="40">
        <f t="shared" si="26"/>
        <v>21</v>
      </c>
      <c r="Y50" s="47"/>
      <c r="Z50" s="105" t="str">
        <f>_xll.BDP(D50&amp;" EQUITY",$AC$1)</f>
        <v>10/31/2023</v>
      </c>
      <c r="AA50" s="77">
        <f>_xll.BDP(D50&amp;" EQUITY",$AD$1)</f>
        <v>144.40333557128906</v>
      </c>
      <c r="AB50" s="37">
        <f t="shared" si="27"/>
        <v>0.69203155199539457</v>
      </c>
      <c r="AC50" s="106">
        <f t="shared" si="28"/>
        <v>4</v>
      </c>
      <c r="AD50" s="47"/>
      <c r="AE50" s="36">
        <v>542.32000000000005</v>
      </c>
      <c r="AF50" s="37">
        <f t="shared" si="29"/>
        <v>-0.54946341643310226</v>
      </c>
      <c r="AG50" s="107">
        <f t="shared" si="30"/>
        <v>42</v>
      </c>
      <c r="AH50" s="47" t="s">
        <v>45</v>
      </c>
      <c r="AI50" s="47"/>
      <c r="AJ50" s="22" t="s">
        <v>51</v>
      </c>
      <c r="AK50">
        <v>111.96</v>
      </c>
      <c r="AL50" s="96"/>
      <c r="AW50"/>
      <c r="AY50"/>
    </row>
    <row r="51" spans="3:52" x14ac:dyDescent="0.25">
      <c r="C51" s="88">
        <f t="shared" si="19"/>
        <v>2.6968225925726893E-2</v>
      </c>
      <c r="D51" s="3" t="s">
        <v>48</v>
      </c>
      <c r="E51" s="29">
        <v>220000</v>
      </c>
      <c r="F51" s="9">
        <f>_xll.BDP(D51&amp;" EQUITY",$H$1)</f>
        <v>77.53</v>
      </c>
      <c r="G51" s="112">
        <f>_xll.BDP(D51&amp;" EQUITY",$I$1)</f>
        <v>-0.38</v>
      </c>
      <c r="H51" s="113">
        <f>_xll.BDP(D51&amp;" EQUITY",$J$1)*0.01</f>
        <v>-4.8774230000000005E-3</v>
      </c>
      <c r="I51" s="157">
        <f t="shared" si="20"/>
        <v>28</v>
      </c>
      <c r="J51" s="161">
        <f t="shared" si="21"/>
        <v>-83600</v>
      </c>
      <c r="K51" s="99"/>
      <c r="L51" s="62">
        <f t="shared" si="22"/>
        <v>17056600</v>
      </c>
      <c r="M51" s="99"/>
      <c r="N51" s="173">
        <v>72.03</v>
      </c>
      <c r="O51" s="37">
        <f t="shared" si="23"/>
        <v>7.6357073441621459E-2</v>
      </c>
      <c r="P51" s="45" t="s">
        <v>61</v>
      </c>
      <c r="Q51" s="99"/>
      <c r="R51" s="173">
        <v>74.55</v>
      </c>
      <c r="S51" s="591">
        <f t="shared" si="24"/>
        <v>3.9973172367538723E-2</v>
      </c>
      <c r="T51" s="48"/>
      <c r="U51" s="105" t="str">
        <f>_xll.BDP(D51&amp;" EQUITY",$X$1)</f>
        <v>5/16/2024</v>
      </c>
      <c r="V51" s="77">
        <f>_xll.BDP(D51&amp;" EQUITY",$Y$1)</f>
        <v>78.61</v>
      </c>
      <c r="W51" s="37">
        <f t="shared" si="25"/>
        <v>-1.3738710087775052E-2</v>
      </c>
      <c r="X51" s="40">
        <f t="shared" si="26"/>
        <v>8</v>
      </c>
      <c r="Y51" s="47"/>
      <c r="Z51" s="105" t="str">
        <f>_xll.BDP(D51&amp;" EQUITY",$AC$1)</f>
        <v>10/6/2023</v>
      </c>
      <c r="AA51" s="77">
        <f>_xll.BDP(D51&amp;" EQUITY",$AD$1)</f>
        <v>65.180000000000007</v>
      </c>
      <c r="AB51" s="37">
        <f t="shared" si="27"/>
        <v>0.18947529917152495</v>
      </c>
      <c r="AC51" s="107">
        <f t="shared" si="28"/>
        <v>38</v>
      </c>
      <c r="AD51" s="47"/>
      <c r="AE51" s="36">
        <v>77.11</v>
      </c>
      <c r="AF51" s="37">
        <f t="shared" si="29"/>
        <v>5.4467643625988327E-3</v>
      </c>
      <c r="AG51" s="39">
        <f t="shared" si="30"/>
        <v>32</v>
      </c>
      <c r="AH51" s="47" t="s">
        <v>48</v>
      </c>
      <c r="AI51" s="47"/>
      <c r="AJ51" s="22" t="s">
        <v>49</v>
      </c>
      <c r="AK51">
        <v>94.36</v>
      </c>
      <c r="AL51" s="96"/>
      <c r="AW51"/>
      <c r="AY51"/>
    </row>
    <row r="52" spans="3:52" x14ac:dyDescent="0.25">
      <c r="C52" s="88">
        <f t="shared" si="19"/>
        <v>1.0646350929897051E-2</v>
      </c>
      <c r="D52" s="3" t="s">
        <v>46</v>
      </c>
      <c r="E52" s="29">
        <v>150000</v>
      </c>
      <c r="F52" s="9">
        <f>_xll.BDP(D52&amp;" EQUITY",$H$1)</f>
        <v>44.89</v>
      </c>
      <c r="G52" s="112">
        <f>_xll.BDP(D52&amp;" EQUITY",$I$1)</f>
        <v>-0.42</v>
      </c>
      <c r="H52" s="113">
        <f>_xll.BDP(D52&amp;" EQUITY",$J$1)*0.01</f>
        <v>-9.2694769999999999E-3</v>
      </c>
      <c r="I52" s="157">
        <f t="shared" si="20"/>
        <v>35</v>
      </c>
      <c r="J52" s="161">
        <f t="shared" si="21"/>
        <v>-63000</v>
      </c>
      <c r="K52" s="99"/>
      <c r="L52" s="62">
        <f t="shared" si="22"/>
        <v>6733500</v>
      </c>
      <c r="M52" s="99"/>
      <c r="N52" s="173">
        <v>46.02</v>
      </c>
      <c r="O52" s="37">
        <f t="shared" si="23"/>
        <v>-2.4554541503694072E-2</v>
      </c>
      <c r="P52" s="45" t="s">
        <v>61</v>
      </c>
      <c r="Q52" s="99"/>
      <c r="R52" s="173">
        <v>45.15</v>
      </c>
      <c r="S52" s="591">
        <f t="shared" si="24"/>
        <v>-5.7585825027685056E-3</v>
      </c>
      <c r="T52" s="48"/>
      <c r="U52" s="105" t="str">
        <f>_xll.BDP(D52&amp;" EQUITY",$X$1)</f>
        <v>5/15/2024</v>
      </c>
      <c r="V52" s="77">
        <f>_xll.BDP(D52&amp;" EQUITY",$Y$1)</f>
        <v>48.32</v>
      </c>
      <c r="W52" s="37">
        <f t="shared" si="25"/>
        <v>-7.0985099337748325E-2</v>
      </c>
      <c r="X52" s="107">
        <f t="shared" si="26"/>
        <v>25</v>
      </c>
      <c r="Y52" s="47"/>
      <c r="Z52" s="105" t="str">
        <f>_xll.BDP(D52&amp;" EQUITY",$AC$1)</f>
        <v>10/25/2023</v>
      </c>
      <c r="AA52" s="77">
        <f>_xll.BDP(D52&amp;" EQUITY",$AD$1)</f>
        <v>33.97</v>
      </c>
      <c r="AB52" s="37">
        <f t="shared" si="27"/>
        <v>0.32146011186340906</v>
      </c>
      <c r="AC52" s="107">
        <f t="shared" si="28"/>
        <v>26</v>
      </c>
      <c r="AD52" s="47"/>
      <c r="AE52" s="36">
        <v>54.56</v>
      </c>
      <c r="AF52" s="37">
        <f t="shared" si="29"/>
        <v>-0.17723607038123168</v>
      </c>
      <c r="AG52" s="39">
        <f t="shared" si="30"/>
        <v>38</v>
      </c>
      <c r="AH52" s="47" t="s">
        <v>46</v>
      </c>
      <c r="AI52" s="47"/>
      <c r="AJ52" s="22" t="s">
        <v>50</v>
      </c>
      <c r="AK52">
        <v>61.45</v>
      </c>
      <c r="AL52" s="96"/>
      <c r="AW52"/>
      <c r="AY52"/>
    </row>
    <row r="53" spans="3:52" x14ac:dyDescent="0.25">
      <c r="C53" s="25">
        <f t="shared" si="19"/>
        <v>2.5922643112934001E-2</v>
      </c>
      <c r="D53" s="3" t="s">
        <v>112</v>
      </c>
      <c r="E53" s="101">
        <f>135000+45000</f>
        <v>180000</v>
      </c>
      <c r="F53" s="9">
        <f>_xll.BDP(D53&amp;" EQUITY",$H$1)</f>
        <v>91.084999999999994</v>
      </c>
      <c r="G53" s="112">
        <f>_xll.BDP(D53&amp;" EQUITY",$I$1)</f>
        <v>-0.19500000000000001</v>
      </c>
      <c r="H53" s="113">
        <f>_xll.BDP(D53&amp;" EQUITY",$J$1)*0.01</f>
        <v>-2.136284E-3</v>
      </c>
      <c r="I53" s="157">
        <f t="shared" si="20"/>
        <v>23</v>
      </c>
      <c r="J53" s="161">
        <f t="shared" si="21"/>
        <v>-35100</v>
      </c>
      <c r="K53" s="99"/>
      <c r="L53" s="62">
        <f t="shared" si="22"/>
        <v>16395299.999999998</v>
      </c>
      <c r="M53" s="99"/>
      <c r="N53" s="173">
        <v>83.84</v>
      </c>
      <c r="O53" s="37">
        <f t="shared" si="23"/>
        <v>8.6414599236641187E-2</v>
      </c>
      <c r="P53" s="45"/>
      <c r="Q53" s="99"/>
      <c r="R53" s="173">
        <v>87.47</v>
      </c>
      <c r="S53" s="591">
        <f t="shared" si="24"/>
        <v>4.1328455470446945E-2</v>
      </c>
      <c r="T53" s="48"/>
      <c r="U53" s="105" t="str">
        <f>_xll.BDP(D53&amp;" EQUITY",$X$1)</f>
        <v>4/12/2024</v>
      </c>
      <c r="V53" s="84">
        <f>_xll.BDP(D53&amp;" EQUITY",$Y$1)</f>
        <v>98.97</v>
      </c>
      <c r="W53" s="37">
        <f t="shared" si="25"/>
        <v>-7.9670607254723746E-2</v>
      </c>
      <c r="X53" s="39">
        <f t="shared" si="26"/>
        <v>31</v>
      </c>
      <c r="Y53" s="47"/>
      <c r="Z53" s="105" t="str">
        <f>_xll.BDP(D53&amp;" EQUITY",$AC$1)</f>
        <v>6/26/2023</v>
      </c>
      <c r="AA53" s="77">
        <f>_xll.BDP(D53&amp;" EQUITY",$AD$1)</f>
        <v>77.319999999999993</v>
      </c>
      <c r="AB53" s="37">
        <f t="shared" si="27"/>
        <v>0.17802638385928615</v>
      </c>
      <c r="AC53" s="39">
        <f t="shared" si="28"/>
        <v>39</v>
      </c>
      <c r="AD53" s="47"/>
      <c r="AE53" s="275">
        <v>58.56</v>
      </c>
      <c r="AF53" s="37">
        <f t="shared" si="29"/>
        <v>0.55541325136612008</v>
      </c>
      <c r="AG53" s="106">
        <f t="shared" si="30"/>
        <v>12</v>
      </c>
      <c r="AH53" s="47" t="s">
        <v>112</v>
      </c>
      <c r="AI53" s="47"/>
      <c r="AJ53" s="22" t="s">
        <v>52</v>
      </c>
      <c r="AK53">
        <v>117.3</v>
      </c>
      <c r="AL53" s="96"/>
      <c r="AW53"/>
      <c r="AY53"/>
    </row>
    <row r="54" spans="3:52" x14ac:dyDescent="0.25">
      <c r="C54" s="88">
        <f t="shared" si="19"/>
        <v>2.8953852986736951E-2</v>
      </c>
      <c r="D54" s="3" t="s">
        <v>51</v>
      </c>
      <c r="E54" s="101">
        <v>195000</v>
      </c>
      <c r="F54" s="9">
        <f>_xll.BDP(D54&amp;" EQUITY",$H$1)</f>
        <v>93.91</v>
      </c>
      <c r="G54" s="112">
        <f>_xll.BDP(D54&amp;" EQUITY",$I$1)</f>
        <v>0.17</v>
      </c>
      <c r="H54" s="113">
        <f>_xll.BDP(D54&amp;" EQUITY",$J$1)*0.01</f>
        <v>1.8135270000000001E-3</v>
      </c>
      <c r="I54" s="157">
        <f t="shared" si="20"/>
        <v>18</v>
      </c>
      <c r="J54" s="161">
        <f t="shared" si="21"/>
        <v>33150</v>
      </c>
      <c r="K54" s="99"/>
      <c r="L54" s="62">
        <f t="shared" si="22"/>
        <v>18312450</v>
      </c>
      <c r="M54" s="99"/>
      <c r="N54" s="173">
        <v>89.29</v>
      </c>
      <c r="O54" s="37">
        <f t="shared" si="23"/>
        <v>5.1741516407212362E-2</v>
      </c>
      <c r="P54" s="45"/>
      <c r="Q54" s="99"/>
      <c r="R54" s="173">
        <v>83</v>
      </c>
      <c r="S54" s="591">
        <f t="shared" si="24"/>
        <v>0.13144578313252997</v>
      </c>
      <c r="T54" s="48"/>
      <c r="U54" s="105" t="str">
        <f>_xll.BDP(D54&amp;" EQUITY",$X$1)</f>
        <v>2/28/2024</v>
      </c>
      <c r="V54" s="77">
        <f>_xll.BDP(D54&amp;" EQUITY",$Y$1)</f>
        <v>103.52</v>
      </c>
      <c r="W54" s="37">
        <f t="shared" si="25"/>
        <v>-9.2832302936630584E-2</v>
      </c>
      <c r="X54" s="39">
        <f t="shared" si="26"/>
        <v>32</v>
      </c>
      <c r="Y54" s="47"/>
      <c r="Z54" s="105" t="str">
        <f>_xll.BDP(D54&amp;" EQUITY",$AC$1)</f>
        <v>10/31/2023</v>
      </c>
      <c r="AA54" s="77">
        <f>_xll.BDP(D54&amp;" EQUITY",$AD$1)</f>
        <v>63.8</v>
      </c>
      <c r="AB54" s="37">
        <f t="shared" si="27"/>
        <v>0.47194357366771156</v>
      </c>
      <c r="AC54" s="39">
        <f t="shared" si="28"/>
        <v>14</v>
      </c>
      <c r="AD54" s="47"/>
      <c r="AE54" s="36">
        <v>111.96</v>
      </c>
      <c r="AF54" s="37">
        <f t="shared" si="29"/>
        <v>-0.16121829224723117</v>
      </c>
      <c r="AG54" s="39">
        <f t="shared" si="30"/>
        <v>36</v>
      </c>
      <c r="AH54" s="47" t="s">
        <v>51</v>
      </c>
      <c r="AI54" s="47"/>
      <c r="AJ54" s="22"/>
      <c r="AL54" s="96"/>
      <c r="AW54"/>
      <c r="AY54"/>
    </row>
    <row r="55" spans="3:52" x14ac:dyDescent="0.25">
      <c r="C55" s="88">
        <f t="shared" si="19"/>
        <v>1.9471588471354891E-2</v>
      </c>
      <c r="D55" s="3" t="s">
        <v>49</v>
      </c>
      <c r="E55" s="101">
        <v>160000</v>
      </c>
      <c r="F55" s="9">
        <f>_xll.BDP(D55&amp;" EQUITY",$H$1)</f>
        <v>76.97</v>
      </c>
      <c r="G55" s="112">
        <f>_xll.BDP(D55&amp;" EQUITY",$I$1)</f>
        <v>-0.73</v>
      </c>
      <c r="H55" s="113">
        <f>_xll.BDP(D55&amp;" EQUITY",$J$1)*0.01</f>
        <v>-9.3951090000000004E-3</v>
      </c>
      <c r="I55" s="158">
        <f t="shared" si="20"/>
        <v>36</v>
      </c>
      <c r="J55" s="161">
        <f t="shared" si="21"/>
        <v>-116800</v>
      </c>
      <c r="K55" s="99"/>
      <c r="L55" s="62">
        <f t="shared" si="22"/>
        <v>12315200</v>
      </c>
      <c r="M55" s="99"/>
      <c r="N55" s="173">
        <v>83.49</v>
      </c>
      <c r="O55" s="37">
        <f t="shared" si="23"/>
        <v>-7.8093184812552341E-2</v>
      </c>
      <c r="P55" s="45"/>
      <c r="Q55" s="99"/>
      <c r="R55" s="173">
        <v>67.209999999999994</v>
      </c>
      <c r="S55" s="591">
        <f t="shared" si="24"/>
        <v>0.14521648564201772</v>
      </c>
      <c r="T55" s="48"/>
      <c r="U55" s="105" t="str">
        <f>_xll.BDP(D55&amp;" EQUITY",$X$1)</f>
        <v>7/31/2023</v>
      </c>
      <c r="V55" s="77">
        <f>_xll.BDP(D55&amp;" EQUITY",$Y$1)</f>
        <v>88.141400000000004</v>
      </c>
      <c r="W55" s="37">
        <f t="shared" si="25"/>
        <v>-0.12674407259244813</v>
      </c>
      <c r="X55" s="39">
        <f t="shared" si="26"/>
        <v>35</v>
      </c>
      <c r="Y55" s="47"/>
      <c r="Z55" s="105" t="str">
        <f>_xll.BDP(D55&amp;" EQUITY",$AC$1)</f>
        <v>10/27/2023</v>
      </c>
      <c r="AA55" s="77">
        <f>_xll.BDP(D55&amp;" EQUITY",$AD$1)</f>
        <v>66.745699999999999</v>
      </c>
      <c r="AB55" s="37">
        <f t="shared" si="27"/>
        <v>0.15318290167007009</v>
      </c>
      <c r="AC55" s="39">
        <f t="shared" si="28"/>
        <v>40</v>
      </c>
      <c r="AD55" s="47"/>
      <c r="AE55" s="36">
        <v>94.36</v>
      </c>
      <c r="AF55" s="37">
        <f t="shared" si="29"/>
        <v>-0.18429419245442979</v>
      </c>
      <c r="AG55" s="39">
        <f t="shared" si="30"/>
        <v>39</v>
      </c>
      <c r="AH55" s="47" t="s">
        <v>49</v>
      </c>
      <c r="AI55" s="47"/>
      <c r="AJ55" s="22"/>
      <c r="AL55" s="96"/>
      <c r="AW55"/>
      <c r="AY55"/>
    </row>
    <row r="56" spans="3:52" x14ac:dyDescent="0.25">
      <c r="D56" s="3"/>
      <c r="E56" s="29"/>
      <c r="F56" s="9"/>
      <c r="G56" s="9"/>
      <c r="I56" s="48"/>
      <c r="J56" s="161"/>
      <c r="K56" s="99"/>
      <c r="L56" s="125"/>
      <c r="N56" s="43"/>
      <c r="O56" s="46"/>
      <c r="P56" s="44"/>
      <c r="R56" s="43"/>
      <c r="S56" s="765"/>
      <c r="T56" s="48"/>
      <c r="U56" s="97"/>
      <c r="V56" s="76"/>
      <c r="W56" s="46"/>
      <c r="X56" s="94"/>
      <c r="Y56" s="47"/>
      <c r="Z56" s="97"/>
      <c r="AA56" s="76"/>
      <c r="AB56" s="46"/>
      <c r="AC56" s="94"/>
      <c r="AD56" s="47"/>
      <c r="AE56" s="43"/>
      <c r="AF56" s="46"/>
      <c r="AG56" s="94"/>
      <c r="AH56" s="47"/>
      <c r="AI56" s="47"/>
      <c r="AJ56" s="22"/>
      <c r="AL56" s="96"/>
      <c r="AW56"/>
      <c r="AY56"/>
    </row>
    <row r="57" spans="3:52" x14ac:dyDescent="0.25">
      <c r="D57" s="3"/>
      <c r="E57" s="29"/>
      <c r="F57" s="9"/>
      <c r="G57" s="9"/>
      <c r="I57" s="47"/>
      <c r="J57" s="161"/>
      <c r="K57" s="67">
        <f>+L57/L60</f>
        <v>0.27120555783694533</v>
      </c>
      <c r="L57" s="16">
        <f>SUM(L47:L56)</f>
        <v>171529441</v>
      </c>
      <c r="M57" s="10"/>
      <c r="N57" s="10"/>
      <c r="O57" s="10"/>
      <c r="P57" s="10"/>
      <c r="Q57" s="10"/>
      <c r="R57" s="5"/>
      <c r="S57" s="6"/>
      <c r="T57" s="67"/>
      <c r="Y57" s="47"/>
      <c r="AB57" s="120"/>
      <c r="AC57" s="120"/>
      <c r="AD57" s="47"/>
      <c r="AE57" s="5"/>
      <c r="AF57" s="6"/>
      <c r="AG57" s="7"/>
      <c r="AH57" s="47"/>
      <c r="AI57" s="47"/>
      <c r="AJ57" s="22"/>
      <c r="AL57" s="96"/>
      <c r="AW57"/>
      <c r="AY57"/>
    </row>
    <row r="58" spans="3:52" x14ac:dyDescent="0.25">
      <c r="D58" s="3"/>
      <c r="E58" s="29"/>
      <c r="F58" s="9"/>
      <c r="G58" s="9"/>
      <c r="I58" s="48"/>
      <c r="J58" s="132"/>
      <c r="K58"/>
      <c r="L58" s="132"/>
      <c r="R58" s="5"/>
      <c r="S58" s="6"/>
      <c r="T58" s="48"/>
      <c r="Y58" s="47"/>
      <c r="AB58" s="7"/>
      <c r="AC58" s="7"/>
      <c r="AD58" s="47"/>
      <c r="AE58" s="5"/>
      <c r="AF58" s="6"/>
      <c r="AG58" s="7"/>
      <c r="AH58" s="47"/>
      <c r="AI58" s="47"/>
      <c r="AJ58" s="22"/>
      <c r="AL58" s="96"/>
      <c r="AW58"/>
      <c r="AY58"/>
    </row>
    <row r="59" spans="3:52" x14ac:dyDescent="0.25">
      <c r="D59" s="3"/>
      <c r="E59" s="29"/>
      <c r="F59" s="9"/>
      <c r="G59" s="9"/>
      <c r="I59" s="48"/>
      <c r="J59" s="132"/>
      <c r="K59"/>
      <c r="L59" s="132"/>
      <c r="R59" s="5"/>
      <c r="S59" s="6"/>
      <c r="T59" s="48"/>
      <c r="Y59" s="47"/>
      <c r="AB59" s="7"/>
      <c r="AC59" s="7"/>
      <c r="AD59" s="47"/>
      <c r="AE59" s="5"/>
      <c r="AF59" s="6"/>
      <c r="AG59" s="7"/>
      <c r="AH59" s="47"/>
      <c r="AI59" s="47"/>
      <c r="AJ59" s="22"/>
      <c r="AL59" s="96"/>
      <c r="AW59"/>
      <c r="AY59"/>
    </row>
    <row r="60" spans="3:52" x14ac:dyDescent="0.25">
      <c r="D60" s="31"/>
      <c r="E60" s="32"/>
      <c r="F60" s="33"/>
      <c r="G60" s="33"/>
      <c r="H60" s="34"/>
      <c r="I60" s="159"/>
      <c r="J60" s="162">
        <f>SUM(J4:J59)</f>
        <v>414523</v>
      </c>
      <c r="K60" s="99"/>
      <c r="L60" s="14">
        <f>+L57+L43</f>
        <v>632470228</v>
      </c>
      <c r="M60" s="190"/>
      <c r="N60" s="190"/>
      <c r="O60" s="190"/>
      <c r="P60" s="190"/>
      <c r="Q60" s="190"/>
      <c r="R60" s="903" t="s">
        <v>53</v>
      </c>
      <c r="S60" s="904"/>
      <c r="T60" s="48"/>
      <c r="Y60" s="47"/>
      <c r="AB60" s="7"/>
      <c r="AC60" s="7"/>
      <c r="AD60" s="47"/>
      <c r="AE60" s="903" t="s">
        <v>53</v>
      </c>
      <c r="AF60" s="904"/>
      <c r="AG60" s="905"/>
      <c r="AH60" s="47"/>
      <c r="AI60" s="47"/>
      <c r="AJ60" s="22"/>
      <c r="AL60" s="96"/>
      <c r="AW60"/>
      <c r="AY60"/>
    </row>
    <row r="61" spans="3:52" x14ac:dyDescent="0.25">
      <c r="E61" s="4"/>
      <c r="F61" s="9"/>
      <c r="G61" s="9"/>
      <c r="I61" s="48"/>
      <c r="K61"/>
      <c r="R61" s="5"/>
      <c r="S61" s="6"/>
      <c r="T61" s="48"/>
      <c r="Y61" s="47"/>
      <c r="AB61" s="7"/>
      <c r="AC61" s="7"/>
      <c r="AD61" s="47"/>
      <c r="AE61" s="5"/>
      <c r="AF61" s="6"/>
      <c r="AG61" s="7"/>
      <c r="AH61" s="47"/>
      <c r="AI61" s="47"/>
      <c r="AJ61" s="22"/>
      <c r="AL61" s="96"/>
      <c r="AW61"/>
      <c r="AY61"/>
    </row>
    <row r="62" spans="3:52" x14ac:dyDescent="0.25">
      <c r="E62" s="4"/>
      <c r="I62" s="191" t="s">
        <v>74</v>
      </c>
      <c r="J62" s="183">
        <f>+J60/L60</f>
        <v>6.5540318207673806E-4</v>
      </c>
      <c r="K62"/>
      <c r="L62" s="264">
        <f>715996464.2-8373468.21</f>
        <v>707622995.99000001</v>
      </c>
      <c r="M62" s="263" t="s">
        <v>164</v>
      </c>
      <c r="N62" s="133"/>
      <c r="O62" s="133"/>
      <c r="P62" s="133"/>
      <c r="Q62" s="133"/>
      <c r="R62" s="5"/>
      <c r="S62" s="6"/>
      <c r="T62" s="48"/>
      <c r="Y62" s="47"/>
      <c r="AB62" s="7"/>
      <c r="AC62" s="7"/>
      <c r="AD62" s="47"/>
      <c r="AE62" s="5"/>
      <c r="AF62" s="6"/>
      <c r="AG62" s="7"/>
      <c r="AH62" s="47"/>
      <c r="AI62" s="47"/>
      <c r="AJ62" s="22"/>
      <c r="AL62" s="96"/>
      <c r="AW62"/>
      <c r="AY62"/>
    </row>
    <row r="63" spans="3:52" x14ac:dyDescent="0.25">
      <c r="E63" s="4"/>
      <c r="I63" s="185" t="s">
        <v>114</v>
      </c>
      <c r="J63" s="184">
        <f>+'Core Holdings'!K70</f>
        <v>2.5422780000000002E-3</v>
      </c>
      <c r="K63"/>
      <c r="L63" s="261">
        <f>+(L60/L62)-1</f>
        <v>-0.10620453040090583</v>
      </c>
      <c r="M63" s="262"/>
      <c r="N63" s="60"/>
      <c r="O63" s="60"/>
      <c r="P63" s="60"/>
      <c r="Q63" s="60"/>
      <c r="R63" s="60"/>
      <c r="S63" s="60"/>
      <c r="T63" s="60"/>
      <c r="Z63" s="5"/>
      <c r="AA63" s="6"/>
      <c r="AB63" s="7"/>
      <c r="AD63" s="48"/>
      <c r="AG63"/>
      <c r="AI63" s="47"/>
      <c r="AJ63" s="22"/>
      <c r="AL63" s="7"/>
      <c r="AR63" s="47"/>
      <c r="AS63" s="47"/>
      <c r="AT63" s="22"/>
      <c r="AU63" s="7"/>
      <c r="AV63" s="96"/>
      <c r="AW63" s="48"/>
      <c r="AX63" s="48"/>
      <c r="AY63" s="47"/>
      <c r="AZ63" s="47"/>
    </row>
    <row r="64" spans="3:52" x14ac:dyDescent="0.25">
      <c r="E64" s="4"/>
      <c r="I64" s="96" t="s">
        <v>115</v>
      </c>
      <c r="J64" s="163">
        <f>+J62-J63</f>
        <v>-1.8868748179232623E-3</v>
      </c>
      <c r="K64"/>
      <c r="Z64" s="5"/>
      <c r="AA64" s="6"/>
      <c r="AB64" s="7"/>
      <c r="AD64" s="48"/>
      <c r="AG64"/>
      <c r="AI64" s="47"/>
      <c r="AJ64" s="22"/>
      <c r="AL64" s="7"/>
      <c r="AR64" s="47"/>
      <c r="AS64" s="47"/>
      <c r="AT64" s="22"/>
      <c r="AU64" s="7"/>
      <c r="AV64" s="96"/>
      <c r="AW64" s="48"/>
      <c r="AX64" s="48"/>
      <c r="AY64" s="47"/>
      <c r="AZ64" s="47"/>
    </row>
    <row r="65" spans="5:52" x14ac:dyDescent="0.25">
      <c r="E65" s="4"/>
      <c r="I65" s="96"/>
      <c r="K65"/>
      <c r="Z65" s="5"/>
      <c r="AA65" s="6"/>
      <c r="AB65" s="7"/>
      <c r="AD65" s="48"/>
      <c r="AG65"/>
      <c r="AI65" s="47"/>
      <c r="AL65" s="7"/>
      <c r="AR65" s="47"/>
      <c r="AS65" s="47"/>
      <c r="AT65" s="22"/>
      <c r="AU65" s="7"/>
      <c r="AV65" s="96"/>
      <c r="AW65" s="48"/>
      <c r="AX65" s="48"/>
      <c r="AY65" s="47"/>
      <c r="AZ65" s="47"/>
    </row>
    <row r="66" spans="5:52" x14ac:dyDescent="0.25">
      <c r="E66" s="259"/>
      <c r="I66" s="96"/>
      <c r="J66" s="163"/>
      <c r="K66"/>
      <c r="Z66" s="5"/>
      <c r="AA66" s="6"/>
      <c r="AB66" s="7"/>
      <c r="AD66" s="48"/>
      <c r="AG66"/>
      <c r="AI66" s="47"/>
      <c r="AL66" s="7"/>
      <c r="AR66" s="47"/>
      <c r="AS66" s="47"/>
      <c r="AT66" s="22"/>
      <c r="AU66" s="7"/>
      <c r="AV66" s="96"/>
      <c r="AW66" s="48"/>
      <c r="AX66" s="48"/>
      <c r="AY66" s="47"/>
      <c r="AZ66" s="47"/>
    </row>
    <row r="67" spans="5:52" x14ac:dyDescent="0.25">
      <c r="E67" s="259"/>
      <c r="I67" s="96"/>
      <c r="J67" s="163"/>
      <c r="K67"/>
      <c r="Z67" s="5"/>
      <c r="AA67" s="6"/>
      <c r="AB67" s="7"/>
      <c r="AD67" s="48"/>
      <c r="AG67"/>
      <c r="AI67" s="47"/>
      <c r="AL67" s="7"/>
      <c r="AR67" s="47"/>
      <c r="AS67" s="47"/>
      <c r="AT67" s="22"/>
      <c r="AU67" s="7"/>
      <c r="AV67" s="96"/>
      <c r="AW67" s="48"/>
      <c r="AX67" s="48"/>
      <c r="AY67" s="47"/>
      <c r="AZ67" s="47"/>
    </row>
    <row r="68" spans="5:52" x14ac:dyDescent="0.25">
      <c r="E68" s="259"/>
      <c r="G68" s="20"/>
      <c r="K68"/>
      <c r="Z68" s="5"/>
      <c r="AA68" s="6"/>
      <c r="AB68" s="7"/>
      <c r="AD68" s="48"/>
      <c r="AG68"/>
      <c r="AI68" s="47"/>
      <c r="AL68" s="7"/>
      <c r="AR68" s="47"/>
      <c r="AS68" s="47"/>
      <c r="AT68" s="22"/>
      <c r="AU68" s="7"/>
      <c r="AV68" s="96"/>
      <c r="AW68" s="48"/>
      <c r="AX68" s="48"/>
      <c r="AY68" s="47"/>
      <c r="AZ68" s="47"/>
    </row>
    <row r="69" spans="5:52" x14ac:dyDescent="0.25">
      <c r="E69" s="259"/>
      <c r="G69" s="20"/>
      <c r="I69" s="7"/>
      <c r="K69"/>
      <c r="L69" s="5"/>
      <c r="M69" s="5"/>
      <c r="N69" s="5"/>
      <c r="O69" s="5"/>
      <c r="P69" s="5"/>
      <c r="Q69" s="5"/>
      <c r="R69" s="5"/>
      <c r="S69" s="5"/>
      <c r="T69" s="5"/>
      <c r="Z69" s="5"/>
      <c r="AA69" s="6"/>
      <c r="AB69" s="7"/>
      <c r="AD69" s="48"/>
      <c r="AG69"/>
      <c r="AI69" s="47"/>
      <c r="AL69" s="7"/>
      <c r="AR69" s="47"/>
      <c r="AS69" s="47"/>
      <c r="AT69" s="22"/>
      <c r="AU69" s="7"/>
      <c r="AV69" s="96"/>
      <c r="AW69" s="48"/>
      <c r="AX69" s="48"/>
      <c r="AY69" s="47"/>
      <c r="AZ69" s="47"/>
    </row>
    <row r="70" spans="5:52" x14ac:dyDescent="0.25">
      <c r="E70" s="259"/>
      <c r="G70" s="20"/>
      <c r="I70" s="7"/>
      <c r="K70"/>
      <c r="L70" s="5"/>
      <c r="M70" s="5"/>
      <c r="N70" s="5"/>
      <c r="O70" s="5"/>
      <c r="P70" s="5"/>
      <c r="Q70" s="5"/>
      <c r="R70" s="5"/>
      <c r="S70" s="5"/>
      <c r="T70" s="5"/>
      <c r="Z70" s="5"/>
      <c r="AA70" s="6"/>
      <c r="AB70" s="7"/>
      <c r="AD70" s="48"/>
      <c r="AG70"/>
      <c r="AI70" s="47"/>
      <c r="AL70" s="7"/>
      <c r="AR70" s="47"/>
      <c r="AS70" s="47"/>
      <c r="AT70" s="22"/>
      <c r="AU70" s="7"/>
      <c r="AV70" s="96"/>
      <c r="AW70" s="48"/>
      <c r="AX70" s="48"/>
      <c r="AY70" s="47"/>
      <c r="AZ70" s="47"/>
    </row>
    <row r="71" spans="5:52" x14ac:dyDescent="0.25">
      <c r="E71" s="259"/>
      <c r="G71" s="20"/>
      <c r="I71" s="7"/>
      <c r="K71"/>
      <c r="Z71" s="79"/>
      <c r="AA71" s="6"/>
      <c r="AB71" s="7"/>
      <c r="AD71" s="48"/>
      <c r="AG71"/>
      <c r="AI71" s="47"/>
      <c r="AL71" s="7"/>
      <c r="AR71" s="47"/>
      <c r="AS71" s="47"/>
      <c r="AT71" s="22"/>
      <c r="AU71" s="7"/>
      <c r="AV71" s="96"/>
      <c r="AW71" s="48"/>
      <c r="AX71" s="48"/>
      <c r="AY71" s="47"/>
      <c r="AZ71" s="47"/>
    </row>
    <row r="72" spans="5:52" x14ac:dyDescent="0.25">
      <c r="G72" s="20"/>
      <c r="K72"/>
      <c r="AG72"/>
      <c r="AW72"/>
      <c r="AY72"/>
    </row>
    <row r="73" spans="5:52" x14ac:dyDescent="0.25">
      <c r="G73" s="20"/>
      <c r="K73"/>
      <c r="AG73"/>
      <c r="AW73"/>
      <c r="AY73"/>
    </row>
    <row r="74" spans="5:52" x14ac:dyDescent="0.25">
      <c r="K74"/>
      <c r="AG74"/>
      <c r="AW74"/>
      <c r="AY74"/>
    </row>
    <row r="75" spans="5:52" x14ac:dyDescent="0.25">
      <c r="K75"/>
      <c r="AG75"/>
      <c r="AW75"/>
      <c r="AY75"/>
    </row>
    <row r="76" spans="5:52" x14ac:dyDescent="0.25">
      <c r="K76"/>
      <c r="AG76"/>
      <c r="AW76"/>
      <c r="AY76"/>
    </row>
    <row r="77" spans="5:52" x14ac:dyDescent="0.25">
      <c r="K77"/>
      <c r="AG77"/>
      <c r="AW77"/>
      <c r="AY77"/>
    </row>
    <row r="78" spans="5:52" x14ac:dyDescent="0.25">
      <c r="K78"/>
      <c r="AG78"/>
      <c r="AW78"/>
      <c r="AY78"/>
    </row>
    <row r="79" spans="5:52" x14ac:dyDescent="0.25">
      <c r="K79"/>
      <c r="AG79"/>
      <c r="AW79"/>
      <c r="AY79"/>
    </row>
    <row r="80" spans="5:52" x14ac:dyDescent="0.25">
      <c r="K80"/>
      <c r="AG80"/>
      <c r="AW80"/>
      <c r="AY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spans="11:55" x14ac:dyDescent="0.25">
      <c r="K113"/>
      <c r="AG113"/>
      <c r="AW113"/>
      <c r="AY113"/>
    </row>
    <row r="114" spans="11:55" x14ac:dyDescent="0.25">
      <c r="K114"/>
      <c r="AG114"/>
      <c r="AW114"/>
      <c r="AY114"/>
    </row>
    <row r="115" spans="11:55" x14ac:dyDescent="0.25">
      <c r="K115"/>
      <c r="AG115"/>
      <c r="AW115"/>
      <c r="AY115"/>
    </row>
    <row r="116" spans="11:55" x14ac:dyDescent="0.25">
      <c r="K116"/>
      <c r="AG116"/>
      <c r="AW116"/>
      <c r="AY116"/>
    </row>
    <row r="117" spans="11:55" x14ac:dyDescent="0.25">
      <c r="K117"/>
      <c r="AG117"/>
      <c r="AW117"/>
      <c r="AY117"/>
    </row>
    <row r="118" spans="11:55" x14ac:dyDescent="0.25">
      <c r="K118"/>
      <c r="AG118"/>
      <c r="AW118"/>
      <c r="AY118"/>
    </row>
    <row r="119" spans="11:55" x14ac:dyDescent="0.25">
      <c r="K119"/>
      <c r="AG119"/>
      <c r="AW119"/>
      <c r="AY119"/>
    </row>
    <row r="120" spans="11:55" x14ac:dyDescent="0.25">
      <c r="K120"/>
      <c r="AG120"/>
      <c r="AW120"/>
      <c r="AY120"/>
    </row>
    <row r="121" spans="11:55" x14ac:dyDescent="0.25">
      <c r="K121"/>
      <c r="AG121"/>
      <c r="AW121"/>
      <c r="AY121"/>
    </row>
    <row r="122" spans="11:55" x14ac:dyDescent="0.25">
      <c r="K122"/>
      <c r="AG122"/>
      <c r="AW122"/>
      <c r="AY122"/>
    </row>
    <row r="123" spans="11:55" x14ac:dyDescent="0.25">
      <c r="K123"/>
      <c r="AC123" s="7"/>
      <c r="AD123" s="7"/>
      <c r="AE123" s="7"/>
      <c r="AG123" s="48"/>
      <c r="AL123" s="47"/>
      <c r="AU123" s="47"/>
      <c r="AV123" s="47"/>
      <c r="AX123" s="7"/>
      <c r="BB123" s="7"/>
      <c r="BC123" s="7"/>
    </row>
    <row r="124" spans="11:55" x14ac:dyDescent="0.25">
      <c r="K124"/>
      <c r="AC124" s="7"/>
      <c r="AD124" s="7"/>
      <c r="AE124" s="7"/>
      <c r="AG124" s="48"/>
      <c r="AL124" s="47"/>
      <c r="AU124" s="47"/>
      <c r="AV124" s="47"/>
      <c r="AX124" s="7"/>
      <c r="BB124" s="7"/>
      <c r="BC124" s="7"/>
    </row>
    <row r="125" spans="11:55" x14ac:dyDescent="0.25">
      <c r="K125"/>
      <c r="AC125" s="7"/>
      <c r="AD125" s="7"/>
      <c r="AE125" s="7"/>
      <c r="AG125" s="48"/>
      <c r="AL125" s="47"/>
      <c r="AU125" s="47"/>
      <c r="AV125" s="47"/>
      <c r="BB125" s="7"/>
      <c r="BC125" s="7"/>
    </row>
    <row r="126" spans="11:55" x14ac:dyDescent="0.25">
      <c r="K126"/>
      <c r="AL126" s="47"/>
      <c r="AU126" s="47"/>
      <c r="AV126" s="47"/>
    </row>
    <row r="127" spans="11:55" x14ac:dyDescent="0.25">
      <c r="K127"/>
      <c r="AL127" s="47"/>
      <c r="AU127" s="47"/>
      <c r="AV127" s="47"/>
    </row>
    <row r="128" spans="11:55" x14ac:dyDescent="0.25">
      <c r="K128"/>
      <c r="AL128" s="47"/>
      <c r="AU128" s="47"/>
      <c r="AV128" s="47"/>
    </row>
    <row r="129" spans="11:48" x14ac:dyDescent="0.25">
      <c r="K129"/>
      <c r="AL129" s="47"/>
      <c r="AU129" s="47"/>
      <c r="AV129" s="47"/>
    </row>
    <row r="130" spans="11:48" x14ac:dyDescent="0.25">
      <c r="K130"/>
      <c r="U130" s="77"/>
      <c r="V130" s="77"/>
      <c r="W130" s="77"/>
      <c r="AL130" s="47"/>
      <c r="AU130" s="47"/>
      <c r="AV130" s="47"/>
    </row>
    <row r="131" spans="11:48" x14ac:dyDescent="0.25">
      <c r="K131"/>
      <c r="U131" s="77"/>
      <c r="V131" s="77"/>
      <c r="W131" s="77"/>
      <c r="AL131" s="47"/>
    </row>
    <row r="132" spans="11:48" x14ac:dyDescent="0.25">
      <c r="K132"/>
      <c r="U132" s="77"/>
      <c r="V132" s="77"/>
      <c r="W132" s="77"/>
    </row>
    <row r="133" spans="11:48" x14ac:dyDescent="0.25">
      <c r="K133"/>
      <c r="U133" s="77"/>
      <c r="V133" s="77"/>
      <c r="W133" s="77"/>
    </row>
    <row r="134" spans="11:48" x14ac:dyDescent="0.25">
      <c r="K134"/>
      <c r="U134" s="77"/>
      <c r="V134" s="77"/>
      <c r="W134" s="77"/>
    </row>
    <row r="135" spans="11:48" x14ac:dyDescent="0.25">
      <c r="K135"/>
      <c r="U135" s="77"/>
      <c r="V135" s="77"/>
      <c r="W135" s="77"/>
    </row>
    <row r="136" spans="11:48" x14ac:dyDescent="0.25">
      <c r="K136"/>
      <c r="U136" s="77"/>
      <c r="V136" s="77"/>
      <c r="W136" s="77"/>
    </row>
    <row r="137" spans="11:48" x14ac:dyDescent="0.25">
      <c r="K137"/>
      <c r="U137" s="77"/>
      <c r="V137" s="77"/>
      <c r="W137" s="77"/>
    </row>
    <row r="138" spans="11:48" x14ac:dyDescent="0.25">
      <c r="K138"/>
      <c r="U138" s="77"/>
      <c r="V138" s="77"/>
      <c r="W138" s="77"/>
    </row>
    <row r="139" spans="11:48" x14ac:dyDescent="0.25">
      <c r="K139"/>
      <c r="U139" s="77"/>
      <c r="V139" s="77"/>
      <c r="W139" s="77"/>
    </row>
    <row r="140" spans="11:48" x14ac:dyDescent="0.25">
      <c r="K140"/>
      <c r="U140" s="77"/>
      <c r="V140" s="77"/>
      <c r="W140" s="77"/>
    </row>
    <row r="141" spans="11:48" x14ac:dyDescent="0.25">
      <c r="K141"/>
      <c r="U141" s="77"/>
      <c r="V141" s="77"/>
      <c r="W141" s="77"/>
    </row>
    <row r="142" spans="11:48" x14ac:dyDescent="0.25">
      <c r="K142"/>
      <c r="U142" s="77"/>
      <c r="V142" s="77"/>
      <c r="W142" s="77"/>
    </row>
    <row r="143" spans="11:48" x14ac:dyDescent="0.25">
      <c r="K143"/>
      <c r="U143" s="77"/>
      <c r="V143" s="77"/>
      <c r="W143" s="77"/>
    </row>
    <row r="144" spans="11:48" x14ac:dyDescent="0.25">
      <c r="K144"/>
      <c r="U144" s="77"/>
      <c r="V144" s="77"/>
      <c r="W144" s="77"/>
    </row>
    <row r="145" spans="11:23" x14ac:dyDescent="0.25">
      <c r="K145"/>
      <c r="U145" s="77"/>
      <c r="V145" s="77"/>
      <c r="W145" s="77"/>
    </row>
    <row r="146" spans="11:23" x14ac:dyDescent="0.25">
      <c r="K146"/>
      <c r="U146" s="77"/>
      <c r="V146" s="77"/>
      <c r="W146" s="77"/>
    </row>
    <row r="147" spans="11:23" x14ac:dyDescent="0.25">
      <c r="K147"/>
      <c r="U147" s="77"/>
      <c r="V147" s="77"/>
      <c r="W147" s="77"/>
    </row>
    <row r="148" spans="11:23" x14ac:dyDescent="0.25">
      <c r="K148"/>
      <c r="U148" s="77"/>
      <c r="V148" s="77"/>
      <c r="W148" s="77"/>
    </row>
    <row r="149" spans="11:23" x14ac:dyDescent="0.25">
      <c r="K149"/>
      <c r="U149" s="77"/>
      <c r="V149" s="77"/>
      <c r="W149" s="77"/>
    </row>
    <row r="150" spans="11:23" x14ac:dyDescent="0.25">
      <c r="K150"/>
      <c r="U150" s="77"/>
      <c r="V150" s="77"/>
      <c r="W150" s="77"/>
    </row>
    <row r="151" spans="11:23" x14ac:dyDescent="0.25">
      <c r="K151"/>
      <c r="U151" s="77"/>
      <c r="V151" s="77"/>
      <c r="W151" s="77"/>
    </row>
    <row r="152" spans="11:23" x14ac:dyDescent="0.25">
      <c r="K152"/>
      <c r="U152" s="77"/>
      <c r="V152" s="77"/>
      <c r="W152" s="77"/>
    </row>
    <row r="153" spans="11:23" x14ac:dyDescent="0.25">
      <c r="K153"/>
      <c r="U153" s="77"/>
      <c r="V153" s="77"/>
      <c r="W153" s="77"/>
    </row>
    <row r="154" spans="11:23" x14ac:dyDescent="0.25">
      <c r="K154"/>
      <c r="U154" s="77"/>
      <c r="V154" s="77"/>
      <c r="W154" s="77"/>
    </row>
    <row r="155" spans="11:23" x14ac:dyDescent="0.25">
      <c r="K155"/>
      <c r="U155" s="77"/>
      <c r="V155" s="77"/>
      <c r="W155" s="77"/>
    </row>
    <row r="156" spans="11:23" x14ac:dyDescent="0.25">
      <c r="K156"/>
      <c r="U156" s="77"/>
      <c r="V156" s="77"/>
      <c r="W156" s="77"/>
    </row>
    <row r="157" spans="11:23" x14ac:dyDescent="0.25">
      <c r="K157"/>
      <c r="U157" s="77"/>
      <c r="V157" s="77"/>
      <c r="W157" s="77"/>
    </row>
    <row r="158" spans="11:23" x14ac:dyDescent="0.25">
      <c r="K158"/>
      <c r="U158" s="77"/>
      <c r="V158" s="77"/>
      <c r="W158" s="77"/>
    </row>
    <row r="159" spans="11:23" x14ac:dyDescent="0.25">
      <c r="K159"/>
      <c r="U159" s="77"/>
      <c r="V159" s="77"/>
      <c r="W159" s="77"/>
    </row>
    <row r="160" spans="11:23" x14ac:dyDescent="0.25">
      <c r="K160"/>
      <c r="U160" s="77"/>
      <c r="V160" s="77"/>
      <c r="W160" s="77"/>
    </row>
    <row r="161" spans="11:23" x14ac:dyDescent="0.25">
      <c r="K161"/>
      <c r="U161" s="77"/>
      <c r="V161" s="77"/>
      <c r="W161" s="77"/>
    </row>
    <row r="162" spans="11:23" x14ac:dyDescent="0.25">
      <c r="K162"/>
      <c r="U162" s="77"/>
      <c r="V162" s="77"/>
      <c r="W162" s="77"/>
    </row>
    <row r="163" spans="11:23" x14ac:dyDescent="0.25">
      <c r="K163"/>
      <c r="U163" s="77"/>
      <c r="V163" s="77"/>
      <c r="W163" s="77"/>
    </row>
    <row r="164" spans="11:23" x14ac:dyDescent="0.25">
      <c r="K164"/>
      <c r="U164" s="77"/>
      <c r="V164" s="77"/>
      <c r="W164" s="77"/>
    </row>
    <row r="165" spans="11:23" x14ac:dyDescent="0.25">
      <c r="K165"/>
      <c r="U165" s="84"/>
      <c r="V165" s="84"/>
      <c r="W165" s="84"/>
    </row>
    <row r="166" spans="11:23" x14ac:dyDescent="0.25">
      <c r="K166"/>
      <c r="U166" s="77"/>
      <c r="V166" s="77"/>
      <c r="W166" s="77"/>
    </row>
    <row r="167" spans="11:23" x14ac:dyDescent="0.25">
      <c r="K167"/>
      <c r="U167" s="77"/>
      <c r="V167" s="77"/>
      <c r="W167" s="77"/>
    </row>
    <row r="168" spans="11:23" x14ac:dyDescent="0.25">
      <c r="K168"/>
      <c r="U168" s="77"/>
      <c r="V168" s="77"/>
      <c r="W168" s="77"/>
    </row>
    <row r="169" spans="11:23" x14ac:dyDescent="0.25">
      <c r="K169"/>
      <c r="U169" s="77"/>
      <c r="V169" s="77"/>
      <c r="W169" s="77"/>
    </row>
    <row r="170" spans="11:23" x14ac:dyDescent="0.25">
      <c r="K170"/>
      <c r="U170" s="77"/>
      <c r="V170" s="77"/>
      <c r="W170" s="77"/>
    </row>
    <row r="171" spans="11:23" x14ac:dyDescent="0.25">
      <c r="K171"/>
      <c r="U171" s="77"/>
      <c r="V171" s="77"/>
      <c r="W171" s="77"/>
    </row>
    <row r="172" spans="11:23" x14ac:dyDescent="0.25">
      <c r="K172"/>
      <c r="U172" s="77"/>
      <c r="V172" s="77"/>
      <c r="W172" s="77"/>
    </row>
    <row r="173" spans="11:23" x14ac:dyDescent="0.25">
      <c r="K173"/>
      <c r="U173" s="77"/>
      <c r="V173" s="77"/>
      <c r="W173" s="77"/>
    </row>
    <row r="174" spans="11:23" x14ac:dyDescent="0.25">
      <c r="K174"/>
      <c r="U174" s="77"/>
      <c r="V174" s="77"/>
      <c r="W174" s="77"/>
    </row>
    <row r="175" spans="11:23" x14ac:dyDescent="0.25">
      <c r="K175"/>
      <c r="U175" s="77"/>
      <c r="V175" s="77"/>
      <c r="W175" s="77"/>
    </row>
    <row r="176" spans="11:23" x14ac:dyDescent="0.25">
      <c r="K176"/>
      <c r="U176" s="77"/>
      <c r="V176" s="77"/>
      <c r="W176" s="77"/>
    </row>
    <row r="177" spans="11:23" x14ac:dyDescent="0.25">
      <c r="K177"/>
      <c r="U177" s="77"/>
      <c r="V177" s="77"/>
      <c r="W177" s="77"/>
    </row>
    <row r="178" spans="11:23" x14ac:dyDescent="0.25">
      <c r="K178"/>
      <c r="U178" s="77"/>
      <c r="V178" s="77"/>
      <c r="W178" s="77"/>
    </row>
    <row r="179" spans="11:23" x14ac:dyDescent="0.25">
      <c r="K179"/>
      <c r="U179" s="77"/>
      <c r="V179" s="77"/>
      <c r="W179" s="77"/>
    </row>
    <row r="180" spans="11:23" x14ac:dyDescent="0.25">
      <c r="K180"/>
      <c r="U180" s="77"/>
      <c r="V180" s="77"/>
      <c r="W180" s="77"/>
    </row>
    <row r="181" spans="11:23" x14ac:dyDescent="0.25">
      <c r="K181"/>
      <c r="U181" s="77"/>
      <c r="V181" s="77"/>
      <c r="W181" s="77"/>
    </row>
    <row r="182" spans="11:23" x14ac:dyDescent="0.25">
      <c r="K182"/>
      <c r="U182" s="77"/>
      <c r="V182" s="77"/>
      <c r="W182" s="77"/>
    </row>
    <row r="183" spans="11:23" x14ac:dyDescent="0.25">
      <c r="K183"/>
      <c r="U183" s="77"/>
      <c r="V183" s="77"/>
      <c r="W183" s="77"/>
    </row>
    <row r="184" spans="11:23" x14ac:dyDescent="0.25">
      <c r="K184"/>
      <c r="U184" s="77"/>
      <c r="V184" s="77"/>
      <c r="W184" s="77"/>
    </row>
    <row r="185" spans="11:23" x14ac:dyDescent="0.25">
      <c r="K185"/>
      <c r="U185" s="77"/>
      <c r="V185" s="77"/>
      <c r="W185" s="77"/>
    </row>
    <row r="186" spans="11:23" x14ac:dyDescent="0.25">
      <c r="K186"/>
    </row>
    <row r="187" spans="11:23" x14ac:dyDescent="0.25">
      <c r="K187"/>
      <c r="U187" s="11"/>
      <c r="V187" s="11"/>
      <c r="W187" s="11"/>
    </row>
    <row r="188" spans="11:23" x14ac:dyDescent="0.25">
      <c r="K188"/>
    </row>
    <row r="189" spans="11:23" x14ac:dyDescent="0.25">
      <c r="K189"/>
    </row>
    <row r="190" spans="11:23" x14ac:dyDescent="0.25">
      <c r="K190"/>
    </row>
    <row r="191" spans="11:23" x14ac:dyDescent="0.25">
      <c r="K191"/>
      <c r="U191" s="77"/>
      <c r="V191" s="77"/>
      <c r="W191" s="77"/>
    </row>
    <row r="192" spans="11:23" x14ac:dyDescent="0.25">
      <c r="K192"/>
      <c r="U192" s="77"/>
      <c r="V192" s="77"/>
      <c r="W192" s="77"/>
    </row>
    <row r="193" spans="11:23" x14ac:dyDescent="0.25">
      <c r="K193"/>
      <c r="U193" s="77"/>
      <c r="V193" s="77"/>
      <c r="W193" s="77"/>
    </row>
    <row r="194" spans="11:23" x14ac:dyDescent="0.25">
      <c r="K194"/>
      <c r="U194" s="84"/>
      <c r="V194" s="84"/>
      <c r="W194" s="84"/>
    </row>
    <row r="195" spans="11:23" x14ac:dyDescent="0.25">
      <c r="K195"/>
      <c r="U195" s="77"/>
      <c r="V195" s="77"/>
      <c r="W195" s="77"/>
    </row>
    <row r="196" spans="11:23" x14ac:dyDescent="0.25">
      <c r="K196"/>
      <c r="U196" s="77"/>
      <c r="V196" s="77"/>
      <c r="W196" s="77"/>
    </row>
    <row r="197" spans="11:23" x14ac:dyDescent="0.25">
      <c r="K197"/>
      <c r="U197" s="77"/>
      <c r="V197" s="77"/>
      <c r="W197" s="77"/>
    </row>
    <row r="198" spans="11:23" x14ac:dyDescent="0.25">
      <c r="K198"/>
      <c r="U198" s="77"/>
      <c r="V198" s="77"/>
      <c r="W198" s="77"/>
    </row>
    <row r="199" spans="11:23" x14ac:dyDescent="0.25">
      <c r="K199"/>
      <c r="U199" s="77"/>
      <c r="V199" s="77"/>
      <c r="W199" s="77"/>
    </row>
    <row r="200" spans="11:23" x14ac:dyDescent="0.25">
      <c r="K200"/>
      <c r="U200" s="77"/>
      <c r="V200" s="77"/>
      <c r="W200" s="77"/>
    </row>
    <row r="201" spans="11:23" x14ac:dyDescent="0.25">
      <c r="K201"/>
    </row>
    <row r="202" spans="11:23" x14ac:dyDescent="0.25">
      <c r="K202"/>
      <c r="U202" s="10"/>
      <c r="V202" s="10"/>
      <c r="W202" s="10"/>
    </row>
    <row r="203" spans="11:23" x14ac:dyDescent="0.25">
      <c r="K203"/>
    </row>
    <row r="204" spans="11:23" x14ac:dyDescent="0.25">
      <c r="K204"/>
    </row>
    <row r="205" spans="11:23" x14ac:dyDescent="0.25">
      <c r="K205"/>
      <c r="U205" s="190"/>
      <c r="V205" s="190"/>
      <c r="W205" s="190"/>
    </row>
    <row r="206" spans="11:23" x14ac:dyDescent="0.25">
      <c r="K206"/>
    </row>
    <row r="207" spans="11:23" x14ac:dyDescent="0.25">
      <c r="K207"/>
    </row>
    <row r="208" spans="11:23" x14ac:dyDescent="0.25">
      <c r="K208"/>
      <c r="U208" s="60"/>
      <c r="V208" s="60"/>
      <c r="W208" s="60"/>
    </row>
    <row r="209" spans="11:23" x14ac:dyDescent="0.25">
      <c r="K209"/>
    </row>
    <row r="210" spans="11:23" x14ac:dyDescent="0.25">
      <c r="K210"/>
    </row>
    <row r="211" spans="11:23" x14ac:dyDescent="0.25">
      <c r="K211"/>
      <c r="U211" s="5"/>
      <c r="V211" s="5"/>
      <c r="W211" s="5"/>
    </row>
    <row r="212" spans="11:23" x14ac:dyDescent="0.25">
      <c r="K212"/>
      <c r="U212" s="5"/>
      <c r="V212" s="5"/>
      <c r="W212" s="5"/>
    </row>
    <row r="213" spans="11:23" x14ac:dyDescent="0.25">
      <c r="K213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1:23" x14ac:dyDescent="0.25">
      <c r="K214"/>
    </row>
    <row r="215" spans="11:23" x14ac:dyDescent="0.25">
      <c r="K215"/>
    </row>
    <row r="216" spans="11:23" x14ac:dyDescent="0.25">
      <c r="K216"/>
    </row>
    <row r="217" spans="11:23" x14ac:dyDescent="0.25">
      <c r="K217"/>
    </row>
    <row r="218" spans="11:23" x14ac:dyDescent="0.25">
      <c r="K218"/>
    </row>
    <row r="219" spans="11:23" x14ac:dyDescent="0.25">
      <c r="K219"/>
    </row>
    <row r="220" spans="11:23" x14ac:dyDescent="0.25">
      <c r="K220"/>
    </row>
    <row r="221" spans="11:23" x14ac:dyDescent="0.25">
      <c r="K221"/>
    </row>
    <row r="222" spans="11:23" x14ac:dyDescent="0.25">
      <c r="K222"/>
    </row>
    <row r="223" spans="11:23" x14ac:dyDescent="0.25">
      <c r="K223"/>
    </row>
    <row r="224" spans="11:23" x14ac:dyDescent="0.25">
      <c r="K224"/>
    </row>
    <row r="225" spans="11:11" x14ac:dyDescent="0.25">
      <c r="K225"/>
    </row>
    <row r="226" spans="11:11" x14ac:dyDescent="0.25">
      <c r="K226"/>
    </row>
    <row r="227" spans="11:11" x14ac:dyDescent="0.25">
      <c r="K227"/>
    </row>
    <row r="228" spans="11:11" x14ac:dyDescent="0.25">
      <c r="K228"/>
    </row>
    <row r="229" spans="11:11" x14ac:dyDescent="0.25">
      <c r="K229"/>
    </row>
    <row r="230" spans="11:11" x14ac:dyDescent="0.25">
      <c r="K230"/>
    </row>
    <row r="231" spans="11:11" x14ac:dyDescent="0.25">
      <c r="K231"/>
    </row>
    <row r="232" spans="11:11" x14ac:dyDescent="0.25">
      <c r="K232"/>
    </row>
    <row r="233" spans="11:11" x14ac:dyDescent="0.25">
      <c r="K233"/>
    </row>
    <row r="234" spans="11:11" x14ac:dyDescent="0.25">
      <c r="K234"/>
    </row>
    <row r="235" spans="11:11" x14ac:dyDescent="0.25">
      <c r="K235"/>
    </row>
    <row r="236" spans="11:11" x14ac:dyDescent="0.25">
      <c r="K236"/>
    </row>
    <row r="237" spans="11:11" x14ac:dyDescent="0.25">
      <c r="K237"/>
    </row>
    <row r="238" spans="11:11" x14ac:dyDescent="0.25">
      <c r="K238"/>
    </row>
    <row r="239" spans="11:11" x14ac:dyDescent="0.25">
      <c r="K239"/>
    </row>
    <row r="240" spans="11:11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3" spans="11:11" x14ac:dyDescent="0.25">
      <c r="K253"/>
    </row>
    <row r="254" spans="11:11" x14ac:dyDescent="0.25">
      <c r="K254"/>
    </row>
    <row r="255" spans="11:11" x14ac:dyDescent="0.25">
      <c r="K255"/>
    </row>
    <row r="256" spans="11:11" x14ac:dyDescent="0.25">
      <c r="K256"/>
    </row>
    <row r="257" spans="11:11" x14ac:dyDescent="0.25">
      <c r="K257"/>
    </row>
    <row r="258" spans="11:11" x14ac:dyDescent="0.25">
      <c r="K258"/>
    </row>
    <row r="259" spans="11:11" x14ac:dyDescent="0.25">
      <c r="K259"/>
    </row>
    <row r="260" spans="11:11" x14ac:dyDescent="0.25">
      <c r="K260"/>
    </row>
    <row r="261" spans="11:11" x14ac:dyDescent="0.25">
      <c r="K261"/>
    </row>
    <row r="262" spans="11:11" x14ac:dyDescent="0.25">
      <c r="K262"/>
    </row>
    <row r="263" spans="11:11" x14ac:dyDescent="0.25">
      <c r="K263"/>
    </row>
    <row r="264" spans="11:11" x14ac:dyDescent="0.25">
      <c r="K264"/>
    </row>
    <row r="265" spans="11:11" x14ac:dyDescent="0.25">
      <c r="K265"/>
    </row>
    <row r="266" spans="11:11" x14ac:dyDescent="0.25">
      <c r="K266"/>
    </row>
  </sheetData>
  <sortState xmlns:xlrd2="http://schemas.microsoft.com/office/spreadsheetml/2017/richdata2" ref="B4:AH41">
    <sortCondition descending="1" ref="O4:O41"/>
  </sortState>
  <mergeCells count="5">
    <mergeCell ref="A1:E1"/>
    <mergeCell ref="F1:G1"/>
    <mergeCell ref="P1:Q1"/>
    <mergeCell ref="R60:S60"/>
    <mergeCell ref="AE60:AG60"/>
  </mergeCells>
  <conditionalFormatting sqref="O4:O5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:S3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:S5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W4:W3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V240"/>
  <sheetViews>
    <sheetView zoomScale="80" zoomScaleNormal="80" workbookViewId="0">
      <selection activeCell="R40" sqref="R40"/>
    </sheetView>
  </sheetViews>
  <sheetFormatPr defaultRowHeight="15" x14ac:dyDescent="0.25"/>
  <cols>
    <col min="4" max="4" width="10.5703125" bestFit="1" customWidth="1"/>
    <col min="5" max="5" width="14.85546875" customWidth="1"/>
    <col min="6" max="6" width="12" customWidth="1"/>
    <col min="7" max="7" width="12.140625" customWidth="1"/>
    <col min="8" max="8" width="10.28515625" customWidth="1"/>
    <col min="9" max="9" width="20.28515625" customWidth="1"/>
    <col min="10" max="10" width="4.42578125" customWidth="1"/>
    <col min="11" max="11" width="10.7109375" customWidth="1"/>
    <col min="12" max="12" width="6.5703125" customWidth="1"/>
    <col min="13" max="13" width="20" customWidth="1"/>
    <col min="14" max="14" width="5" customWidth="1"/>
    <col min="15" max="15" width="15.28515625" customWidth="1"/>
    <col min="16" max="16" width="16.7109375" customWidth="1"/>
    <col min="17" max="17" width="6.7109375" customWidth="1"/>
    <col min="18" max="18" width="15" customWidth="1"/>
    <col min="19" max="19" width="7.7109375" customWidth="1"/>
    <col min="20" max="20" width="19.5703125" bestFit="1" customWidth="1"/>
    <col min="21" max="21" width="13.7109375" customWidth="1"/>
  </cols>
  <sheetData>
    <row r="1" spans="1:22" ht="15" customHeight="1" x14ac:dyDescent="0.25">
      <c r="A1" s="955" t="s">
        <v>243</v>
      </c>
      <c r="B1" s="956"/>
      <c r="C1" s="956"/>
      <c r="D1" s="956"/>
      <c r="E1" s="956"/>
      <c r="F1" s="957"/>
    </row>
    <row r="2" spans="1:22" ht="15" customHeight="1" x14ac:dyDescent="0.25">
      <c r="A2" s="958"/>
      <c r="B2" s="959"/>
      <c r="C2" s="959"/>
      <c r="D2" s="959"/>
      <c r="E2" s="959"/>
      <c r="F2" s="960"/>
      <c r="M2" s="5">
        <v>1388474.4000000001</v>
      </c>
    </row>
    <row r="3" spans="1:22" x14ac:dyDescent="0.25">
      <c r="E3" s="96" t="s">
        <v>77</v>
      </c>
      <c r="F3" s="96" t="s">
        <v>87</v>
      </c>
      <c r="G3" s="142" t="s">
        <v>88</v>
      </c>
      <c r="J3" s="148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2" x14ac:dyDescent="0.25">
      <c r="C4" s="71"/>
      <c r="D4" s="72"/>
      <c r="E4" s="72"/>
      <c r="F4" s="72"/>
      <c r="G4" s="73"/>
      <c r="H4" s="131"/>
      <c r="I4" s="35" t="s">
        <v>96</v>
      </c>
      <c r="J4" s="149"/>
      <c r="K4" s="80" t="s">
        <v>102</v>
      </c>
      <c r="L4" s="52"/>
      <c r="M4" s="80" t="s">
        <v>97</v>
      </c>
      <c r="N4" s="52"/>
      <c r="O4" s="80" t="s">
        <v>99</v>
      </c>
      <c r="P4" s="80" t="s">
        <v>98</v>
      </c>
      <c r="Q4" s="52"/>
      <c r="R4" s="80" t="s">
        <v>100</v>
      </c>
      <c r="S4" s="52"/>
      <c r="T4" s="150" t="s">
        <v>101</v>
      </c>
      <c r="U4" s="80" t="s">
        <v>103</v>
      </c>
      <c r="V4" s="80" t="s">
        <v>125</v>
      </c>
    </row>
    <row r="5" spans="1:22" x14ac:dyDescent="0.25">
      <c r="C5" s="12"/>
      <c r="D5" s="52"/>
      <c r="E5" s="139" t="s">
        <v>2</v>
      </c>
      <c r="F5" s="138" t="s">
        <v>89</v>
      </c>
      <c r="G5" s="128" t="s">
        <v>90</v>
      </c>
      <c r="H5" s="132"/>
      <c r="I5" s="13"/>
      <c r="U5" s="28"/>
      <c r="V5" s="51"/>
    </row>
    <row r="6" spans="1:22" x14ac:dyDescent="0.25">
      <c r="C6" s="3" t="s">
        <v>37</v>
      </c>
      <c r="D6" s="29">
        <v>290000</v>
      </c>
      <c r="E6" s="9">
        <f>_xll.BDP(C6&amp;" EQUITY",$E$3)</f>
        <v>209.495</v>
      </c>
      <c r="F6" s="111">
        <f>_xll.BDP(C6&amp;" EQUITY",$F$3)</f>
        <v>1.355</v>
      </c>
      <c r="G6" s="129">
        <f>_xll.BDP(C6&amp;" EQUITY",$G$3)*0.01</f>
        <v>6.5100410000000003E-3</v>
      </c>
      <c r="H6" s="126"/>
      <c r="I6" s="30">
        <f t="shared" ref="I6:I31" si="0">+E6*D6</f>
        <v>60753550</v>
      </c>
      <c r="J6" s="77"/>
      <c r="K6" s="86">
        <f t="shared" ref="K6:K31" si="1">+I6/M6</f>
        <v>27.366838470519248</v>
      </c>
      <c r="M6" s="84">
        <f>894807.15+1325162.47</f>
        <v>2219969.62</v>
      </c>
      <c r="O6" s="10">
        <f t="shared" ref="O6:O31" si="2">+M6/D6</f>
        <v>7.6550676551724139</v>
      </c>
      <c r="P6" s="118">
        <f t="shared" ref="P6:P31" si="3">+(E6/O6)-1</f>
        <v>26.366838470519248</v>
      </c>
      <c r="R6" s="126">
        <f t="shared" ref="R6:R46" si="4">+RANK(P6,$P$6:$P$62)</f>
        <v>2</v>
      </c>
      <c r="T6" s="10">
        <f t="shared" ref="T6:T31" si="5">+I6-M6</f>
        <v>58533580.380000003</v>
      </c>
      <c r="U6" s="151">
        <f t="shared" ref="U6:U31" si="6">+T6/I6</f>
        <v>0.96345942549859231</v>
      </c>
      <c r="V6" s="216">
        <f t="shared" ref="V6:V46" si="7">+RANK(U6,$U$6:$U$62)</f>
        <v>2</v>
      </c>
    </row>
    <row r="7" spans="1:22" x14ac:dyDescent="0.25">
      <c r="C7" s="188" t="s">
        <v>38</v>
      </c>
      <c r="D7" s="29">
        <v>140000</v>
      </c>
      <c r="E7" s="9">
        <f>_xll.BDP(C7&amp;" EQUITY",$E$3)</f>
        <v>449.16</v>
      </c>
      <c r="F7" s="112">
        <f>_xll.BDP(C7&amp;" EQUITY",$F$3)</f>
        <v>1.49</v>
      </c>
      <c r="G7" s="127">
        <f>_xll.BDP(C7&amp;" EQUITY",$G$3)*0.01</f>
        <v>3.3283449999999999E-3</v>
      </c>
      <c r="H7" s="126"/>
      <c r="I7" s="30">
        <f t="shared" si="0"/>
        <v>62882400</v>
      </c>
      <c r="J7" s="77"/>
      <c r="K7" s="86">
        <f t="shared" si="1"/>
        <v>31.55991609598582</v>
      </c>
      <c r="M7" s="77">
        <v>1992476.78</v>
      </c>
      <c r="O7" s="10">
        <f t="shared" si="2"/>
        <v>14.231977000000001</v>
      </c>
      <c r="P7" s="118">
        <f t="shared" si="3"/>
        <v>30.559916095985823</v>
      </c>
      <c r="R7" s="126">
        <f t="shared" si="4"/>
        <v>1</v>
      </c>
      <c r="T7" s="10">
        <f t="shared" si="5"/>
        <v>60889923.219999999</v>
      </c>
      <c r="U7" s="151">
        <f t="shared" si="6"/>
        <v>0.96831423768812896</v>
      </c>
      <c r="V7" s="187">
        <f t="shared" si="7"/>
        <v>1</v>
      </c>
    </row>
    <row r="8" spans="1:22" x14ac:dyDescent="0.25">
      <c r="C8" s="188" t="s">
        <v>28</v>
      </c>
      <c r="D8" s="29">
        <v>320000</v>
      </c>
      <c r="E8" s="9">
        <f>_xll.BDP(C8&amp;" EQUITY",$E$3)</f>
        <v>183.8</v>
      </c>
      <c r="F8" s="112">
        <f>_xll.BDP(C8&amp;" EQUITY",$F$3)</f>
        <v>3.01</v>
      </c>
      <c r="G8" s="127">
        <f>_xll.BDP(C8&amp;" EQUITY",$G$3)*0.01</f>
        <v>1.6649149999999998E-2</v>
      </c>
      <c r="H8" s="126"/>
      <c r="I8" s="30">
        <f t="shared" si="0"/>
        <v>58816000</v>
      </c>
      <c r="J8" s="77"/>
      <c r="K8" s="86">
        <f t="shared" si="1"/>
        <v>10.099482599502076</v>
      </c>
      <c r="M8" s="84">
        <f>1085530.68+1229513.68+882973.01+1000089.11+1625558.19</f>
        <v>5823664.6699999999</v>
      </c>
      <c r="O8" s="10">
        <f t="shared" si="2"/>
        <v>18.198952093749998</v>
      </c>
      <c r="P8" s="118">
        <f t="shared" si="3"/>
        <v>9.0994825995020783</v>
      </c>
      <c r="R8" s="126">
        <f t="shared" si="4"/>
        <v>7</v>
      </c>
      <c r="T8" s="10">
        <f t="shared" si="5"/>
        <v>52992335.329999998</v>
      </c>
      <c r="U8" s="151">
        <f t="shared" si="6"/>
        <v>0.90098502669341674</v>
      </c>
      <c r="V8" s="187">
        <f t="shared" si="7"/>
        <v>7</v>
      </c>
    </row>
    <row r="9" spans="1:22" x14ac:dyDescent="0.25">
      <c r="C9" s="3" t="s">
        <v>32</v>
      </c>
      <c r="D9" s="101">
        <v>35000</v>
      </c>
      <c r="E9" s="9">
        <f>_xll.BDP(C9&amp;" EQUITY",$E$3)</f>
        <v>485.59</v>
      </c>
      <c r="F9" s="112">
        <f>_xll.BDP(C9&amp;" EQUITY",$F$3)</f>
        <v>-4.3899999999999997</v>
      </c>
      <c r="G9" s="127">
        <f>_xll.BDP(C9&amp;" EQUITY",$G$3)*0.01</f>
        <v>-8.9595490000000007E-3</v>
      </c>
      <c r="H9" s="126"/>
      <c r="I9" s="30">
        <f t="shared" si="0"/>
        <v>16995650</v>
      </c>
      <c r="J9" s="77"/>
      <c r="K9" s="86">
        <f t="shared" si="1"/>
        <v>13.27605566481378</v>
      </c>
      <c r="M9" s="84">
        <f>255513.95+251574.17+773085.03</f>
        <v>1280173.1499999999</v>
      </c>
      <c r="O9" s="10">
        <f t="shared" si="2"/>
        <v>36.57637571428571</v>
      </c>
      <c r="P9" s="118">
        <f t="shared" si="3"/>
        <v>12.27605566481378</v>
      </c>
      <c r="R9" s="126">
        <f t="shared" si="4"/>
        <v>4</v>
      </c>
      <c r="T9" s="10">
        <f t="shared" si="5"/>
        <v>15715476.85</v>
      </c>
      <c r="U9" s="151">
        <f t="shared" si="6"/>
        <v>0.92467642308473053</v>
      </c>
      <c r="V9" s="187">
        <f t="shared" si="7"/>
        <v>4</v>
      </c>
    </row>
    <row r="10" spans="1:22" x14ac:dyDescent="0.25">
      <c r="C10" s="3" t="s">
        <v>41</v>
      </c>
      <c r="D10" s="29">
        <v>34000</v>
      </c>
      <c r="E10" s="9">
        <f>_xll.BDP(C10&amp;" EQUITY",$E$3)</f>
        <v>559.61</v>
      </c>
      <c r="F10" s="112">
        <f>_xll.BDP(C10&amp;" EQUITY",$F$3)</f>
        <v>-6.34</v>
      </c>
      <c r="G10" s="127">
        <f>_xll.BDP(C10&amp;" EQUITY",$G$3)*0.01</f>
        <v>-1.12024E-2</v>
      </c>
      <c r="H10" s="126"/>
      <c r="I10" s="30">
        <f t="shared" si="0"/>
        <v>19026740</v>
      </c>
      <c r="J10" s="77"/>
      <c r="K10" s="86">
        <f t="shared" si="1"/>
        <v>11.672803873227531</v>
      </c>
      <c r="M10" s="77">
        <f>443538.55+1186467.42</f>
        <v>1630005.97</v>
      </c>
      <c r="O10" s="10">
        <f t="shared" si="2"/>
        <v>47.941352058823526</v>
      </c>
      <c r="P10" s="118">
        <f t="shared" si="3"/>
        <v>10.672803873227533</v>
      </c>
      <c r="R10" s="126">
        <f t="shared" si="4"/>
        <v>5</v>
      </c>
      <c r="T10" s="10">
        <f t="shared" si="5"/>
        <v>17396734.030000001</v>
      </c>
      <c r="U10" s="151">
        <f t="shared" si="6"/>
        <v>0.91433078025978187</v>
      </c>
      <c r="V10" s="187">
        <f t="shared" si="7"/>
        <v>5</v>
      </c>
    </row>
    <row r="11" spans="1:22" x14ac:dyDescent="0.25">
      <c r="C11" s="3" t="s">
        <v>31</v>
      </c>
      <c r="D11" s="29">
        <v>77000</v>
      </c>
      <c r="E11" s="9">
        <f>_xll.BDP(C11&amp;" EQUITY",$E$3)</f>
        <v>275.21679999999998</v>
      </c>
      <c r="F11" s="112">
        <f>_xll.BDP(C11&amp;" EQUITY",$F$3)</f>
        <v>-1.0831999999999999</v>
      </c>
      <c r="G11" s="127">
        <f>_xll.BDP(C11&amp;" EQUITY",$G$3)*0.01</f>
        <v>-2.8954039999999999E-3</v>
      </c>
      <c r="H11" s="126"/>
      <c r="I11" s="30">
        <f t="shared" si="0"/>
        <v>21191693.599999998</v>
      </c>
      <c r="J11" s="77"/>
      <c r="K11" s="86">
        <f t="shared" si="1"/>
        <v>9.1827774120896883</v>
      </c>
      <c r="M11" s="84">
        <f>402162.07+1023178.47+347964.34+534460.26</f>
        <v>2307765.14</v>
      </c>
      <c r="O11" s="10">
        <f t="shared" si="2"/>
        <v>29.970975844155845</v>
      </c>
      <c r="P11" s="118">
        <f t="shared" si="3"/>
        <v>8.1827774120896883</v>
      </c>
      <c r="R11" s="126">
        <f t="shared" si="4"/>
        <v>8</v>
      </c>
      <c r="T11" s="10">
        <f t="shared" si="5"/>
        <v>18883928.459999997</v>
      </c>
      <c r="U11" s="151">
        <f t="shared" si="6"/>
        <v>0.89110048571106182</v>
      </c>
      <c r="V11" s="187">
        <f t="shared" si="7"/>
        <v>8</v>
      </c>
    </row>
    <row r="12" spans="1:22" x14ac:dyDescent="0.25">
      <c r="C12" s="3" t="s">
        <v>42</v>
      </c>
      <c r="D12" s="29">
        <v>180000</v>
      </c>
      <c r="E12" s="9">
        <f>_xll.BDP(C12&amp;" EQUITY",$E$3)</f>
        <v>188.315</v>
      </c>
      <c r="F12" s="112">
        <f>_xll.BDP(C12&amp;" EQUITY",$F$3)</f>
        <v>2.7450000000000001</v>
      </c>
      <c r="G12" s="127">
        <f>_xll.BDP(C12&amp;" EQUITY",$G$3)*0.01</f>
        <v>1.479226E-2</v>
      </c>
      <c r="H12" s="126"/>
      <c r="I12" s="30">
        <f t="shared" si="0"/>
        <v>33896700</v>
      </c>
      <c r="J12" s="77"/>
      <c r="K12" s="86">
        <f t="shared" si="1"/>
        <v>4.1541672883817791</v>
      </c>
      <c r="M12" s="84">
        <f>3264714+1336589.13+2143079.16+1415303.55</f>
        <v>8159685.8399999999</v>
      </c>
      <c r="O12" s="10">
        <f t="shared" si="2"/>
        <v>45.331587999999996</v>
      </c>
      <c r="P12" s="118">
        <f t="shared" si="3"/>
        <v>3.1541672883817791</v>
      </c>
      <c r="R12" s="126">
        <f t="shared" si="4"/>
        <v>13</v>
      </c>
      <c r="T12" s="10">
        <f t="shared" si="5"/>
        <v>25737014.16</v>
      </c>
      <c r="U12" s="151">
        <f t="shared" si="6"/>
        <v>0.75927786952712206</v>
      </c>
      <c r="V12" s="126">
        <f t="shared" si="7"/>
        <v>13</v>
      </c>
    </row>
    <row r="13" spans="1:22" x14ac:dyDescent="0.25">
      <c r="C13" s="3" t="s">
        <v>15</v>
      </c>
      <c r="D13" s="29">
        <v>120000</v>
      </c>
      <c r="E13" s="9">
        <f>_xll.BDP(C13&amp;" EQUITY",$E$3)</f>
        <v>199.30009999999999</v>
      </c>
      <c r="F13" s="112">
        <f>_xll.BDP(C13&amp;" EQUITY",$F$3)</f>
        <v>0.42009999999999997</v>
      </c>
      <c r="G13" s="127">
        <f>_xll.BDP(C13&amp;" EQUITY",$G$3)*0.01</f>
        <v>2.112329E-3</v>
      </c>
      <c r="H13" s="126"/>
      <c r="I13" s="30">
        <f t="shared" si="0"/>
        <v>23916012</v>
      </c>
      <c r="J13" s="77"/>
      <c r="K13" s="86">
        <f t="shared" si="1"/>
        <v>3.418861196176334</v>
      </c>
      <c r="M13" s="84">
        <f>1240848+1745814.33+2041465.16+1967187.8</f>
        <v>6995315.29</v>
      </c>
      <c r="O13" s="10">
        <f t="shared" si="2"/>
        <v>58.294294083333334</v>
      </c>
      <c r="P13" s="8">
        <f t="shared" si="3"/>
        <v>2.418861196176334</v>
      </c>
      <c r="R13" s="126">
        <f t="shared" si="4"/>
        <v>16</v>
      </c>
      <c r="T13" s="10">
        <f t="shared" si="5"/>
        <v>16920696.710000001</v>
      </c>
      <c r="U13" s="151">
        <f t="shared" si="6"/>
        <v>0.70750494313182322</v>
      </c>
      <c r="V13" s="126">
        <f t="shared" si="7"/>
        <v>16</v>
      </c>
    </row>
    <row r="14" spans="1:22" x14ac:dyDescent="0.25">
      <c r="C14" s="31" t="s">
        <v>17</v>
      </c>
      <c r="D14" s="32">
        <v>46000</v>
      </c>
      <c r="E14" s="33">
        <f>_xll.BDP(C14&amp;" EQUITY",$E$3)</f>
        <v>456.83</v>
      </c>
      <c r="F14" s="114">
        <f>_xll.BDP(C14&amp;" EQUITY",$F$3)</f>
        <v>-0.13</v>
      </c>
      <c r="G14" s="130">
        <f>_xll.BDP(C14&amp;" EQUITY",$G$3)*0.01</f>
        <v>-2.8448880000000001E-4</v>
      </c>
      <c r="H14" s="126"/>
      <c r="I14" s="75">
        <f t="shared" si="0"/>
        <v>21014180</v>
      </c>
      <c r="J14" s="77"/>
      <c r="K14" s="86">
        <f t="shared" si="1"/>
        <v>3.6245013509586101</v>
      </c>
      <c r="M14" s="77">
        <f>2384950.41+2501001.18+911861.12</f>
        <v>5797812.71</v>
      </c>
      <c r="O14" s="10">
        <f t="shared" si="2"/>
        <v>126.03940673913043</v>
      </c>
      <c r="P14" s="118">
        <f t="shared" si="3"/>
        <v>2.6245013509586101</v>
      </c>
      <c r="R14" s="126">
        <f t="shared" si="4"/>
        <v>15</v>
      </c>
      <c r="T14" s="10">
        <f t="shared" si="5"/>
        <v>15216367.289999999</v>
      </c>
      <c r="U14" s="151">
        <f t="shared" si="6"/>
        <v>0.72409997868106202</v>
      </c>
      <c r="V14" s="126">
        <f t="shared" si="7"/>
        <v>15</v>
      </c>
    </row>
    <row r="15" spans="1:22" x14ac:dyDescent="0.25">
      <c r="C15" s="188" t="s">
        <v>39</v>
      </c>
      <c r="D15" s="29">
        <v>55000</v>
      </c>
      <c r="E15" s="9">
        <f>_xll.BDP(C15&amp;" EQUITY",$E$3)</f>
        <v>255.3425</v>
      </c>
      <c r="F15" s="112">
        <f>_xll.BDP(C15&amp;" EQUITY",$F$3)</f>
        <v>-1.4175</v>
      </c>
      <c r="G15" s="127">
        <f>_xll.BDP(C15&amp;" EQUITY",$G$3)*0.01</f>
        <v>-5.5207199999999998E-3</v>
      </c>
      <c r="H15" s="126"/>
      <c r="I15" s="30">
        <f t="shared" si="0"/>
        <v>14043837.5</v>
      </c>
      <c r="J15" s="77"/>
      <c r="K15" s="86">
        <f t="shared" si="1"/>
        <v>14.962375646186818</v>
      </c>
      <c r="M15" s="77">
        <v>938610.14</v>
      </c>
      <c r="O15" s="10">
        <f t="shared" si="2"/>
        <v>17.065638909090911</v>
      </c>
      <c r="P15" s="118">
        <f t="shared" si="3"/>
        <v>13.962375646186818</v>
      </c>
      <c r="R15" s="126">
        <f t="shared" si="4"/>
        <v>3</v>
      </c>
      <c r="T15" s="10">
        <f t="shared" si="5"/>
        <v>13105227.359999999</v>
      </c>
      <c r="U15" s="151">
        <f t="shared" si="6"/>
        <v>0.93316569349367651</v>
      </c>
      <c r="V15" s="187">
        <f t="shared" si="7"/>
        <v>3</v>
      </c>
    </row>
    <row r="16" spans="1:22" x14ac:dyDescent="0.25">
      <c r="C16" s="3" t="s">
        <v>24</v>
      </c>
      <c r="D16" s="101">
        <v>30000</v>
      </c>
      <c r="E16" s="9">
        <f>_xll.BDP(C16&amp;" EQUITY",$E$3)</f>
        <v>750.48</v>
      </c>
      <c r="F16" s="112">
        <f>_xll.BDP(C16&amp;" EQUITY",$F$3)</f>
        <v>10.89</v>
      </c>
      <c r="G16" s="127">
        <f>_xll.BDP(C16&amp;" EQUITY",$G$3)*0.01</f>
        <v>1.4724370000000001E-2</v>
      </c>
      <c r="H16" s="126"/>
      <c r="I16" s="30">
        <f t="shared" si="0"/>
        <v>22514400</v>
      </c>
      <c r="J16" s="77"/>
      <c r="K16" s="86">
        <f t="shared" si="1"/>
        <v>7.2703705372128402</v>
      </c>
      <c r="M16" s="84">
        <f>831818.25+942702.75+1322212.5</f>
        <v>3096733.5</v>
      </c>
      <c r="O16" s="10">
        <f t="shared" si="2"/>
        <v>103.22445</v>
      </c>
      <c r="P16" s="118">
        <f t="shared" si="3"/>
        <v>6.2703705372128402</v>
      </c>
      <c r="R16" s="126">
        <f t="shared" si="4"/>
        <v>9</v>
      </c>
      <c r="T16" s="10">
        <f t="shared" si="5"/>
        <v>19417666.5</v>
      </c>
      <c r="U16" s="151">
        <f t="shared" si="6"/>
        <v>0.86245542852574353</v>
      </c>
      <c r="V16" s="187">
        <f t="shared" si="7"/>
        <v>9</v>
      </c>
    </row>
    <row r="17" spans="1:22" x14ac:dyDescent="0.25">
      <c r="C17" s="188" t="s">
        <v>16</v>
      </c>
      <c r="D17" s="101">
        <v>23000</v>
      </c>
      <c r="E17" s="9">
        <f>_xll.BDP(C17&amp;" EQUITY",$E$3)</f>
        <v>489.23500000000001</v>
      </c>
      <c r="F17" s="112">
        <f>_xll.BDP(C17&amp;" EQUITY",$F$3)</f>
        <v>-2.2549999999999999</v>
      </c>
      <c r="G17" s="127">
        <f>_xll.BDP(C17&amp;" EQUITY",$G$3)*0.01</f>
        <v>-4.5880890000000001E-3</v>
      </c>
      <c r="H17" s="126"/>
      <c r="I17" s="30">
        <f t="shared" si="0"/>
        <v>11252405</v>
      </c>
      <c r="J17" s="77"/>
      <c r="K17" s="86">
        <f t="shared" si="1"/>
        <v>10.430502474615313</v>
      </c>
      <c r="M17" s="84">
        <f>489974.06+588823.92</f>
        <v>1078797.98</v>
      </c>
      <c r="O17" s="10">
        <f t="shared" si="2"/>
        <v>46.904260000000001</v>
      </c>
      <c r="P17" s="118">
        <f t="shared" si="3"/>
        <v>9.430502474615313</v>
      </c>
      <c r="R17" s="126">
        <f t="shared" si="4"/>
        <v>6</v>
      </c>
      <c r="T17" s="10">
        <f t="shared" si="5"/>
        <v>10173607.02</v>
      </c>
      <c r="U17" s="151">
        <f t="shared" si="6"/>
        <v>0.90412734166607045</v>
      </c>
      <c r="V17" s="187">
        <f t="shared" si="7"/>
        <v>6</v>
      </c>
    </row>
    <row r="18" spans="1:22" x14ac:dyDescent="0.25">
      <c r="C18" s="3" t="s">
        <v>110</v>
      </c>
      <c r="D18" s="101">
        <v>26000</v>
      </c>
      <c r="E18" s="9">
        <f>_xll.BDP(C18&amp;" EQUITY",$E$3)</f>
        <v>534</v>
      </c>
      <c r="F18" s="112">
        <f>_xll.BDP(C18&amp;" EQUITY",$F$3)</f>
        <v>-7.71</v>
      </c>
      <c r="G18" s="127">
        <f>_xll.BDP(C18&amp;" EQUITY",$G$3)*0.01</f>
        <v>-1.4232709999999999E-2</v>
      </c>
      <c r="H18" s="126"/>
      <c r="I18" s="30">
        <f t="shared" si="0"/>
        <v>13884000</v>
      </c>
      <c r="J18" s="77"/>
      <c r="K18" s="86">
        <f t="shared" si="1"/>
        <v>2.4109704992389007</v>
      </c>
      <c r="M18" s="77">
        <f>3746897.14+2011779.71</f>
        <v>5758676.8499999996</v>
      </c>
      <c r="O18" s="10">
        <f t="shared" si="2"/>
        <v>221.48757115384615</v>
      </c>
      <c r="P18" s="8">
        <f t="shared" si="3"/>
        <v>1.4109704992389007</v>
      </c>
      <c r="R18" s="126">
        <f t="shared" si="4"/>
        <v>26</v>
      </c>
      <c r="T18" s="10">
        <f t="shared" si="5"/>
        <v>8125323.1500000004</v>
      </c>
      <c r="U18" s="151">
        <f t="shared" si="6"/>
        <v>0.58522926750216075</v>
      </c>
      <c r="V18" s="126">
        <f t="shared" si="7"/>
        <v>26</v>
      </c>
    </row>
    <row r="19" spans="1:22" x14ac:dyDescent="0.25">
      <c r="C19" s="3" t="s">
        <v>4</v>
      </c>
      <c r="D19" s="101">
        <v>20000</v>
      </c>
      <c r="E19" s="9">
        <f>_xll.BDP(C19&amp;" EQUITY",$E$3)</f>
        <v>387.98</v>
      </c>
      <c r="F19" s="112">
        <f>_xll.BDP(C19&amp;" EQUITY",$F$3)</f>
        <v>-1.74</v>
      </c>
      <c r="G19" s="127">
        <f>_xll.BDP(C19&amp;" EQUITY",$G$3)*0.01</f>
        <v>-4.4647439999999997E-3</v>
      </c>
      <c r="H19" s="126"/>
      <c r="I19" s="30">
        <f t="shared" si="0"/>
        <v>7759600</v>
      </c>
      <c r="J19" s="77"/>
      <c r="K19" s="86">
        <f t="shared" si="1"/>
        <v>2.7409154606067001</v>
      </c>
      <c r="M19" s="84">
        <f>798787.54+562177.56+719608.36+424475.9+325975.57</f>
        <v>2831024.9299999997</v>
      </c>
      <c r="O19" s="10">
        <f t="shared" si="2"/>
        <v>141.55124649999999</v>
      </c>
      <c r="P19" s="8">
        <f t="shared" si="3"/>
        <v>1.7409154606067001</v>
      </c>
      <c r="R19" s="126">
        <f t="shared" si="4"/>
        <v>24</v>
      </c>
      <c r="T19" s="10">
        <f t="shared" si="5"/>
        <v>4928575.07</v>
      </c>
      <c r="U19" s="151">
        <f t="shared" si="6"/>
        <v>0.63515839347389047</v>
      </c>
      <c r="V19" s="126">
        <f t="shared" si="7"/>
        <v>24</v>
      </c>
    </row>
    <row r="20" spans="1:22" x14ac:dyDescent="0.25">
      <c r="C20" s="3" t="s">
        <v>19</v>
      </c>
      <c r="D20" s="101">
        <v>23000</v>
      </c>
      <c r="E20" s="9">
        <f>_xll.BDP(C20&amp;" EQUITY",$E$3)</f>
        <v>432.995</v>
      </c>
      <c r="F20" s="112">
        <f>_xll.BDP(C20&amp;" EQUITY",$F$3)</f>
        <v>3.9550000000000001</v>
      </c>
      <c r="G20" s="127">
        <f>_xll.BDP(C20&amp;" EQUITY",$G$3)*0.01</f>
        <v>9.2182549999999999E-3</v>
      </c>
      <c r="H20" s="126"/>
      <c r="I20" s="30">
        <f t="shared" si="0"/>
        <v>9958885</v>
      </c>
      <c r="J20" s="77"/>
      <c r="K20" s="86">
        <f t="shared" si="1"/>
        <v>5.3968439938851676</v>
      </c>
      <c r="M20" s="84">
        <f>616291.82+573989.74+655034.89</f>
        <v>1845316.4500000002</v>
      </c>
      <c r="O20" s="10">
        <f t="shared" si="2"/>
        <v>80.231150000000014</v>
      </c>
      <c r="P20" s="8">
        <f t="shared" si="3"/>
        <v>4.3968439938851676</v>
      </c>
      <c r="R20" s="126">
        <f t="shared" si="4"/>
        <v>11</v>
      </c>
      <c r="T20" s="10">
        <f t="shared" si="5"/>
        <v>8113568.5499999998</v>
      </c>
      <c r="U20" s="151">
        <f t="shared" si="6"/>
        <v>0.81470652086051798</v>
      </c>
      <c r="V20" s="126">
        <f t="shared" si="7"/>
        <v>11</v>
      </c>
    </row>
    <row r="21" spans="1:22" x14ac:dyDescent="0.25">
      <c r="C21" s="3" t="s">
        <v>14</v>
      </c>
      <c r="D21" s="29">
        <v>100000</v>
      </c>
      <c r="E21" s="9">
        <f>_xll.BDP(C21&amp;" EQUITY",$E$3)</f>
        <v>124.01</v>
      </c>
      <c r="F21" s="112">
        <f>_xll.BDP(C21&amp;" EQUITY",$F$3)</f>
        <v>-1.25</v>
      </c>
      <c r="G21" s="127">
        <f>_xll.BDP(C21&amp;" EQUITY",$G$3)*0.01</f>
        <v>-9.9792430000000005E-3</v>
      </c>
      <c r="H21" s="126"/>
      <c r="I21" s="30">
        <f t="shared" si="0"/>
        <v>12401000</v>
      </c>
      <c r="J21" s="77"/>
      <c r="K21" s="86">
        <f t="shared" si="1"/>
        <v>3.3797336339832746</v>
      </c>
      <c r="M21" s="84">
        <f>998498.5+759673.54+917064.17+993987.86</f>
        <v>3669224.07</v>
      </c>
      <c r="O21" s="10">
        <f t="shared" si="2"/>
        <v>36.692240699999999</v>
      </c>
      <c r="P21" s="118">
        <f t="shared" si="3"/>
        <v>2.3797336339832746</v>
      </c>
      <c r="R21" s="126">
        <f t="shared" si="4"/>
        <v>17</v>
      </c>
      <c r="T21" s="10">
        <f t="shared" si="5"/>
        <v>8731775.9299999997</v>
      </c>
      <c r="U21" s="151">
        <f t="shared" si="6"/>
        <v>0.70411869446012421</v>
      </c>
      <c r="V21" s="126">
        <f t="shared" si="7"/>
        <v>17</v>
      </c>
    </row>
    <row r="22" spans="1:22" x14ac:dyDescent="0.25">
      <c r="C22" s="3" t="s">
        <v>35</v>
      </c>
      <c r="D22" s="101">
        <v>40000</v>
      </c>
      <c r="E22" s="245">
        <v>286.82</v>
      </c>
      <c r="F22" s="112"/>
      <c r="G22" s="127"/>
      <c r="H22" s="126"/>
      <c r="I22" s="30">
        <f t="shared" si="0"/>
        <v>11472800</v>
      </c>
      <c r="J22" s="77"/>
      <c r="K22" s="86">
        <f t="shared" si="1"/>
        <v>2.8329215710176854</v>
      </c>
      <c r="M22" s="84">
        <f>858981.11+1250693.47+1940137.5</f>
        <v>4049812.08</v>
      </c>
      <c r="O22" s="10">
        <f t="shared" si="2"/>
        <v>101.245302</v>
      </c>
      <c r="P22" s="8">
        <f t="shared" si="3"/>
        <v>1.8329215710176854</v>
      </c>
      <c r="R22" s="126">
        <f t="shared" si="4"/>
        <v>23</v>
      </c>
      <c r="T22" s="10">
        <f t="shared" si="5"/>
        <v>7422987.9199999999</v>
      </c>
      <c r="U22" s="151">
        <f t="shared" si="6"/>
        <v>0.64700752388257443</v>
      </c>
      <c r="V22" s="126">
        <f t="shared" si="7"/>
        <v>23</v>
      </c>
    </row>
    <row r="23" spans="1:22" x14ac:dyDescent="0.25">
      <c r="C23" s="3" t="s">
        <v>6</v>
      </c>
      <c r="D23" s="101">
        <v>110000</v>
      </c>
      <c r="E23" s="9">
        <f>_xll.BDP(C23&amp;" EQUITY",$E$3)</f>
        <v>110.97</v>
      </c>
      <c r="F23" s="112">
        <f>_xll.BDP(C23&amp;" EQUITY",$F$3)</f>
        <v>-0.08</v>
      </c>
      <c r="G23" s="127">
        <f>_xll.BDP(C23&amp;" EQUITY",$G$3)*0.01</f>
        <v>-7.2039619999999995E-4</v>
      </c>
      <c r="H23" s="126"/>
      <c r="I23" s="30">
        <f t="shared" si="0"/>
        <v>12206700</v>
      </c>
      <c r="J23" s="77"/>
      <c r="K23" s="86">
        <f t="shared" si="1"/>
        <v>3.9060625289101973</v>
      </c>
      <c r="M23" s="246">
        <f>950763.19+577438.45+1406015.95+190847.59</f>
        <v>3125065.1799999997</v>
      </c>
      <c r="O23" s="10">
        <f t="shared" si="2"/>
        <v>28.409683454545451</v>
      </c>
      <c r="P23" s="8">
        <f t="shared" si="3"/>
        <v>2.9060625289101973</v>
      </c>
      <c r="R23" s="126">
        <f t="shared" si="4"/>
        <v>14</v>
      </c>
      <c r="T23" s="10">
        <f t="shared" si="5"/>
        <v>9081634.8200000003</v>
      </c>
      <c r="U23" s="151">
        <f t="shared" si="6"/>
        <v>0.74398771330498825</v>
      </c>
      <c r="V23" s="187">
        <f t="shared" si="7"/>
        <v>14</v>
      </c>
    </row>
    <row r="24" spans="1:22" x14ac:dyDescent="0.25">
      <c r="C24" s="188" t="s">
        <v>43</v>
      </c>
      <c r="D24" s="101">
        <v>20000</v>
      </c>
      <c r="E24" s="9">
        <f>_xll.BDP(C24&amp;" EQUITY",$E$3)</f>
        <v>851.36</v>
      </c>
      <c r="F24" s="112">
        <f>_xll.BDP(C24&amp;" EQUITY",$F$3)</f>
        <v>3.2</v>
      </c>
      <c r="G24" s="127">
        <f>_xll.BDP(C24&amp;" EQUITY",$G$3)*0.01</f>
        <v>3.7728729999999999E-3</v>
      </c>
      <c r="H24" s="126"/>
      <c r="I24" s="30">
        <f t="shared" si="0"/>
        <v>17027200</v>
      </c>
      <c r="J24" s="77"/>
      <c r="K24" s="86">
        <f t="shared" si="1"/>
        <v>5.7088912779723877</v>
      </c>
      <c r="M24" s="246">
        <f>400183.65+612937.89+1969454.09</f>
        <v>2982575.63</v>
      </c>
      <c r="O24" s="10">
        <f t="shared" si="2"/>
        <v>149.1287815</v>
      </c>
      <c r="P24" s="8">
        <f t="shared" si="3"/>
        <v>4.7088912779723877</v>
      </c>
      <c r="R24" s="126">
        <f t="shared" si="4"/>
        <v>10</v>
      </c>
      <c r="T24" s="10">
        <f t="shared" si="5"/>
        <v>14044624.370000001</v>
      </c>
      <c r="U24" s="151">
        <f t="shared" si="6"/>
        <v>0.82483463928302958</v>
      </c>
      <c r="V24" s="187">
        <f t="shared" si="7"/>
        <v>10</v>
      </c>
    </row>
    <row r="25" spans="1:22" x14ac:dyDescent="0.25">
      <c r="C25" s="3" t="s">
        <v>7</v>
      </c>
      <c r="D25" s="101">
        <v>55000</v>
      </c>
      <c r="E25" s="9">
        <f>_xll.BDP(C25&amp;" EQUITY",$E$3)</f>
        <v>159.11000000000001</v>
      </c>
      <c r="F25" s="112">
        <f>_xll.BDP(C25&amp;" EQUITY",$F$3)</f>
        <v>-0.2</v>
      </c>
      <c r="G25" s="127">
        <f>_xll.BDP(C25&amp;" EQUITY",$G$3)*0.01</f>
        <v>-1.2554140000000001E-3</v>
      </c>
      <c r="H25" s="126"/>
      <c r="I25" s="30">
        <f t="shared" si="0"/>
        <v>8751050</v>
      </c>
      <c r="J25" s="77"/>
      <c r="K25" s="86">
        <f t="shared" si="1"/>
        <v>1.8280226160888779</v>
      </c>
      <c r="M25" s="77">
        <f>848163.47+1480491.87+2458511.91</f>
        <v>4787167.25</v>
      </c>
      <c r="O25" s="10">
        <f t="shared" si="2"/>
        <v>87.039404545454545</v>
      </c>
      <c r="P25" s="8">
        <f t="shared" si="3"/>
        <v>0.82802261608887817</v>
      </c>
      <c r="R25" s="126">
        <f t="shared" si="4"/>
        <v>31</v>
      </c>
      <c r="T25" s="10">
        <f t="shared" si="5"/>
        <v>3963882.75</v>
      </c>
      <c r="U25" s="151">
        <f t="shared" si="6"/>
        <v>0.45296081613063577</v>
      </c>
      <c r="V25" s="126">
        <f t="shared" si="7"/>
        <v>31</v>
      </c>
    </row>
    <row r="26" spans="1:22" x14ac:dyDescent="0.25">
      <c r="C26" s="3" t="s">
        <v>3</v>
      </c>
      <c r="D26" s="101">
        <v>85000</v>
      </c>
      <c r="E26" s="9">
        <f>_xll.BDP(C26&amp;" EQUITY",$E$3)</f>
        <v>73.22</v>
      </c>
      <c r="F26" s="112">
        <f>_xll.BDP(C26&amp;" EQUITY",$F$3)</f>
        <v>0.2</v>
      </c>
      <c r="G26" s="127">
        <f>_xll.BDP(C26&amp;" EQUITY",$G$3)*0.01</f>
        <v>2.7389760000000002E-3</v>
      </c>
      <c r="H26" s="126"/>
      <c r="I26" s="30">
        <f t="shared" si="0"/>
        <v>6223700</v>
      </c>
      <c r="J26" s="77"/>
      <c r="K26" s="86">
        <f t="shared" si="1"/>
        <v>1.3076147184677378</v>
      </c>
      <c r="M26" s="77">
        <f>2098336.45+926596.77+1121513.37+613135.81</f>
        <v>4759582.4000000004</v>
      </c>
      <c r="O26" s="10">
        <f t="shared" si="2"/>
        <v>55.995087058823536</v>
      </c>
      <c r="P26" s="8">
        <f t="shared" si="3"/>
        <v>0.30761471846773758</v>
      </c>
      <c r="R26" s="126">
        <f t="shared" si="4"/>
        <v>39</v>
      </c>
      <c r="T26" s="10">
        <f t="shared" si="5"/>
        <v>1464117.5999999996</v>
      </c>
      <c r="U26" s="151">
        <f t="shared" si="6"/>
        <v>0.23524874270932075</v>
      </c>
      <c r="V26" s="126">
        <f t="shared" si="7"/>
        <v>39</v>
      </c>
    </row>
    <row r="27" spans="1:22" x14ac:dyDescent="0.25">
      <c r="C27" s="3" t="s">
        <v>21</v>
      </c>
      <c r="D27" s="101">
        <v>21000</v>
      </c>
      <c r="E27" s="9">
        <f>_xll.BDP(C27&amp;" EQUITY",$E$3)</f>
        <v>626.51</v>
      </c>
      <c r="F27" s="112">
        <f>_xll.BDP(C27&amp;" EQUITY",$F$3)</f>
        <v>2.63</v>
      </c>
      <c r="G27" s="127">
        <f>_xll.BDP(C27&amp;" EQUITY",$G$3)*0.01</f>
        <v>4.2155540000000007E-3</v>
      </c>
      <c r="H27" s="126"/>
      <c r="I27" s="30">
        <f t="shared" si="0"/>
        <v>13156710</v>
      </c>
      <c r="J27" s="77"/>
      <c r="K27" s="86">
        <f t="shared" si="1"/>
        <v>3.0843861354900808</v>
      </c>
      <c r="M27" s="77">
        <f>1653883+2611701.6</f>
        <v>4265584.5999999996</v>
      </c>
      <c r="O27" s="10">
        <f t="shared" si="2"/>
        <v>203.12307619047618</v>
      </c>
      <c r="P27" s="8">
        <f t="shared" si="3"/>
        <v>2.0843861354900803</v>
      </c>
      <c r="R27" s="126">
        <f t="shared" si="4"/>
        <v>19</v>
      </c>
      <c r="T27" s="10">
        <f t="shared" si="5"/>
        <v>8891125.4000000004</v>
      </c>
      <c r="U27" s="151">
        <f t="shared" si="6"/>
        <v>0.6757863782054937</v>
      </c>
      <c r="V27" s="126">
        <f t="shared" si="7"/>
        <v>19</v>
      </c>
    </row>
    <row r="28" spans="1:22" x14ac:dyDescent="0.25">
      <c r="C28" s="3" t="s">
        <v>9</v>
      </c>
      <c r="D28" s="101">
        <v>10000</v>
      </c>
      <c r="E28" s="9">
        <f>_xll.BDP(C28&amp;" EQUITY",$E$3)</f>
        <v>1038</v>
      </c>
      <c r="F28" s="112">
        <f>_xll.BDP(C28&amp;" EQUITY",$F$3)</f>
        <v>13.58</v>
      </c>
      <c r="G28" s="127">
        <f>_xll.BDP(C28&amp;" EQUITY",$G$3)*0.01</f>
        <v>1.325628E-2</v>
      </c>
      <c r="H28" s="126"/>
      <c r="I28" s="30">
        <f t="shared" si="0"/>
        <v>10380000</v>
      </c>
      <c r="J28" s="77"/>
      <c r="K28" s="86">
        <f t="shared" si="1"/>
        <v>2.8871007110511839</v>
      </c>
      <c r="M28" s="346">
        <f>2923330.81+671971.55</f>
        <v>3595302.3600000003</v>
      </c>
      <c r="O28" s="10">
        <f t="shared" si="2"/>
        <v>359.53023600000006</v>
      </c>
      <c r="P28" s="8">
        <f t="shared" si="3"/>
        <v>1.8871007110511835</v>
      </c>
      <c r="R28" s="126">
        <f t="shared" si="4"/>
        <v>22</v>
      </c>
      <c r="T28" s="10">
        <f t="shared" si="5"/>
        <v>6784697.6399999997</v>
      </c>
      <c r="U28" s="151">
        <f t="shared" si="6"/>
        <v>0.65363175722543354</v>
      </c>
      <c r="V28" s="126">
        <f t="shared" si="7"/>
        <v>22</v>
      </c>
    </row>
    <row r="29" spans="1:22" x14ac:dyDescent="0.25">
      <c r="C29" s="3" t="s">
        <v>26</v>
      </c>
      <c r="D29" s="101">
        <v>25000</v>
      </c>
      <c r="E29" s="9">
        <f>_xll.BDP(C29&amp;" EQUITY",$E$3)</f>
        <v>310.54000000000002</v>
      </c>
      <c r="F29" s="112">
        <f>_xll.BDP(C29&amp;" EQUITY",$F$3)</f>
        <v>-27.37</v>
      </c>
      <c r="G29" s="127">
        <f>_xll.BDP(C29&amp;" EQUITY",$G$3)*0.01</f>
        <v>-8.0997900000000012E-2</v>
      </c>
      <c r="H29" s="126"/>
      <c r="I29" s="30">
        <f t="shared" si="0"/>
        <v>7763500.0000000009</v>
      </c>
      <c r="J29" s="77"/>
      <c r="K29" s="86">
        <f t="shared" si="1"/>
        <v>1.4568579784565883</v>
      </c>
      <c r="M29" s="84">
        <f>2665704.57+1274755.02+1388474.4</f>
        <v>5328933.99</v>
      </c>
      <c r="O29" s="10">
        <f t="shared" si="2"/>
        <v>213.15735960000001</v>
      </c>
      <c r="P29" s="8">
        <f t="shared" si="3"/>
        <v>0.45685797845658804</v>
      </c>
      <c r="R29" s="126">
        <f t="shared" si="4"/>
        <v>37</v>
      </c>
      <c r="T29" s="10">
        <f t="shared" si="5"/>
        <v>2434566.0100000007</v>
      </c>
      <c r="U29" s="151">
        <f t="shared" si="6"/>
        <v>0.3135912938751852</v>
      </c>
      <c r="V29" s="126">
        <f t="shared" si="7"/>
        <v>37</v>
      </c>
    </row>
    <row r="30" spans="1:22" x14ac:dyDescent="0.25">
      <c r="C30" s="3" t="s">
        <v>22</v>
      </c>
      <c r="D30" s="101">
        <v>70000</v>
      </c>
      <c r="E30" s="9">
        <f>_xll.BDP(C30&amp;" EQUITY",$E$3)</f>
        <v>136.08000000000001</v>
      </c>
      <c r="F30" s="112">
        <f>_xll.BDP(C30&amp;" EQUITY",$F$3)</f>
        <v>-2.2599999999999998</v>
      </c>
      <c r="G30" s="127">
        <f>_xll.BDP(C30&amp;" EQUITY",$G$3)*0.01</f>
        <v>-1.633656E-2</v>
      </c>
      <c r="H30" s="126"/>
      <c r="I30" s="30">
        <f t="shared" si="0"/>
        <v>9525600</v>
      </c>
      <c r="J30" s="77"/>
      <c r="K30" s="153">
        <f t="shared" si="1"/>
        <v>1.7936378762963758</v>
      </c>
      <c r="L30" s="10"/>
      <c r="M30" s="246">
        <v>5310770.9899999993</v>
      </c>
      <c r="O30" s="10">
        <f t="shared" si="2"/>
        <v>75.868156999999997</v>
      </c>
      <c r="P30" s="8">
        <f t="shared" si="3"/>
        <v>0.79363787629637583</v>
      </c>
      <c r="R30" s="126">
        <f t="shared" si="4"/>
        <v>33</v>
      </c>
      <c r="T30" s="10">
        <f t="shared" si="5"/>
        <v>4214829.0100000007</v>
      </c>
      <c r="U30" s="151">
        <f t="shared" si="6"/>
        <v>0.44247386096413882</v>
      </c>
      <c r="V30" s="126">
        <f t="shared" si="7"/>
        <v>33</v>
      </c>
    </row>
    <row r="31" spans="1:22" x14ac:dyDescent="0.25">
      <c r="C31" s="3" t="s">
        <v>30</v>
      </c>
      <c r="D31" s="101">
        <v>18000</v>
      </c>
      <c r="E31" s="9">
        <f>_xll.BDP(C31&amp;" EQUITY",$E$3)</f>
        <v>563.72</v>
      </c>
      <c r="F31" s="112">
        <f>_xll.BDP(C31&amp;" EQUITY",$F$3)</f>
        <v>1.17</v>
      </c>
      <c r="G31" s="127">
        <f>_xll.BDP(C31&amp;" EQUITY",$G$3)*0.01</f>
        <v>2.079815E-3</v>
      </c>
      <c r="H31" s="126"/>
      <c r="I31" s="30">
        <f t="shared" si="0"/>
        <v>10146960</v>
      </c>
      <c r="J31" s="77"/>
      <c r="K31" s="86">
        <f t="shared" si="1"/>
        <v>1.5430962992423558</v>
      </c>
      <c r="M31" s="77">
        <f>3480230+1793374+1302110.04</f>
        <v>6575714.04</v>
      </c>
      <c r="O31" s="10">
        <f t="shared" si="2"/>
        <v>365.31744666666668</v>
      </c>
      <c r="P31" s="8">
        <f t="shared" si="3"/>
        <v>0.54309629924235581</v>
      </c>
      <c r="R31" s="126">
        <f t="shared" si="4"/>
        <v>35</v>
      </c>
      <c r="T31" s="10">
        <f t="shared" si="5"/>
        <v>3571245.96</v>
      </c>
      <c r="U31" s="151">
        <f t="shared" si="6"/>
        <v>0.3519523049267958</v>
      </c>
      <c r="V31" s="126">
        <f t="shared" si="7"/>
        <v>35</v>
      </c>
    </row>
    <row r="32" spans="1:22" x14ac:dyDescent="0.25">
      <c r="A32" s="118">
        <f>+B32/E32-1</f>
        <v>-0.52324169134170528</v>
      </c>
      <c r="B32">
        <f>+(M32/D32)*0.7</f>
        <v>115.41365136</v>
      </c>
      <c r="C32" s="3" t="s">
        <v>33</v>
      </c>
      <c r="D32" s="101">
        <v>50000</v>
      </c>
      <c r="E32" s="9">
        <f>_xll.BDP(C32&amp;" EQUITY",$E$3)</f>
        <v>242.08</v>
      </c>
      <c r="F32" s="112">
        <f>_xll.BDP(C32&amp;" EQUITY",$F$3)</f>
        <v>2.14</v>
      </c>
      <c r="G32" s="127">
        <f>_xll.BDP(C32&amp;" EQUITY",$G$3)*0.01</f>
        <v>8.9188959999999991E-3</v>
      </c>
      <c r="H32" s="126"/>
      <c r="I32" s="30">
        <f t="shared" ref="I32:I46" si="8">+E32*D32</f>
        <v>12104000</v>
      </c>
      <c r="J32" s="77"/>
      <c r="K32" s="153">
        <f t="shared" ref="K32:K46" si="9">+I32/M32</f>
        <v>1.46824918892333</v>
      </c>
      <c r="M32" s="77">
        <f>1859442.36+1232577.92+3413447.96+1738364</f>
        <v>8243832.2400000002</v>
      </c>
      <c r="O32" s="10">
        <f t="shared" ref="O32:O46" si="10">+M32/D32</f>
        <v>164.87664480000001</v>
      </c>
      <c r="P32" s="251">
        <f t="shared" ref="P32:P46" si="11">+(E32/O32)-1</f>
        <v>0.46824918892333023</v>
      </c>
      <c r="R32" s="126">
        <f t="shared" si="4"/>
        <v>36</v>
      </c>
      <c r="T32" s="10">
        <f t="shared" ref="T32:T46" si="12">+I32-M32</f>
        <v>3860167.76</v>
      </c>
      <c r="U32" s="151">
        <f t="shared" ref="U32:U46" si="13">+T32/I32</f>
        <v>0.31891670191672172</v>
      </c>
      <c r="V32" s="215">
        <f t="shared" si="7"/>
        <v>36</v>
      </c>
    </row>
    <row r="33" spans="1:22" x14ac:dyDescent="0.25">
      <c r="C33" s="3" t="s">
        <v>36</v>
      </c>
      <c r="D33" s="101">
        <v>22000</v>
      </c>
      <c r="E33" s="9">
        <f>_xll.BDP(C33&amp;" EQUITY",$E$3)</f>
        <v>487.27</v>
      </c>
      <c r="F33" s="112">
        <f>_xll.BDP(C33&amp;" EQUITY",$F$3)</f>
        <v>-4.3</v>
      </c>
      <c r="G33" s="127">
        <f>_xll.BDP(C33&amp;" EQUITY",$G$3)*0.01</f>
        <v>-8.7474830000000003E-3</v>
      </c>
      <c r="H33" s="126"/>
      <c r="I33" s="30">
        <f t="shared" si="8"/>
        <v>10719940</v>
      </c>
      <c r="J33" s="77"/>
      <c r="K33" s="86">
        <f t="shared" si="9"/>
        <v>2.9399259303455905</v>
      </c>
      <c r="M33" s="77">
        <f>1578596.58+990363.9+1077369.48</f>
        <v>3646329.96</v>
      </c>
      <c r="O33" s="10">
        <f t="shared" si="10"/>
        <v>165.74227090909091</v>
      </c>
      <c r="P33" s="8">
        <f t="shared" si="11"/>
        <v>1.9399259303455905</v>
      </c>
      <c r="R33" s="126">
        <f t="shared" si="4"/>
        <v>20</v>
      </c>
      <c r="T33" s="10">
        <f t="shared" si="12"/>
        <v>7073610.04</v>
      </c>
      <c r="U33" s="151">
        <f t="shared" si="13"/>
        <v>0.65985537605620925</v>
      </c>
      <c r="V33" s="126">
        <f t="shared" si="7"/>
        <v>20</v>
      </c>
    </row>
    <row r="34" spans="1:22" x14ac:dyDescent="0.25">
      <c r="C34" s="3" t="s">
        <v>25</v>
      </c>
      <c r="D34" s="101">
        <v>15000</v>
      </c>
      <c r="E34" s="9">
        <f>_xll.BDP(C34&amp;" EQUITY",$E$3)</f>
        <v>467.80599999999998</v>
      </c>
      <c r="F34" s="112">
        <f>_xll.BDP(C34&amp;" EQUITY",$F$3)</f>
        <v>-3.7040000000000002</v>
      </c>
      <c r="G34" s="127">
        <f>_xll.BDP(C34&amp;" EQUITY",$G$3)*0.01</f>
        <v>-7.8556130000000009E-3</v>
      </c>
      <c r="H34" s="126"/>
      <c r="I34" s="30">
        <f t="shared" si="8"/>
        <v>7017090</v>
      </c>
      <c r="J34" s="77"/>
      <c r="K34" s="153">
        <f t="shared" si="9"/>
        <v>2.3762495692827756</v>
      </c>
      <c r="M34" s="77">
        <f>2067156.45+885854.08</f>
        <v>2953010.53</v>
      </c>
      <c r="O34" s="10">
        <f t="shared" si="10"/>
        <v>196.86736866666666</v>
      </c>
      <c r="P34" s="8">
        <f t="shared" si="11"/>
        <v>1.3762495692827752</v>
      </c>
      <c r="R34" s="126">
        <f t="shared" si="4"/>
        <v>27</v>
      </c>
      <c r="T34" s="10">
        <f t="shared" si="12"/>
        <v>4064079.47</v>
      </c>
      <c r="U34" s="151">
        <f t="shared" si="13"/>
        <v>0.57916878221598989</v>
      </c>
      <c r="V34" s="126">
        <f t="shared" si="7"/>
        <v>27</v>
      </c>
    </row>
    <row r="35" spans="1:22" x14ac:dyDescent="0.25">
      <c r="C35" s="3" t="s">
        <v>34</v>
      </c>
      <c r="D35" s="101">
        <v>185000</v>
      </c>
      <c r="E35" s="9">
        <f>_xll.BDP(C35&amp;" EQUITY",$E$3)</f>
        <v>38.143799999999999</v>
      </c>
      <c r="F35" s="112">
        <f>_xll.BDP(C35&amp;" EQUITY",$F$3)</f>
        <v>-0.53</v>
      </c>
      <c r="G35" s="127">
        <f>_xll.BDP(C35&amp;" EQUITY",$G$3)*0.01</f>
        <v>-1.3773390000000002E-2</v>
      </c>
      <c r="H35" s="126"/>
      <c r="I35" s="30">
        <f t="shared" si="8"/>
        <v>7056603</v>
      </c>
      <c r="J35" s="77"/>
      <c r="K35" s="86">
        <f t="shared" si="9"/>
        <v>1.3297472546627156</v>
      </c>
      <c r="M35" s="77">
        <v>5306725</v>
      </c>
      <c r="O35" s="10">
        <f t="shared" si="10"/>
        <v>28.684999999999999</v>
      </c>
      <c r="P35" s="8">
        <f t="shared" si="11"/>
        <v>0.32974725466271582</v>
      </c>
      <c r="R35" s="126">
        <f t="shared" si="4"/>
        <v>38</v>
      </c>
      <c r="T35" s="10">
        <f t="shared" si="12"/>
        <v>1749878</v>
      </c>
      <c r="U35" s="151">
        <f t="shared" si="13"/>
        <v>0.24797739082105086</v>
      </c>
      <c r="V35" s="126">
        <f t="shared" si="7"/>
        <v>38</v>
      </c>
    </row>
    <row r="36" spans="1:22" x14ac:dyDescent="0.25">
      <c r="C36" s="3" t="s">
        <v>29</v>
      </c>
      <c r="D36" s="101">
        <v>81000</v>
      </c>
      <c r="E36" s="9">
        <f>_xll.BDP(C36&amp;" EQUITY",$E$3)</f>
        <v>59.17</v>
      </c>
      <c r="F36" s="112">
        <f>_xll.BDP(C36&amp;" EQUITY",$F$3)</f>
        <v>-0.32</v>
      </c>
      <c r="G36" s="127">
        <f>_xll.BDP(C36&amp;" EQUITY",$G$3)*0.01</f>
        <v>-5.3790550000000006E-3</v>
      </c>
      <c r="H36" s="126"/>
      <c r="I36" s="30">
        <f t="shared" si="8"/>
        <v>4792770</v>
      </c>
      <c r="J36" s="77"/>
      <c r="K36" s="153">
        <f t="shared" si="9"/>
        <v>1.2771079163423849</v>
      </c>
      <c r="M36" s="77">
        <f>568879.86+642512.21+486235.19+1009562+1045641.6</f>
        <v>3752830.86</v>
      </c>
      <c r="O36" s="10">
        <f t="shared" si="10"/>
        <v>46.331245185185182</v>
      </c>
      <c r="P36" s="8">
        <f t="shared" si="11"/>
        <v>0.27710791634238485</v>
      </c>
      <c r="R36" s="126">
        <f t="shared" si="4"/>
        <v>40</v>
      </c>
      <c r="T36" s="10">
        <f t="shared" si="12"/>
        <v>1039939.1400000001</v>
      </c>
      <c r="U36" s="151">
        <f t="shared" si="13"/>
        <v>0.21698081485237142</v>
      </c>
      <c r="V36" s="126">
        <f t="shared" si="7"/>
        <v>40</v>
      </c>
    </row>
    <row r="37" spans="1:22" x14ac:dyDescent="0.25">
      <c r="A37" s="118">
        <f>+B37/E37-1</f>
        <v>-0.12095215275055538</v>
      </c>
      <c r="B37">
        <f>+(M37/D37)*0.7</f>
        <v>89.698042333333333</v>
      </c>
      <c r="C37" s="447" t="s">
        <v>18</v>
      </c>
      <c r="D37" s="101">
        <v>63000</v>
      </c>
      <c r="E37" s="9">
        <f>_xll.BDP(C37&amp;" EQUITY",$E$3)</f>
        <v>102.04</v>
      </c>
      <c r="F37" s="112">
        <f>_xll.BDP(C37&amp;" EQUITY",$F$3)</f>
        <v>0.06</v>
      </c>
      <c r="G37" s="127">
        <f>_xll.BDP(C37&amp;" EQUITY",$G$3)*0.01</f>
        <v>5.8835070000000009E-4</v>
      </c>
      <c r="H37" s="126"/>
      <c r="I37" s="30">
        <f t="shared" si="8"/>
        <v>6428520</v>
      </c>
      <c r="J37" s="77"/>
      <c r="K37" s="164">
        <f t="shared" si="9"/>
        <v>0.79631615297200442</v>
      </c>
      <c r="M37" s="84">
        <f>2936160+2660890.5+1365278.46+1110494.85</f>
        <v>8072823.8100000005</v>
      </c>
      <c r="O37" s="10">
        <f t="shared" si="10"/>
        <v>128.14006047619048</v>
      </c>
      <c r="P37" s="251">
        <f t="shared" si="11"/>
        <v>-0.20368384702799558</v>
      </c>
      <c r="R37" s="126">
        <f t="shared" si="4"/>
        <v>47</v>
      </c>
      <c r="T37" s="10">
        <f t="shared" si="12"/>
        <v>-1644303.8100000005</v>
      </c>
      <c r="U37" s="151">
        <f t="shared" si="13"/>
        <v>-0.25578263892777819</v>
      </c>
      <c r="V37" s="215">
        <f t="shared" si="7"/>
        <v>47</v>
      </c>
    </row>
    <row r="38" spans="1:22" x14ac:dyDescent="0.25">
      <c r="C38" s="3" t="s">
        <v>5</v>
      </c>
      <c r="D38" s="101">
        <v>120000</v>
      </c>
      <c r="E38" s="9">
        <f>_xll.BDP(C38&amp;" EQUITY",$E$3)</f>
        <v>98.47</v>
      </c>
      <c r="F38" s="112">
        <f>_xll.BDP(C38&amp;" EQUITY",$F$3)</f>
        <v>2.71</v>
      </c>
      <c r="G38" s="127">
        <f>_xll.BDP(C38&amp;" EQUITY",$G$3)*0.01</f>
        <v>2.8299919999999999E-2</v>
      </c>
      <c r="H38" s="126"/>
      <c r="I38" s="30">
        <f t="shared" si="8"/>
        <v>11816400</v>
      </c>
      <c r="J38" s="77"/>
      <c r="K38" s="153">
        <f t="shared" si="9"/>
        <v>4.2471434649867295</v>
      </c>
      <c r="M38" s="77">
        <f>1765529.4+1016670</f>
        <v>2782199.4</v>
      </c>
      <c r="O38" s="10">
        <f t="shared" si="10"/>
        <v>23.184995000000001</v>
      </c>
      <c r="P38" s="8">
        <f t="shared" si="11"/>
        <v>3.2471434649867295</v>
      </c>
      <c r="R38" s="126">
        <f t="shared" si="4"/>
        <v>12</v>
      </c>
      <c r="T38" s="10">
        <f t="shared" si="12"/>
        <v>9034200.5999999996</v>
      </c>
      <c r="U38" s="151">
        <f t="shared" si="13"/>
        <v>0.76454762871940685</v>
      </c>
      <c r="V38" s="126">
        <f t="shared" si="7"/>
        <v>12</v>
      </c>
    </row>
    <row r="39" spans="1:22" x14ac:dyDescent="0.25">
      <c r="C39" s="3" t="s">
        <v>12</v>
      </c>
      <c r="D39" s="101">
        <v>2600</v>
      </c>
      <c r="E39" s="9">
        <f>_xll.BDP(C39&amp;" EQUITY",$E$3)</f>
        <v>4009.42</v>
      </c>
      <c r="F39" s="112">
        <f>_xll.BDP(C39&amp;" EQUITY",$F$3)</f>
        <v>33.365000000000002</v>
      </c>
      <c r="G39" s="127">
        <f>_xll.BDP(C39&amp;" EQUITY",$G$3)*0.01</f>
        <v>8.3806390000000005E-3</v>
      </c>
      <c r="H39" s="126"/>
      <c r="I39" s="30">
        <f t="shared" si="8"/>
        <v>10424492</v>
      </c>
      <c r="J39" s="77"/>
      <c r="K39" s="153">
        <f t="shared" si="9"/>
        <v>2.937298318580333</v>
      </c>
      <c r="M39" s="77">
        <f>1231503.75+1114039.71+1203463.44</f>
        <v>3549006.9</v>
      </c>
      <c r="O39" s="10">
        <f t="shared" si="10"/>
        <v>1365.0026538461539</v>
      </c>
      <c r="P39" s="8">
        <f t="shared" si="11"/>
        <v>1.937298318580333</v>
      </c>
      <c r="R39" s="126">
        <f t="shared" si="4"/>
        <v>21</v>
      </c>
      <c r="T39" s="10">
        <f t="shared" si="12"/>
        <v>6875485.0999999996</v>
      </c>
      <c r="U39" s="151">
        <f t="shared" si="13"/>
        <v>0.65955109371276799</v>
      </c>
      <c r="V39" s="126">
        <f t="shared" si="7"/>
        <v>21</v>
      </c>
    </row>
    <row r="40" spans="1:22" x14ac:dyDescent="0.25">
      <c r="A40" s="118">
        <f>+B40/E40-1</f>
        <v>6.837250206966683E-3</v>
      </c>
      <c r="B40">
        <f>+(M40/D40)*0.7</f>
        <v>237.15548009999998</v>
      </c>
      <c r="C40" s="447" t="s">
        <v>10</v>
      </c>
      <c r="D40" s="101">
        <v>10000</v>
      </c>
      <c r="E40" s="9">
        <f>_xll.BDP(C40&amp;" EQUITY",$E$3)</f>
        <v>235.54499999999999</v>
      </c>
      <c r="F40" s="112">
        <f>_xll.BDP(C40&amp;" EQUITY",$F$3)</f>
        <v>-1.5349999999999999</v>
      </c>
      <c r="G40" s="127">
        <f>_xll.BDP(C40&amp;" EQUITY",$G$3)*0.01</f>
        <v>-6.4746079999999998E-3</v>
      </c>
      <c r="H40" s="126"/>
      <c r="I40" s="61">
        <f t="shared" si="8"/>
        <v>2355450</v>
      </c>
      <c r="J40" s="84"/>
      <c r="K40" s="164">
        <f t="shared" si="9"/>
        <v>0.69524642622837707</v>
      </c>
      <c r="M40" s="84">
        <f>818961.75+710986.12+664534.31+1193453.25</f>
        <v>3387935.43</v>
      </c>
      <c r="O40" s="10">
        <f t="shared" si="10"/>
        <v>338.793543</v>
      </c>
      <c r="P40" s="251">
        <f t="shared" si="11"/>
        <v>-0.30475357377162293</v>
      </c>
      <c r="R40" s="126">
        <f t="shared" si="4"/>
        <v>49</v>
      </c>
      <c r="T40" s="10">
        <f t="shared" si="12"/>
        <v>-1032485.4300000002</v>
      </c>
      <c r="U40" s="151">
        <f t="shared" si="13"/>
        <v>-0.43833892886709552</v>
      </c>
      <c r="V40" s="215">
        <f t="shared" si="7"/>
        <v>49</v>
      </c>
    </row>
    <row r="41" spans="1:22" x14ac:dyDescent="0.25">
      <c r="C41" s="3" t="s">
        <v>70</v>
      </c>
      <c r="D41" s="101">
        <v>20000</v>
      </c>
      <c r="E41" s="9">
        <f>_xll.BDP(C41&amp;" EQUITY",$E$3)</f>
        <v>67.0137</v>
      </c>
      <c r="F41" s="112">
        <f>_xll.BDP(C41&amp;" EQUITY",$F$3)</f>
        <v>-1.8863000000000001</v>
      </c>
      <c r="G41" s="127">
        <f>_xll.BDP(C41&amp;" EQUITY",$G$3)*0.01</f>
        <v>-2.737736E-2</v>
      </c>
      <c r="H41" s="126"/>
      <c r="I41" s="30">
        <f t="shared" si="8"/>
        <v>1340274</v>
      </c>
      <c r="J41" s="77"/>
      <c r="K41" s="153">
        <f t="shared" si="9"/>
        <v>0.47342341610426752</v>
      </c>
      <c r="M41" s="77">
        <v>2831026</v>
      </c>
      <c r="O41" s="10">
        <f t="shared" si="10"/>
        <v>141.5513</v>
      </c>
      <c r="P41" s="8">
        <f t="shared" si="11"/>
        <v>-0.52657658389573248</v>
      </c>
      <c r="R41" s="126">
        <f t="shared" si="4"/>
        <v>50</v>
      </c>
      <c r="T41" s="10">
        <f t="shared" si="12"/>
        <v>-1490752</v>
      </c>
      <c r="U41" s="151">
        <f t="shared" si="13"/>
        <v>-1.1122740573942342</v>
      </c>
      <c r="V41" s="215">
        <f t="shared" si="7"/>
        <v>50</v>
      </c>
    </row>
    <row r="42" spans="1:22" x14ac:dyDescent="0.25">
      <c r="C42" s="447" t="s">
        <v>149</v>
      </c>
      <c r="D42" s="101">
        <v>60000</v>
      </c>
      <c r="E42" s="9">
        <f>_xll.BDP(C42&amp;" EQUITY",$E$3)</f>
        <v>73.64</v>
      </c>
      <c r="F42" s="112">
        <f>_xll.BDP(C42&amp;" EQUITY",$F$3)</f>
        <v>-0.89</v>
      </c>
      <c r="G42" s="127">
        <f>_xll.BDP(C42&amp;" EQUITY",$G$3)*0.01</f>
        <v>-1.1941500000000001E-2</v>
      </c>
      <c r="H42" s="126"/>
      <c r="I42" s="30">
        <f t="shared" si="8"/>
        <v>4418400</v>
      </c>
      <c r="J42" s="77"/>
      <c r="K42" s="164">
        <f t="shared" si="9"/>
        <v>1.0813526111765408</v>
      </c>
      <c r="M42" s="246">
        <f>1322517.62+2763476.12</f>
        <v>4085993.74</v>
      </c>
      <c r="O42" s="10">
        <f t="shared" si="10"/>
        <v>68.099895666666669</v>
      </c>
      <c r="P42" s="8">
        <f t="shared" si="11"/>
        <v>8.1352611176540801E-2</v>
      </c>
      <c r="R42" s="126">
        <f t="shared" si="4"/>
        <v>44</v>
      </c>
      <c r="T42" s="10">
        <f t="shared" si="12"/>
        <v>332406.25999999978</v>
      </c>
      <c r="U42" s="151">
        <f t="shared" si="13"/>
        <v>7.5232269599855101E-2</v>
      </c>
      <c r="V42" s="215">
        <f t="shared" si="7"/>
        <v>44</v>
      </c>
    </row>
    <row r="43" spans="1:22" x14ac:dyDescent="0.25">
      <c r="A43" s="118">
        <f>+B43/E43-1</f>
        <v>-0.58773519163763066</v>
      </c>
      <c r="B43">
        <v>29.58</v>
      </c>
      <c r="C43" s="447" t="s">
        <v>78</v>
      </c>
      <c r="D43" s="101">
        <v>100000</v>
      </c>
      <c r="E43" s="9">
        <f>_xll.BDP(C43&amp;" EQUITY",$E$3)</f>
        <v>71.75</v>
      </c>
      <c r="F43" s="112">
        <f>_xll.BDP(C43&amp;" EQUITY",$F$3)</f>
        <v>1.21</v>
      </c>
      <c r="G43" s="127">
        <f>_xll.BDP(C43&amp;" EQUITY",$G$3)*0.01</f>
        <v>1.7153390000000001E-2</v>
      </c>
      <c r="H43" s="126"/>
      <c r="I43" s="30">
        <f t="shared" si="8"/>
        <v>7175000</v>
      </c>
      <c r="J43" s="77"/>
      <c r="K43" s="164">
        <f t="shared" si="9"/>
        <v>1.6958709190130852</v>
      </c>
      <c r="M43" s="77">
        <f>3111388+1119476.46</f>
        <v>4230864.46</v>
      </c>
      <c r="O43" s="10">
        <f t="shared" si="10"/>
        <v>42.308644600000001</v>
      </c>
      <c r="P43" s="251">
        <f t="shared" si="11"/>
        <v>0.69587091901308495</v>
      </c>
      <c r="R43" s="126">
        <f t="shared" si="4"/>
        <v>34</v>
      </c>
      <c r="T43" s="10">
        <f t="shared" si="12"/>
        <v>2944135.54</v>
      </c>
      <c r="U43" s="151">
        <f t="shared" si="13"/>
        <v>0.41033247944250872</v>
      </c>
      <c r="V43" s="215">
        <f t="shared" si="7"/>
        <v>34</v>
      </c>
    </row>
    <row r="44" spans="1:22" x14ac:dyDescent="0.25">
      <c r="A44" s="118">
        <f>+B44/E44-1</f>
        <v>-0.13813759924640023</v>
      </c>
      <c r="B44">
        <f>+(M44/D44)*0.7</f>
        <v>64.044995</v>
      </c>
      <c r="C44" s="447" t="s">
        <v>93</v>
      </c>
      <c r="D44" s="101">
        <v>50000</v>
      </c>
      <c r="E44" s="9">
        <f>_xll.BDP(C44&amp;" EQUITY",$E$3)</f>
        <v>74.31</v>
      </c>
      <c r="F44" s="112">
        <f>_xll.BDP(C44&amp;" EQUITY",$F$3)</f>
        <v>-4.62</v>
      </c>
      <c r="G44" s="127">
        <f>_xll.BDP(C44&amp;" EQUITY",$G$3)*0.01</f>
        <v>-5.8532880000000002E-2</v>
      </c>
      <c r="H44" s="126"/>
      <c r="I44" s="30">
        <f t="shared" si="8"/>
        <v>3715500</v>
      </c>
      <c r="J44" s="77"/>
      <c r="K44" s="180">
        <f t="shared" si="9"/>
        <v>0.81219461411465488</v>
      </c>
      <c r="M44" s="84">
        <f>3311549.5+1263093</f>
        <v>4574642.5</v>
      </c>
      <c r="O44" s="10">
        <f t="shared" si="10"/>
        <v>91.492850000000004</v>
      </c>
      <c r="P44" s="251">
        <f t="shared" si="11"/>
        <v>-0.18780538588534512</v>
      </c>
      <c r="R44" s="126">
        <f t="shared" si="4"/>
        <v>46</v>
      </c>
      <c r="T44" s="10">
        <f t="shared" si="12"/>
        <v>-859142.5</v>
      </c>
      <c r="U44" s="151">
        <f t="shared" si="13"/>
        <v>-0.23123200107657113</v>
      </c>
      <c r="V44" s="215">
        <f t="shared" si="7"/>
        <v>46</v>
      </c>
    </row>
    <row r="45" spans="1:22" x14ac:dyDescent="0.25">
      <c r="C45" s="447" t="s">
        <v>122</v>
      </c>
      <c r="D45" s="101">
        <v>5000</v>
      </c>
      <c r="E45" s="9">
        <f>_xll.BDP(C45&amp;" EQUITY",$E$3)</f>
        <v>367.51</v>
      </c>
      <c r="F45" s="112">
        <f>_xll.BDP(C45&amp;" EQUITY",$F$3)</f>
        <v>-10.66</v>
      </c>
      <c r="G45" s="127">
        <f>_xll.BDP(C45&amp;" EQUITY",$G$3)*0.01</f>
        <v>-2.8188379999999999E-2</v>
      </c>
      <c r="H45" s="126"/>
      <c r="I45" s="30">
        <f t="shared" si="8"/>
        <v>1837550</v>
      </c>
      <c r="J45" s="77"/>
      <c r="K45" s="164">
        <f t="shared" si="9"/>
        <v>0.88346829396697724</v>
      </c>
      <c r="M45" s="246">
        <v>2079927.5</v>
      </c>
      <c r="O45" s="10">
        <f t="shared" si="10"/>
        <v>415.9855</v>
      </c>
      <c r="P45" s="8">
        <f t="shared" si="11"/>
        <v>-0.11653170603302276</v>
      </c>
      <c r="R45" s="126">
        <f t="shared" si="4"/>
        <v>45</v>
      </c>
      <c r="T45" s="10">
        <f t="shared" si="12"/>
        <v>-242377.5</v>
      </c>
      <c r="U45" s="151">
        <f t="shared" si="13"/>
        <v>-0.13190253326440096</v>
      </c>
      <c r="V45" s="215">
        <f t="shared" si="7"/>
        <v>45</v>
      </c>
    </row>
    <row r="46" spans="1:22" x14ac:dyDescent="0.25">
      <c r="C46" s="447" t="s">
        <v>95</v>
      </c>
      <c r="D46" s="101">
        <v>5000</v>
      </c>
      <c r="E46" s="9">
        <f>_xll.BDP(C46&amp;" EQUITY",$E$3)</f>
        <v>443.82</v>
      </c>
      <c r="F46" s="112">
        <f>_xll.BDP(C46&amp;" EQUITY",$F$3)</f>
        <v>-1.1499999999999999</v>
      </c>
      <c r="G46" s="127">
        <f>_xll.BDP(C46&amp;" EQUITY",$G$3)*0.01</f>
        <v>-2.5844440000000004E-3</v>
      </c>
      <c r="H46" s="126"/>
      <c r="I46" s="30">
        <f t="shared" si="8"/>
        <v>2219100</v>
      </c>
      <c r="J46" s="77"/>
      <c r="K46" s="164">
        <f t="shared" si="9"/>
        <v>1.1380154653383752</v>
      </c>
      <c r="M46" s="77">
        <v>1949973.5</v>
      </c>
      <c r="O46" s="10">
        <f t="shared" si="10"/>
        <v>389.99470000000002</v>
      </c>
      <c r="P46" s="8">
        <f t="shared" si="11"/>
        <v>0.13801546533837494</v>
      </c>
      <c r="R46" s="126">
        <f t="shared" si="4"/>
        <v>43</v>
      </c>
      <c r="T46" s="10">
        <f t="shared" si="12"/>
        <v>269126.5</v>
      </c>
      <c r="U46" s="151">
        <f t="shared" si="13"/>
        <v>0.12127731963408589</v>
      </c>
      <c r="V46" s="215">
        <f t="shared" si="7"/>
        <v>43</v>
      </c>
    </row>
    <row r="47" spans="1:22" x14ac:dyDescent="0.25">
      <c r="C47" s="3"/>
      <c r="D47" s="101"/>
      <c r="E47" s="9"/>
      <c r="F47" s="112"/>
      <c r="G47" s="127"/>
      <c r="H47" s="126"/>
      <c r="I47" s="30"/>
      <c r="J47" s="77"/>
      <c r="K47" s="153"/>
      <c r="M47" s="77"/>
      <c r="O47" s="10"/>
      <c r="R47" s="126"/>
      <c r="U47" s="28"/>
      <c r="V47" s="126"/>
    </row>
    <row r="48" spans="1:22" x14ac:dyDescent="0.25">
      <c r="C48" s="3"/>
      <c r="D48" s="101"/>
      <c r="E48" s="9"/>
      <c r="F48" s="112"/>
      <c r="G48" s="127"/>
      <c r="H48" s="126"/>
      <c r="I48" s="30"/>
      <c r="J48" s="77"/>
      <c r="M48" s="77"/>
      <c r="O48" s="10"/>
      <c r="R48" s="126"/>
      <c r="U48" s="28"/>
      <c r="V48" s="126"/>
    </row>
    <row r="49" spans="3:22" x14ac:dyDescent="0.25">
      <c r="C49" s="3"/>
      <c r="D49" s="101"/>
      <c r="E49" s="9"/>
      <c r="F49" s="112"/>
      <c r="G49" s="127"/>
      <c r="H49" s="126"/>
      <c r="I49" s="44"/>
      <c r="M49" s="77"/>
      <c r="O49" s="10"/>
      <c r="R49" s="126"/>
      <c r="U49" s="28"/>
      <c r="V49" s="126"/>
    </row>
    <row r="50" spans="3:22" x14ac:dyDescent="0.25">
      <c r="C50" s="3"/>
      <c r="D50" s="101"/>
      <c r="E50" s="9"/>
      <c r="F50" s="112"/>
      <c r="G50" s="127"/>
      <c r="H50" s="126"/>
      <c r="I50" s="134">
        <f>SUM(I6:I49)</f>
        <v>610382362.10000002</v>
      </c>
      <c r="J50" s="11"/>
      <c r="M50" s="16">
        <f>SUM(M6:M49)</f>
        <v>161652883.44000003</v>
      </c>
      <c r="O50" s="10"/>
      <c r="R50" s="126"/>
      <c r="T50" s="16">
        <f>SUM(T6:T49)</f>
        <v>448729478.66000003</v>
      </c>
      <c r="U50" s="28"/>
      <c r="V50" s="126"/>
    </row>
    <row r="51" spans="3:22" x14ac:dyDescent="0.25">
      <c r="C51" s="3"/>
      <c r="D51" s="29"/>
      <c r="E51" s="9"/>
      <c r="F51" s="112"/>
      <c r="G51" s="127"/>
      <c r="H51" s="126"/>
      <c r="I51" s="28"/>
      <c r="M51" s="77"/>
      <c r="O51" s="10"/>
      <c r="R51" s="126"/>
      <c r="U51" s="28"/>
      <c r="V51" s="126"/>
    </row>
    <row r="52" spans="3:22" ht="15.75" x14ac:dyDescent="0.25">
      <c r="C52" s="15" t="s">
        <v>54</v>
      </c>
      <c r="D52" s="29"/>
      <c r="E52" s="9"/>
      <c r="F52" s="112"/>
      <c r="G52" s="127"/>
      <c r="H52" s="126"/>
      <c r="I52" s="28"/>
      <c r="M52" s="77"/>
      <c r="O52" s="10"/>
      <c r="R52" s="126"/>
      <c r="U52" s="28"/>
      <c r="V52" s="126"/>
    </row>
    <row r="53" spans="3:22" x14ac:dyDescent="0.25">
      <c r="C53" s="3"/>
      <c r="D53" s="29"/>
      <c r="E53" s="9"/>
      <c r="F53" s="112"/>
      <c r="G53" s="127"/>
      <c r="H53" s="126"/>
      <c r="I53" s="28"/>
      <c r="M53" s="77"/>
      <c r="O53" s="10"/>
      <c r="R53" s="126"/>
      <c r="U53" s="28"/>
      <c r="V53" s="126"/>
    </row>
    <row r="54" spans="3:22" x14ac:dyDescent="0.25">
      <c r="C54" s="3" t="s">
        <v>45</v>
      </c>
      <c r="D54" s="29">
        <v>90000</v>
      </c>
      <c r="E54" s="9">
        <f>_xll.BDP(C54&amp;" EQUITY",$E$3)</f>
        <v>244.33500000000001</v>
      </c>
      <c r="F54" s="112">
        <f>_xll.BDP(C54&amp;" EQUITY",$F$3)</f>
        <v>1.6850000000000001</v>
      </c>
      <c r="G54" s="127">
        <f>_xll.BDP(C54&amp;" EQUITY",$G$3)*0.01</f>
        <v>6.9441580000000006E-3</v>
      </c>
      <c r="H54" s="126"/>
      <c r="I54" s="30">
        <f t="shared" ref="I54:I62" si="14">+E54*D54</f>
        <v>21990150</v>
      </c>
      <c r="J54" s="77"/>
      <c r="K54" s="86">
        <f t="shared" ref="K54:K62" si="15">+I54/M54</f>
        <v>2.3114584213296343</v>
      </c>
      <c r="M54" s="346">
        <f>1243701.63+6826790.25+1443047.19</f>
        <v>9513539.0700000003</v>
      </c>
      <c r="O54" s="10">
        <f t="shared" ref="O54:O62" si="16">+M54/D54</f>
        <v>105.70598966666667</v>
      </c>
      <c r="P54" s="8">
        <f t="shared" ref="P54:P62" si="17">+(E54/O54)-1</f>
        <v>1.3114584213296347</v>
      </c>
      <c r="R54" s="126">
        <f t="shared" ref="R54:R62" si="18">+RANK(P54,$P$6:$P$62)</f>
        <v>28</v>
      </c>
      <c r="T54" s="10">
        <f t="shared" ref="T54:T62" si="19">+I54-M54</f>
        <v>12476610.93</v>
      </c>
      <c r="U54" s="151">
        <f t="shared" ref="U54:U62" si="20">+T54/I54</f>
        <v>0.56737270687103092</v>
      </c>
      <c r="V54" s="187">
        <f t="shared" ref="V54:V62" si="21">+RANK(U54,$U$6:$U$62)</f>
        <v>28</v>
      </c>
    </row>
    <row r="55" spans="3:22" x14ac:dyDescent="0.25">
      <c r="C55" s="3" t="s">
        <v>44</v>
      </c>
      <c r="D55" s="29">
        <v>370000</v>
      </c>
      <c r="E55" s="9">
        <f>_xll.BDP(C55&amp;" EQUITY",$E$3)</f>
        <v>93.35</v>
      </c>
      <c r="F55" s="112">
        <f>_xll.BDP(C55&amp;" EQUITY",$F$3)</f>
        <v>0.32</v>
      </c>
      <c r="G55" s="127">
        <f>_xll.BDP(C55&amp;" EQUITY",$G$3)*0.01</f>
        <v>3.439751E-3</v>
      </c>
      <c r="H55" s="126"/>
      <c r="I55" s="30">
        <f t="shared" si="14"/>
        <v>34539500</v>
      </c>
      <c r="J55" s="77"/>
      <c r="K55" s="86">
        <f t="shared" si="15"/>
        <v>2.6463501063075832</v>
      </c>
      <c r="M55" s="77">
        <v>13051750</v>
      </c>
      <c r="O55" s="10">
        <f t="shared" si="16"/>
        <v>35.274999999999999</v>
      </c>
      <c r="P55" s="8">
        <f t="shared" si="17"/>
        <v>1.6463501063075832</v>
      </c>
      <c r="R55" s="126">
        <f t="shared" si="18"/>
        <v>25</v>
      </c>
      <c r="T55" s="10">
        <f t="shared" si="19"/>
        <v>21487750</v>
      </c>
      <c r="U55" s="151">
        <f t="shared" si="20"/>
        <v>0.62212104981253347</v>
      </c>
      <c r="V55" s="126">
        <f t="shared" si="21"/>
        <v>25</v>
      </c>
    </row>
    <row r="56" spans="3:22" x14ac:dyDescent="0.25">
      <c r="C56" s="3" t="s">
        <v>48</v>
      </c>
      <c r="D56" s="29">
        <v>380000</v>
      </c>
      <c r="E56" s="9">
        <f>_xll.BDP(C56&amp;" EQUITY",$E$3)</f>
        <v>77.53</v>
      </c>
      <c r="F56" s="112">
        <f>_xll.BDP(C56&amp;" EQUITY",$F$3)</f>
        <v>-0.38</v>
      </c>
      <c r="G56" s="127">
        <f>_xll.BDP(C56&amp;" EQUITY",$G$3)*0.01</f>
        <v>-4.8774230000000005E-3</v>
      </c>
      <c r="H56" s="126"/>
      <c r="I56" s="30">
        <f t="shared" si="14"/>
        <v>29461400</v>
      </c>
      <c r="J56" s="77"/>
      <c r="K56" s="86">
        <f t="shared" si="15"/>
        <v>1.9283154633564474</v>
      </c>
      <c r="M56" s="346">
        <v>15278309.26</v>
      </c>
      <c r="O56" s="10">
        <f t="shared" si="16"/>
        <v>40.206077000000001</v>
      </c>
      <c r="P56" s="8">
        <f t="shared" si="17"/>
        <v>0.92831546335644743</v>
      </c>
      <c r="R56" s="126">
        <f t="shared" si="18"/>
        <v>29</v>
      </c>
      <c r="T56" s="10">
        <f t="shared" si="19"/>
        <v>14183090.74</v>
      </c>
      <c r="U56" s="151">
        <f t="shared" si="20"/>
        <v>0.48141265316651621</v>
      </c>
      <c r="V56" s="126">
        <f t="shared" si="21"/>
        <v>29</v>
      </c>
    </row>
    <row r="57" spans="3:22" x14ac:dyDescent="0.25">
      <c r="C57" s="3" t="s">
        <v>47</v>
      </c>
      <c r="D57" s="29">
        <v>600000</v>
      </c>
      <c r="E57" s="9">
        <f>_xll.BDP(C57&amp;" EQUITY",$E$3)</f>
        <v>41.37</v>
      </c>
      <c r="F57" s="112">
        <f>_xll.BDP(C57&amp;" EQUITY",$F$3)</f>
        <v>-0.22</v>
      </c>
      <c r="G57" s="127">
        <f>_xll.BDP(C57&amp;" EQUITY",$G$3)*0.01</f>
        <v>-5.2897329999999996E-3</v>
      </c>
      <c r="H57" s="126"/>
      <c r="I57" s="61">
        <f t="shared" si="14"/>
        <v>24822000</v>
      </c>
      <c r="J57" s="84"/>
      <c r="K57" s="86">
        <f t="shared" si="15"/>
        <v>1.85421399832008</v>
      </c>
      <c r="M57" s="346">
        <f>1336418.16+1967440.1+6066706.84+1680613.05+2335626.19</f>
        <v>13386804.34</v>
      </c>
      <c r="O57" s="10">
        <f t="shared" si="16"/>
        <v>22.311340566666665</v>
      </c>
      <c r="P57" s="8">
        <f t="shared" si="17"/>
        <v>0.85421399832008005</v>
      </c>
      <c r="R57" s="126">
        <f t="shared" si="18"/>
        <v>30</v>
      </c>
      <c r="T57" s="10">
        <f t="shared" si="19"/>
        <v>11435195.66</v>
      </c>
      <c r="U57" s="151">
        <f t="shared" si="20"/>
        <v>0.46068792442188383</v>
      </c>
      <c r="V57" s="126">
        <f t="shared" si="21"/>
        <v>30</v>
      </c>
    </row>
    <row r="58" spans="3:22" x14ac:dyDescent="0.25">
      <c r="C58" s="3" t="s">
        <v>51</v>
      </c>
      <c r="D58" s="101">
        <v>230000</v>
      </c>
      <c r="E58" s="9">
        <f>_xll.BDP(C58&amp;" EQUITY",$E$3)</f>
        <v>93.91</v>
      </c>
      <c r="F58" s="112">
        <f>_xll.BDP(C58&amp;" EQUITY",$F$3)</f>
        <v>0.17</v>
      </c>
      <c r="G58" s="127">
        <f>_xll.BDP(C58&amp;" EQUITY",$G$3)*0.01</f>
        <v>1.8135270000000001E-3</v>
      </c>
      <c r="H58" s="126"/>
      <c r="I58" s="30">
        <f t="shared" si="14"/>
        <v>21599300</v>
      </c>
      <c r="J58" s="77"/>
      <c r="K58" s="86">
        <f t="shared" si="15"/>
        <v>3.0882211855693615</v>
      </c>
      <c r="M58" s="84">
        <f>2728446+1877522+2388123</f>
        <v>6994091</v>
      </c>
      <c r="O58" s="10">
        <f t="shared" si="16"/>
        <v>30.409091304347825</v>
      </c>
      <c r="P58" s="8">
        <f t="shared" si="17"/>
        <v>2.0882211855693611</v>
      </c>
      <c r="R58" s="126">
        <f t="shared" si="18"/>
        <v>18</v>
      </c>
      <c r="T58" s="10">
        <f t="shared" si="19"/>
        <v>14605209</v>
      </c>
      <c r="U58" s="151">
        <f t="shared" si="20"/>
        <v>0.67618899686563916</v>
      </c>
      <c r="V58" s="126">
        <f t="shared" si="21"/>
        <v>18</v>
      </c>
    </row>
    <row r="59" spans="3:22" x14ac:dyDescent="0.25">
      <c r="C59" s="3" t="s">
        <v>46</v>
      </c>
      <c r="D59" s="29">
        <v>150000</v>
      </c>
      <c r="E59" s="9">
        <f>_xll.BDP(C59&amp;" EQUITY",$E$3)</f>
        <v>44.89</v>
      </c>
      <c r="F59" s="112">
        <f>_xll.BDP(C59&amp;" EQUITY",$F$3)</f>
        <v>-0.42</v>
      </c>
      <c r="G59" s="127">
        <f>_xll.BDP(C59&amp;" EQUITY",$G$3)*0.01</f>
        <v>-9.2694769999999999E-3</v>
      </c>
      <c r="H59" s="126"/>
      <c r="I59" s="30">
        <f t="shared" si="14"/>
        <v>6733500</v>
      </c>
      <c r="J59" s="77"/>
      <c r="K59" s="86">
        <f t="shared" si="15"/>
        <v>0.79201680745412839</v>
      </c>
      <c r="M59" s="346">
        <f>1513531.63+1576136.74+1252528.01+1710322.02+2449195.12</f>
        <v>8501713.5199999996</v>
      </c>
      <c r="O59" s="10">
        <f t="shared" si="16"/>
        <v>56.678090133333328</v>
      </c>
      <c r="P59" s="8">
        <f t="shared" si="17"/>
        <v>-0.2079831925458715</v>
      </c>
      <c r="R59" s="126">
        <f t="shared" si="18"/>
        <v>48</v>
      </c>
      <c r="T59" s="10">
        <f t="shared" si="19"/>
        <v>-1768213.5199999996</v>
      </c>
      <c r="U59" s="151">
        <f t="shared" si="20"/>
        <v>-0.26259946832999176</v>
      </c>
      <c r="V59" s="126">
        <f t="shared" si="21"/>
        <v>48</v>
      </c>
    </row>
    <row r="60" spans="3:22" x14ac:dyDescent="0.25">
      <c r="C60" s="3" t="s">
        <v>112</v>
      </c>
      <c r="D60" s="101">
        <f>45000+135000</f>
        <v>180000</v>
      </c>
      <c r="E60" s="9">
        <f>_xll.BDP(C60&amp;" EQUITY",$E$3)</f>
        <v>91.084999999999994</v>
      </c>
      <c r="F60" s="112">
        <f>_xll.BDP(C60&amp;" EQUITY",$F$3)</f>
        <v>-0.19500000000000001</v>
      </c>
      <c r="G60" s="127">
        <f>_xll.BDP(C60&amp;" EQUITY",$G$3)*0.01</f>
        <v>-2.136284E-3</v>
      </c>
      <c r="H60" s="126"/>
      <c r="I60" s="30">
        <f t="shared" si="14"/>
        <v>16395299.999999998</v>
      </c>
      <c r="J60" s="77"/>
      <c r="K60" s="86">
        <f t="shared" si="15"/>
        <v>1.1696343369097066</v>
      </c>
      <c r="M60" s="84">
        <f>10192570.335+3824887.5</f>
        <v>14017457.835000001</v>
      </c>
      <c r="O60" s="10">
        <f t="shared" si="16"/>
        <v>77.874765750000009</v>
      </c>
      <c r="P60" s="8">
        <f t="shared" si="17"/>
        <v>0.16963433690970664</v>
      </c>
      <c r="R60" s="126">
        <f t="shared" si="18"/>
        <v>42</v>
      </c>
      <c r="T60" s="10">
        <f t="shared" si="19"/>
        <v>2377842.1649999972</v>
      </c>
      <c r="U60" s="151">
        <f t="shared" si="20"/>
        <v>0.14503193994620395</v>
      </c>
      <c r="V60" s="126">
        <f t="shared" si="21"/>
        <v>42</v>
      </c>
    </row>
    <row r="61" spans="3:22" x14ac:dyDescent="0.25">
      <c r="C61" s="3" t="s">
        <v>49</v>
      </c>
      <c r="D61" s="101">
        <v>160000</v>
      </c>
      <c r="E61" s="9">
        <f>_xll.BDP(C61&amp;" EQUITY",$E$3)</f>
        <v>76.97</v>
      </c>
      <c r="F61" s="112">
        <f>_xll.BDP(C61&amp;" EQUITY",$F$3)</f>
        <v>-0.73</v>
      </c>
      <c r="G61" s="127">
        <f>_xll.BDP(C61&amp;" EQUITY",$G$3)*0.01</f>
        <v>-9.3951090000000004E-3</v>
      </c>
      <c r="H61" s="126"/>
      <c r="I61" s="30">
        <f t="shared" si="14"/>
        <v>12315200</v>
      </c>
      <c r="J61" s="77"/>
      <c r="K61" s="86">
        <f t="shared" si="15"/>
        <v>1.1794257099328347</v>
      </c>
      <c r="M61" s="77">
        <f>2526504+7915188</f>
        <v>10441692</v>
      </c>
      <c r="O61" s="10">
        <f t="shared" si="16"/>
        <v>65.260575000000003</v>
      </c>
      <c r="P61" s="8">
        <f t="shared" si="17"/>
        <v>0.17942570993283447</v>
      </c>
      <c r="R61" s="126">
        <f t="shared" si="18"/>
        <v>41</v>
      </c>
      <c r="T61" s="10">
        <f t="shared" si="19"/>
        <v>1873508</v>
      </c>
      <c r="U61" s="151">
        <f t="shared" si="20"/>
        <v>0.15212972586722098</v>
      </c>
      <c r="V61" s="126">
        <f t="shared" si="21"/>
        <v>41</v>
      </c>
    </row>
    <row r="62" spans="3:22" x14ac:dyDescent="0.25">
      <c r="C62" s="3" t="s">
        <v>50</v>
      </c>
      <c r="D62" s="29">
        <v>220000</v>
      </c>
      <c r="E62" s="9">
        <f>_xll.BDP(C62&amp;" EQUITY",$E$3)</f>
        <v>62.7699</v>
      </c>
      <c r="F62" s="112">
        <f>_xll.BDP(C62&amp;" EQUITY",$F$3)</f>
        <v>0.11990000000000001</v>
      </c>
      <c r="G62" s="127">
        <f>_xll.BDP(C62&amp;" EQUITY",$G$3)*0.01</f>
        <v>1.913807E-3</v>
      </c>
      <c r="H62" s="126"/>
      <c r="I62" s="30">
        <f t="shared" si="14"/>
        <v>13809378</v>
      </c>
      <c r="J62" s="77"/>
      <c r="K62" s="86">
        <f t="shared" si="15"/>
        <v>1.8127576849872618</v>
      </c>
      <c r="M62" s="77">
        <f>1129138+2246152.37+2339846.76+1902747</f>
        <v>7617884.1299999999</v>
      </c>
      <c r="O62" s="10">
        <f t="shared" si="16"/>
        <v>34.626746045454546</v>
      </c>
      <c r="P62" s="8">
        <f t="shared" si="17"/>
        <v>0.81275768498726175</v>
      </c>
      <c r="R62" s="126">
        <f t="shared" si="18"/>
        <v>32</v>
      </c>
      <c r="T62" s="10">
        <f t="shared" si="19"/>
        <v>6191493.8700000001</v>
      </c>
      <c r="U62" s="151">
        <f t="shared" si="20"/>
        <v>0.4483542901063321</v>
      </c>
      <c r="V62" s="126">
        <f t="shared" si="21"/>
        <v>32</v>
      </c>
    </row>
    <row r="63" spans="3:22" x14ac:dyDescent="0.25">
      <c r="C63" s="3"/>
      <c r="D63" s="29"/>
      <c r="E63" s="9"/>
      <c r="F63" s="9"/>
      <c r="H63" s="135"/>
      <c r="I63" s="44"/>
      <c r="M63" s="77"/>
      <c r="O63" s="10"/>
      <c r="R63" s="132"/>
      <c r="U63" s="28"/>
      <c r="V63" s="132"/>
    </row>
    <row r="64" spans="3:22" x14ac:dyDescent="0.25">
      <c r="C64" s="3"/>
      <c r="D64" s="29"/>
      <c r="E64" s="9"/>
      <c r="F64" s="9"/>
      <c r="H64" s="136">
        <f>+I64/I67</f>
        <v>0.22936199237228613</v>
      </c>
      <c r="I64" s="134">
        <f>SUM(I54:I63)</f>
        <v>181665728</v>
      </c>
      <c r="J64" s="10"/>
      <c r="M64" s="16">
        <f>SUM(M54:M63)</f>
        <v>98803241.155000001</v>
      </c>
      <c r="R64" s="132"/>
      <c r="T64" s="16">
        <f>SUM(T54:T63)</f>
        <v>82862486.844999999</v>
      </c>
      <c r="U64" s="28"/>
      <c r="V64" s="132"/>
    </row>
    <row r="65" spans="1:22" x14ac:dyDescent="0.25">
      <c r="C65" s="3"/>
      <c r="D65" s="29"/>
      <c r="E65" s="9"/>
      <c r="F65" s="9"/>
      <c r="H65" s="135"/>
      <c r="I65" s="28"/>
      <c r="M65" s="77"/>
      <c r="R65" s="132"/>
      <c r="U65" s="28"/>
      <c r="V65" s="132"/>
    </row>
    <row r="66" spans="1:22" x14ac:dyDescent="0.25">
      <c r="C66" s="3"/>
      <c r="D66" s="29"/>
      <c r="E66" s="9"/>
      <c r="F66" s="9"/>
      <c r="H66" s="135"/>
      <c r="I66" s="28"/>
      <c r="M66" s="77"/>
      <c r="R66" s="132"/>
      <c r="U66" s="28"/>
      <c r="V66" s="132"/>
    </row>
    <row r="67" spans="1:22" ht="15.75" x14ac:dyDescent="0.25">
      <c r="C67" s="31"/>
      <c r="D67" s="32"/>
      <c r="E67" s="33"/>
      <c r="F67" s="33"/>
      <c r="G67" s="34"/>
      <c r="H67" s="137"/>
      <c r="I67" s="140">
        <f>+I64+I50</f>
        <v>792048090.10000002</v>
      </c>
      <c r="J67" s="143"/>
      <c r="K67" s="144"/>
      <c r="L67" s="145"/>
      <c r="M67" s="141">
        <f>+M64+M50</f>
        <v>260456124.59500003</v>
      </c>
      <c r="N67" s="146"/>
      <c r="O67" s="144"/>
      <c r="P67" s="144"/>
      <c r="Q67" s="144"/>
      <c r="R67" s="147"/>
      <c r="S67" s="145"/>
      <c r="T67" s="141">
        <f>+T64+T50</f>
        <v>531591965.505</v>
      </c>
      <c r="U67" s="152">
        <f t="shared" ref="U67" si="22">+T67/I67</f>
        <v>0.67116122385685428</v>
      </c>
      <c r="V67" s="125"/>
    </row>
    <row r="68" spans="1:22" x14ac:dyDescent="0.25">
      <c r="I68" s="80" t="s">
        <v>96</v>
      </c>
      <c r="J68" s="133"/>
      <c r="M68" s="80" t="s">
        <v>97</v>
      </c>
      <c r="T68" s="80" t="s">
        <v>101</v>
      </c>
      <c r="U68" s="80" t="s">
        <v>104</v>
      </c>
    </row>
    <row r="69" spans="1:22" x14ac:dyDescent="0.25">
      <c r="I69" s="60">
        <f>+I67-'DVD Holdings Metrics'!H77</f>
        <v>792048090.10000002</v>
      </c>
      <c r="M69" s="77"/>
    </row>
    <row r="70" spans="1:22" x14ac:dyDescent="0.25">
      <c r="H70" s="64" t="s">
        <v>169</v>
      </c>
      <c r="I70" s="92" t="e">
        <f>+I46+I44+I43+I40+#REF!+I37+I32</f>
        <v>#REF!</v>
      </c>
    </row>
    <row r="71" spans="1:22" x14ac:dyDescent="0.25">
      <c r="H71" s="97"/>
      <c r="I71" s="250" t="e">
        <f>+I70/I67</f>
        <v>#REF!</v>
      </c>
    </row>
    <row r="72" spans="1:22" x14ac:dyDescent="0.25">
      <c r="I72" s="93"/>
    </row>
    <row r="73" spans="1:22" x14ac:dyDescent="0.25">
      <c r="I73" s="93"/>
    </row>
    <row r="74" spans="1:22" x14ac:dyDescent="0.25">
      <c r="I74" s="86"/>
      <c r="R74" s="16" t="e">
        <f>SUM(R76:R84)</f>
        <v>#REF!</v>
      </c>
    </row>
    <row r="75" spans="1:22" x14ac:dyDescent="0.25">
      <c r="A75" s="910" t="s">
        <v>74</v>
      </c>
      <c r="B75" s="912"/>
      <c r="C75" s="90"/>
      <c r="D75" s="90"/>
      <c r="E75" s="177" t="s">
        <v>167</v>
      </c>
      <c r="F75" s="90"/>
      <c r="G75" s="90"/>
      <c r="H75" s="192"/>
      <c r="I75" s="90"/>
      <c r="J75" s="90"/>
      <c r="K75" s="90"/>
      <c r="L75" s="90"/>
      <c r="M75" s="90"/>
      <c r="N75" s="65"/>
      <c r="O75" s="178" t="s">
        <v>158</v>
      </c>
      <c r="P75" s="89" t="s">
        <v>74</v>
      </c>
    </row>
    <row r="76" spans="1:22" x14ac:dyDescent="0.25">
      <c r="A76" s="163">
        <f>+K40</f>
        <v>0.69524642622837707</v>
      </c>
      <c r="B76" s="9">
        <f>+E40</f>
        <v>235.54499999999999</v>
      </c>
      <c r="C76" s="3" t="s">
        <v>10</v>
      </c>
      <c r="D76" s="101">
        <v>10000</v>
      </c>
      <c r="E76" s="9">
        <v>334.14</v>
      </c>
      <c r="F76" s="112"/>
      <c r="G76" s="127"/>
      <c r="H76" s="126"/>
      <c r="I76" s="30">
        <f t="shared" ref="I76:I85" si="23">+E76*D76</f>
        <v>3341400</v>
      </c>
      <c r="J76" s="77"/>
      <c r="K76" s="153">
        <f t="shared" ref="K76:K81" si="24">+I76/M76</f>
        <v>0.98626436927105188</v>
      </c>
      <c r="M76" s="77">
        <f>+M40</f>
        <v>3387935.43</v>
      </c>
      <c r="O76" s="176">
        <f t="shared" ref="O76:O81" si="25">+I76-M76</f>
        <v>-46535.430000000168</v>
      </c>
      <c r="P76" s="176">
        <f>+T40</f>
        <v>-1032485.4300000002</v>
      </c>
      <c r="R76" s="10">
        <f>+P76-O76</f>
        <v>-985950</v>
      </c>
    </row>
    <row r="77" spans="1:22" x14ac:dyDescent="0.25">
      <c r="A77" s="153" t="e">
        <f>+#REF!</f>
        <v>#REF!</v>
      </c>
      <c r="B77" s="9" t="e">
        <f>+#REF!</f>
        <v>#REF!</v>
      </c>
      <c r="C77" s="3" t="s">
        <v>11</v>
      </c>
      <c r="D77" s="101">
        <v>330000</v>
      </c>
      <c r="E77" s="9">
        <v>28.6</v>
      </c>
      <c r="F77" s="112"/>
      <c r="G77" s="127"/>
      <c r="H77" s="126"/>
      <c r="I77" s="30">
        <f t="shared" si="23"/>
        <v>9438000</v>
      </c>
      <c r="J77" s="77"/>
      <c r="K77" s="153" t="e">
        <f t="shared" si="24"/>
        <v>#REF!</v>
      </c>
      <c r="M77" s="84" t="e">
        <f>+#REF!</f>
        <v>#REF!</v>
      </c>
      <c r="O77" s="176" t="e">
        <f t="shared" si="25"/>
        <v>#REF!</v>
      </c>
      <c r="P77" s="176" t="e">
        <f>+#REF!</f>
        <v>#REF!</v>
      </c>
      <c r="R77" s="10" t="e">
        <f t="shared" ref="R77:R85" si="26">+P77-O77</f>
        <v>#REF!</v>
      </c>
    </row>
    <row r="78" spans="1:22" x14ac:dyDescent="0.25">
      <c r="A78" s="153" t="e">
        <f>+#REF!</f>
        <v>#REF!</v>
      </c>
      <c r="B78" s="9" t="e">
        <f>+#REF!</f>
        <v>#REF!</v>
      </c>
      <c r="C78" s="3" t="s">
        <v>55</v>
      </c>
      <c r="D78" s="101">
        <v>6300</v>
      </c>
      <c r="E78" s="9">
        <v>357.61</v>
      </c>
      <c r="F78" s="112"/>
      <c r="G78" s="127"/>
      <c r="H78" s="126"/>
      <c r="I78" s="30">
        <f t="shared" si="23"/>
        <v>2252943</v>
      </c>
      <c r="J78" s="77"/>
      <c r="K78" s="153" t="e">
        <f t="shared" si="24"/>
        <v>#REF!</v>
      </c>
      <c r="M78" s="77" t="e">
        <f>+#REF!</f>
        <v>#REF!</v>
      </c>
      <c r="O78" s="176" t="e">
        <f t="shared" si="25"/>
        <v>#REF!</v>
      </c>
      <c r="P78" s="176" t="e">
        <f>+#REF!</f>
        <v>#REF!</v>
      </c>
      <c r="R78" s="10" t="e">
        <f t="shared" si="26"/>
        <v>#REF!</v>
      </c>
    </row>
    <row r="79" spans="1:22" x14ac:dyDescent="0.25">
      <c r="A79" s="153">
        <f>+K45</f>
        <v>0.88346829396697724</v>
      </c>
      <c r="B79" s="9">
        <f>+E45</f>
        <v>367.51</v>
      </c>
      <c r="C79" s="3" t="s">
        <v>122</v>
      </c>
      <c r="D79" s="101">
        <v>5000</v>
      </c>
      <c r="E79" s="9">
        <v>412.88</v>
      </c>
      <c r="F79" s="112"/>
      <c r="G79" s="127"/>
      <c r="H79" s="126"/>
      <c r="I79" s="30">
        <f t="shared" si="23"/>
        <v>2064400</v>
      </c>
      <c r="J79" s="77"/>
      <c r="K79" s="153">
        <f t="shared" si="24"/>
        <v>0.99253459555681633</v>
      </c>
      <c r="M79" s="77">
        <f>+M45</f>
        <v>2079927.5</v>
      </c>
      <c r="O79" s="176">
        <f t="shared" si="25"/>
        <v>-15527.5</v>
      </c>
      <c r="P79" s="176">
        <f>+T45</f>
        <v>-242377.5</v>
      </c>
      <c r="R79" s="10">
        <f t="shared" si="26"/>
        <v>-226850</v>
      </c>
    </row>
    <row r="80" spans="1:22" x14ac:dyDescent="0.25">
      <c r="A80" s="153">
        <f>+K37</f>
        <v>0.79631615297200442</v>
      </c>
      <c r="B80" s="9">
        <f>+E37</f>
        <v>102.04</v>
      </c>
      <c r="C80" s="3" t="s">
        <v>18</v>
      </c>
      <c r="D80" s="101">
        <v>63000</v>
      </c>
      <c r="E80" s="9">
        <v>100.13</v>
      </c>
      <c r="F80" s="112"/>
      <c r="G80" s="127"/>
      <c r="H80" s="126"/>
      <c r="I80" s="30">
        <f t="shared" si="23"/>
        <v>6308190</v>
      </c>
      <c r="J80" s="84"/>
      <c r="K80" s="182">
        <f t="shared" si="24"/>
        <v>0.78141058797615448</v>
      </c>
      <c r="M80" s="77">
        <f>+M37</f>
        <v>8072823.8100000005</v>
      </c>
      <c r="O80" s="176">
        <f t="shared" si="25"/>
        <v>-1764633.8100000005</v>
      </c>
      <c r="P80" s="176">
        <f>+T37</f>
        <v>-1644303.8100000005</v>
      </c>
      <c r="R80" s="10">
        <f t="shared" si="26"/>
        <v>120330</v>
      </c>
    </row>
    <row r="81" spans="1:18" x14ac:dyDescent="0.25">
      <c r="A81" s="153" t="e">
        <f>+#REF!</f>
        <v>#REF!</v>
      </c>
      <c r="B81" s="9" t="e">
        <f>+#REF!</f>
        <v>#REF!</v>
      </c>
      <c r="C81" s="3" t="s">
        <v>133</v>
      </c>
      <c r="D81" s="101">
        <v>15000</v>
      </c>
      <c r="E81" s="9">
        <v>196.24</v>
      </c>
      <c r="F81" s="112"/>
      <c r="G81" s="127"/>
      <c r="H81" s="126"/>
      <c r="I81" s="30">
        <f t="shared" si="23"/>
        <v>2943600</v>
      </c>
      <c r="J81" s="77"/>
      <c r="K81" s="182" t="e">
        <f t="shared" si="24"/>
        <v>#REF!</v>
      </c>
      <c r="M81" s="77" t="e">
        <f>+#REF!</f>
        <v>#REF!</v>
      </c>
      <c r="O81" s="176" t="e">
        <f t="shared" si="25"/>
        <v>#REF!</v>
      </c>
      <c r="P81" s="176" t="e">
        <f>+#REF!</f>
        <v>#REF!</v>
      </c>
      <c r="R81" s="10" t="e">
        <f t="shared" si="26"/>
        <v>#REF!</v>
      </c>
    </row>
    <row r="82" spans="1:18" x14ac:dyDescent="0.25">
      <c r="A82" s="153">
        <f>+K42</f>
        <v>1.0813526111765408</v>
      </c>
      <c r="B82" s="9">
        <f>+E42</f>
        <v>73.64</v>
      </c>
      <c r="C82" s="3" t="s">
        <v>149</v>
      </c>
      <c r="D82" s="101">
        <v>35000</v>
      </c>
      <c r="E82" s="9">
        <v>52.38</v>
      </c>
      <c r="F82" s="112"/>
      <c r="G82" s="127"/>
      <c r="H82" s="126"/>
      <c r="I82" s="30">
        <f t="shared" si="23"/>
        <v>1833300</v>
      </c>
      <c r="J82" s="77"/>
      <c r="K82" s="182">
        <f>+I82/M82</f>
        <v>0.44867910150053236</v>
      </c>
      <c r="M82" s="84">
        <f>+M42</f>
        <v>4085993.74</v>
      </c>
      <c r="O82" s="176">
        <f>+I82-M82</f>
        <v>-2252693.7400000002</v>
      </c>
      <c r="P82" s="176">
        <f>+T42</f>
        <v>332406.25999999978</v>
      </c>
      <c r="R82" s="10">
        <f t="shared" si="26"/>
        <v>2585100</v>
      </c>
    </row>
    <row r="83" spans="1:18" x14ac:dyDescent="0.25">
      <c r="A83" s="163">
        <f>+K46</f>
        <v>1.1380154653383752</v>
      </c>
      <c r="B83" s="9">
        <f>+E46</f>
        <v>443.82</v>
      </c>
      <c r="C83" s="3" t="s">
        <v>95</v>
      </c>
      <c r="D83" s="101">
        <v>5000</v>
      </c>
      <c r="E83" s="9">
        <v>344.77</v>
      </c>
      <c r="F83" s="112"/>
      <c r="G83" s="127"/>
      <c r="H83" s="126"/>
      <c r="I83" s="30">
        <f t="shared" si="23"/>
        <v>1723850</v>
      </c>
      <c r="J83" s="77"/>
      <c r="K83" s="153">
        <f t="shared" ref="K83" si="27">+I83/M83</f>
        <v>0.88403765487069441</v>
      </c>
      <c r="M83" s="77">
        <f>+M46</f>
        <v>1949973.5</v>
      </c>
      <c r="O83" s="176">
        <f t="shared" ref="O83:O84" si="28">+I83-M83</f>
        <v>-226123.5</v>
      </c>
      <c r="P83" s="176">
        <f>+T46</f>
        <v>269126.5</v>
      </c>
      <c r="R83" s="10">
        <f t="shared" si="26"/>
        <v>495250</v>
      </c>
    </row>
    <row r="84" spans="1:18" x14ac:dyDescent="0.25">
      <c r="A84" s="163">
        <f>+K44</f>
        <v>0.81219461411465488</v>
      </c>
      <c r="B84" s="9">
        <f>+E44</f>
        <v>74.31</v>
      </c>
      <c r="C84" s="3" t="s">
        <v>93</v>
      </c>
      <c r="D84" s="101">
        <v>50000</v>
      </c>
      <c r="E84" s="9">
        <v>48.67</v>
      </c>
      <c r="F84" s="112"/>
      <c r="G84" s="127"/>
      <c r="H84" s="126"/>
      <c r="I84" s="30">
        <f t="shared" si="23"/>
        <v>2433500</v>
      </c>
      <c r="J84" s="77"/>
      <c r="K84" s="153">
        <f>+I84/M84</f>
        <v>0.5319541363068262</v>
      </c>
      <c r="M84" s="77">
        <f>+M44</f>
        <v>4574642.5</v>
      </c>
      <c r="O84" s="176">
        <f t="shared" si="28"/>
        <v>-2141142.5</v>
      </c>
      <c r="P84" s="176">
        <f>+T44</f>
        <v>-859142.5</v>
      </c>
      <c r="R84" s="10">
        <f t="shared" si="26"/>
        <v>1282000</v>
      </c>
    </row>
    <row r="85" spans="1:18" x14ac:dyDescent="0.25">
      <c r="A85" s="163">
        <f>+K43</f>
        <v>1.6958709190130852</v>
      </c>
      <c r="B85" s="9">
        <f>+E43</f>
        <v>71.75</v>
      </c>
      <c r="C85" s="3" t="s">
        <v>78</v>
      </c>
      <c r="D85" s="101">
        <v>100000</v>
      </c>
      <c r="E85" s="9">
        <v>31.7</v>
      </c>
      <c r="F85" s="112"/>
      <c r="G85" s="127"/>
      <c r="H85" s="126"/>
      <c r="I85" s="30">
        <f t="shared" si="23"/>
        <v>3170000</v>
      </c>
      <c r="J85" s="77"/>
      <c r="K85" s="153">
        <f>+I85/M85</f>
        <v>0.74925586247686127</v>
      </c>
      <c r="M85" s="77">
        <f>+M43</f>
        <v>4230864.46</v>
      </c>
      <c r="O85" s="176">
        <f t="shared" ref="O85" si="29">+I85-M85</f>
        <v>-1060864.46</v>
      </c>
      <c r="P85" s="176">
        <f>+T43</f>
        <v>2944135.54</v>
      </c>
      <c r="R85" s="10">
        <f t="shared" si="26"/>
        <v>4005000</v>
      </c>
    </row>
    <row r="86" spans="1:18" x14ac:dyDescent="0.25">
      <c r="A86" s="34"/>
      <c r="B86" s="34"/>
      <c r="C86" s="31"/>
      <c r="D86" s="116"/>
      <c r="E86" s="33"/>
      <c r="F86" s="114"/>
      <c r="G86" s="130"/>
      <c r="H86" s="124"/>
      <c r="I86" s="75"/>
      <c r="J86" s="76"/>
      <c r="K86" s="181"/>
      <c r="L86" s="34"/>
      <c r="M86" s="34"/>
      <c r="N86" s="34"/>
      <c r="O86" s="34"/>
      <c r="P86" s="44"/>
    </row>
    <row r="87" spans="1:18" x14ac:dyDescent="0.25">
      <c r="O87" s="10" t="e">
        <f>SUM(O76:O86)</f>
        <v>#REF!</v>
      </c>
      <c r="P87" s="10" t="e">
        <f>SUM(P76:P86)</f>
        <v>#REF!</v>
      </c>
    </row>
    <row r="88" spans="1:18" x14ac:dyDescent="0.25">
      <c r="O88" s="10"/>
      <c r="P88" s="10"/>
    </row>
    <row r="89" spans="1:18" x14ac:dyDescent="0.25">
      <c r="O89" s="10"/>
      <c r="P89" s="10"/>
    </row>
    <row r="90" spans="1:18" x14ac:dyDescent="0.25">
      <c r="A90" s="910" t="s">
        <v>74</v>
      </c>
      <c r="B90" s="912"/>
      <c r="C90" s="90"/>
      <c r="D90" s="90"/>
      <c r="E90" s="177" t="s">
        <v>167</v>
      </c>
      <c r="F90" s="90"/>
      <c r="G90" s="90"/>
      <c r="H90" s="192"/>
      <c r="I90" s="90"/>
      <c r="J90" s="90"/>
      <c r="K90" s="90"/>
      <c r="L90" s="90"/>
      <c r="M90" s="90"/>
      <c r="N90" s="65"/>
      <c r="O90" s="178" t="s">
        <v>158</v>
      </c>
      <c r="P90" s="89" t="s">
        <v>74</v>
      </c>
    </row>
    <row r="91" spans="1:18" x14ac:dyDescent="0.25">
      <c r="A91" s="163">
        <f>+K32</f>
        <v>1.46824918892333</v>
      </c>
      <c r="B91" s="9">
        <f>+E32</f>
        <v>242.08</v>
      </c>
      <c r="C91" s="3" t="s">
        <v>33</v>
      </c>
      <c r="D91" s="101">
        <v>50000</v>
      </c>
      <c r="E91" s="9">
        <v>132.59</v>
      </c>
      <c r="F91" s="112"/>
      <c r="G91" s="127"/>
      <c r="H91" s="126"/>
      <c r="I91" s="30">
        <f>+E91*D91</f>
        <v>6629500</v>
      </c>
      <c r="J91" s="77"/>
      <c r="K91" s="153">
        <f t="shared" ref="K91:K94" si="30">+I91/M91</f>
        <v>0.80417696612419176</v>
      </c>
      <c r="M91" s="77">
        <f>1859442.36+1232577.92+3413447.96+1738364</f>
        <v>8243832.2400000002</v>
      </c>
      <c r="O91" s="176">
        <f t="shared" ref="O91:O94" si="31">+I91-M91</f>
        <v>-1614332.2400000002</v>
      </c>
      <c r="P91" s="176">
        <f>+T32</f>
        <v>3860167.76</v>
      </c>
      <c r="R91" s="10">
        <f>+P91-O91</f>
        <v>5474500</v>
      </c>
    </row>
    <row r="92" spans="1:18" x14ac:dyDescent="0.25">
      <c r="A92" s="274">
        <f>+K37</f>
        <v>0.79631615297200442</v>
      </c>
      <c r="B92" s="9">
        <f>+E37</f>
        <v>102.04</v>
      </c>
      <c r="C92" s="3" t="s">
        <v>18</v>
      </c>
      <c r="D92" s="101">
        <v>63000</v>
      </c>
      <c r="E92" s="9">
        <v>86.88</v>
      </c>
      <c r="F92" s="112"/>
      <c r="G92" s="127"/>
      <c r="H92" s="126"/>
      <c r="I92" s="30">
        <f t="shared" ref="I92:I94" si="32">+E92*D92</f>
        <v>5473440</v>
      </c>
      <c r="J92" s="77"/>
      <c r="K92" s="182">
        <f t="shared" si="30"/>
        <v>0.67800810829290226</v>
      </c>
      <c r="M92" s="84">
        <f>2936160+2660890.5+1365278.46+1110494.85</f>
        <v>8072823.8100000005</v>
      </c>
      <c r="O92" s="176">
        <f t="shared" si="31"/>
        <v>-2599383.8100000005</v>
      </c>
      <c r="P92" s="176">
        <f>+T37</f>
        <v>-1644303.8100000005</v>
      </c>
      <c r="R92" s="10">
        <f t="shared" ref="R92:R97" si="33">+P92-O92</f>
        <v>955080</v>
      </c>
    </row>
    <row r="93" spans="1:18" x14ac:dyDescent="0.25">
      <c r="A93" s="274">
        <f>+K40</f>
        <v>0.69524642622837707</v>
      </c>
      <c r="B93" s="9">
        <f>+E40</f>
        <v>235.54499999999999</v>
      </c>
      <c r="C93" s="3" t="s">
        <v>10</v>
      </c>
      <c r="D93" s="101">
        <v>20000</v>
      </c>
      <c r="E93" s="9">
        <v>210.9</v>
      </c>
      <c r="F93" s="112"/>
      <c r="G93" s="127"/>
      <c r="H93" s="126"/>
      <c r="I93" s="30">
        <f t="shared" si="32"/>
        <v>4218000</v>
      </c>
      <c r="J93" s="84"/>
      <c r="K93" s="182">
        <f t="shared" si="30"/>
        <v>0.62250300823693239</v>
      </c>
      <c r="M93" s="77">
        <f>1637923.5+1421972.25+1329068.62+2386906.5</f>
        <v>6775870.8700000001</v>
      </c>
      <c r="O93" s="176">
        <f t="shared" si="31"/>
        <v>-2557870.87</v>
      </c>
      <c r="P93" s="176">
        <f>+T40</f>
        <v>-1032485.4300000002</v>
      </c>
      <c r="R93" s="10">
        <f t="shared" si="33"/>
        <v>1525385.44</v>
      </c>
    </row>
    <row r="94" spans="1:18" x14ac:dyDescent="0.25">
      <c r="A94" s="274">
        <f>+K43</f>
        <v>1.6958709190130852</v>
      </c>
      <c r="B94" s="9">
        <f>+E43</f>
        <v>71.75</v>
      </c>
      <c r="C94" s="3" t="s">
        <v>78</v>
      </c>
      <c r="D94" s="101">
        <v>100000</v>
      </c>
      <c r="E94" s="9">
        <v>24.73</v>
      </c>
      <c r="F94" s="112"/>
      <c r="G94" s="127"/>
      <c r="H94" s="126"/>
      <c r="I94" s="30">
        <f t="shared" si="32"/>
        <v>2473000</v>
      </c>
      <c r="J94" s="77"/>
      <c r="K94" s="182">
        <f t="shared" si="30"/>
        <v>0.58451411605844728</v>
      </c>
      <c r="M94" s="77">
        <f>3111388+1119476.46</f>
        <v>4230864.46</v>
      </c>
      <c r="O94" s="176">
        <f t="shared" si="31"/>
        <v>-1757864.46</v>
      </c>
      <c r="P94" s="176">
        <f>+T43</f>
        <v>2944135.54</v>
      </c>
      <c r="R94" s="10">
        <f t="shared" si="33"/>
        <v>4702000</v>
      </c>
    </row>
    <row r="95" spans="1:18" x14ac:dyDescent="0.25">
      <c r="A95" s="182">
        <f>+K44</f>
        <v>0.81219461411465488</v>
      </c>
      <c r="B95" s="9">
        <f>+E44</f>
        <v>74.31</v>
      </c>
      <c r="C95" s="3" t="s">
        <v>93</v>
      </c>
      <c r="D95" s="101">
        <v>50000</v>
      </c>
      <c r="E95" s="9">
        <v>42.33</v>
      </c>
      <c r="F95" s="112"/>
      <c r="G95" s="127"/>
      <c r="H95" s="126"/>
      <c r="I95" s="30">
        <f>+E95*D95</f>
        <v>2116500</v>
      </c>
      <c r="J95" s="77"/>
      <c r="K95" s="182">
        <f>+I95/M95</f>
        <v>0.46265910396276866</v>
      </c>
      <c r="M95" s="84">
        <f>3311549.5+1263093</f>
        <v>4574642.5</v>
      </c>
      <c r="O95" s="176">
        <f>+I95-M95</f>
        <v>-2458142.5</v>
      </c>
      <c r="P95" s="176">
        <f>+T44</f>
        <v>-859142.5</v>
      </c>
      <c r="R95" s="10">
        <f t="shared" si="33"/>
        <v>1599000</v>
      </c>
    </row>
    <row r="96" spans="1:18" x14ac:dyDescent="0.25">
      <c r="A96" s="163" t="e">
        <f>+#REF!</f>
        <v>#REF!</v>
      </c>
      <c r="B96" s="9" t="e">
        <f>+#REF!</f>
        <v>#REF!</v>
      </c>
      <c r="C96" s="3" t="s">
        <v>55</v>
      </c>
      <c r="D96" s="101">
        <v>6300</v>
      </c>
      <c r="E96" s="9">
        <v>339.1</v>
      </c>
      <c r="F96" s="112"/>
      <c r="G96" s="127"/>
      <c r="H96" s="126"/>
      <c r="I96" s="30">
        <f t="shared" ref="I96:I97" si="34">+E96*D96</f>
        <v>2136330</v>
      </c>
      <c r="J96" s="77"/>
      <c r="K96" s="153">
        <f t="shared" ref="K96:K97" si="35">+I96/M96</f>
        <v>0.81643109102496414</v>
      </c>
      <c r="M96" s="77">
        <v>2616669.09</v>
      </c>
      <c r="O96" s="176">
        <f t="shared" ref="O96:O97" si="36">+I96-M96</f>
        <v>-480339.08999999985</v>
      </c>
      <c r="P96" s="176" t="e">
        <f>+#REF!</f>
        <v>#REF!</v>
      </c>
      <c r="R96" s="10" t="e">
        <f t="shared" si="33"/>
        <v>#REF!</v>
      </c>
    </row>
    <row r="97" spans="1:18" x14ac:dyDescent="0.25">
      <c r="A97" s="163">
        <f>+K46</f>
        <v>1.1380154653383752</v>
      </c>
      <c r="B97" s="9">
        <f>+E46</f>
        <v>443.82</v>
      </c>
      <c r="C97" s="3" t="s">
        <v>95</v>
      </c>
      <c r="D97" s="101">
        <v>5000</v>
      </c>
      <c r="E97" s="9">
        <v>334.94</v>
      </c>
      <c r="F97" s="112"/>
      <c r="G97" s="127"/>
      <c r="H97" s="126"/>
      <c r="I97" s="30">
        <f t="shared" si="34"/>
        <v>1674700</v>
      </c>
      <c r="J97" s="77"/>
      <c r="K97" s="153">
        <f t="shared" si="35"/>
        <v>0.85883218412968176</v>
      </c>
      <c r="M97" s="77">
        <v>1949973.5</v>
      </c>
      <c r="O97" s="176">
        <f t="shared" si="36"/>
        <v>-275273.5</v>
      </c>
      <c r="P97" s="176">
        <f>+T46</f>
        <v>269126.5</v>
      </c>
      <c r="R97" s="10">
        <f t="shared" si="33"/>
        <v>544400</v>
      </c>
    </row>
    <row r="98" spans="1:18" x14ac:dyDescent="0.25">
      <c r="A98" s="34"/>
      <c r="B98" s="34"/>
      <c r="C98" s="31"/>
      <c r="D98" s="116"/>
      <c r="E98" s="33"/>
      <c r="F98" s="114"/>
      <c r="G98" s="130"/>
      <c r="H98" s="124"/>
      <c r="I98" s="75"/>
      <c r="J98" s="76"/>
      <c r="K98" s="181"/>
      <c r="L98" s="34"/>
      <c r="M98" s="34"/>
      <c r="N98" s="34"/>
      <c r="O98" s="34"/>
      <c r="P98" s="44"/>
    </row>
    <row r="99" spans="1:18" x14ac:dyDescent="0.25">
      <c r="O99" s="10">
        <f>SUM(O91:O98)</f>
        <v>-11743206.470000001</v>
      </c>
      <c r="P99" s="10" t="e">
        <f>SUM(P91:P98)</f>
        <v>#REF!</v>
      </c>
    </row>
    <row r="100" spans="1:18" x14ac:dyDescent="0.25">
      <c r="I100" s="86"/>
      <c r="R100" s="16" t="e">
        <f>SUM(R102:R110)</f>
        <v>#REF!</v>
      </c>
    </row>
    <row r="101" spans="1:18" x14ac:dyDescent="0.25">
      <c r="A101" s="910" t="s">
        <v>74</v>
      </c>
      <c r="B101" s="912"/>
      <c r="C101" s="90"/>
      <c r="D101" s="90"/>
      <c r="E101" s="177" t="s">
        <v>161</v>
      </c>
      <c r="F101" s="90"/>
      <c r="G101" s="90"/>
      <c r="H101" s="192"/>
      <c r="I101" s="90"/>
      <c r="J101" s="90"/>
      <c r="K101" s="90"/>
      <c r="L101" s="90"/>
      <c r="M101" s="90"/>
      <c r="N101" s="65"/>
      <c r="O101" s="178" t="s">
        <v>158</v>
      </c>
      <c r="P101" s="89" t="s">
        <v>74</v>
      </c>
    </row>
    <row r="102" spans="1:18" x14ac:dyDescent="0.25">
      <c r="A102" s="163">
        <f>+K32</f>
        <v>1.46824918892333</v>
      </c>
      <c r="B102" s="9">
        <f>+E32</f>
        <v>242.08</v>
      </c>
      <c r="C102" s="3" t="s">
        <v>33</v>
      </c>
      <c r="D102" s="101">
        <v>50000</v>
      </c>
      <c r="E102" s="9">
        <v>160.25</v>
      </c>
      <c r="F102" s="112"/>
      <c r="G102" s="127"/>
      <c r="H102" s="126"/>
      <c r="I102" s="30">
        <f>+E102*D102</f>
        <v>8012500</v>
      </c>
      <c r="J102" s="77"/>
      <c r="K102" s="153">
        <f t="shared" ref="K102:K106" si="37">+I102/M102</f>
        <v>0.97193874969003491</v>
      </c>
      <c r="M102" s="77">
        <f>1859442.36+1232577.92+3413447.96+1738364</f>
        <v>8243832.2400000002</v>
      </c>
      <c r="O102" s="176">
        <f t="shared" ref="O102:O106" si="38">+I102-M102</f>
        <v>-231332.24000000022</v>
      </c>
      <c r="P102" s="176">
        <f>+T32</f>
        <v>3860167.76</v>
      </c>
      <c r="R102" s="10">
        <f>+P102-O102</f>
        <v>4091500</v>
      </c>
    </row>
    <row r="103" spans="1:18" x14ac:dyDescent="0.25">
      <c r="A103" s="163">
        <f>+K37</f>
        <v>0.79631615297200442</v>
      </c>
      <c r="B103" s="9">
        <f>+E37</f>
        <v>102.04</v>
      </c>
      <c r="C103" s="3" t="s">
        <v>18</v>
      </c>
      <c r="D103" s="101">
        <v>63000</v>
      </c>
      <c r="E103" s="9">
        <v>97.87</v>
      </c>
      <c r="F103" s="112"/>
      <c r="G103" s="127"/>
      <c r="H103" s="126"/>
      <c r="I103" s="30">
        <f t="shared" ref="I103:I106" si="39">+E103*D103</f>
        <v>6165810</v>
      </c>
      <c r="J103" s="77"/>
      <c r="K103" s="153">
        <f t="shared" si="37"/>
        <v>0.76377363672452048</v>
      </c>
      <c r="M103" s="84">
        <f>2936160+2660890.5+1365278.46+1110494.85</f>
        <v>8072823.8100000005</v>
      </c>
      <c r="O103" s="176">
        <f t="shared" si="38"/>
        <v>-1907013.8100000005</v>
      </c>
      <c r="P103" s="176">
        <f>+T37</f>
        <v>-1644303.8100000005</v>
      </c>
      <c r="R103" s="10">
        <f t="shared" ref="R103:R110" si="40">+P103-O103</f>
        <v>262710</v>
      </c>
    </row>
    <row r="104" spans="1:18" x14ac:dyDescent="0.25">
      <c r="A104" s="182">
        <f>+K40</f>
        <v>0.69524642622837707</v>
      </c>
      <c r="B104" s="9">
        <f>+E40</f>
        <v>235.54499999999999</v>
      </c>
      <c r="C104" s="3" t="s">
        <v>10</v>
      </c>
      <c r="D104" s="101">
        <v>20000</v>
      </c>
      <c r="E104" s="9">
        <v>196.66</v>
      </c>
      <c r="F104" s="112"/>
      <c r="G104" s="127"/>
      <c r="H104" s="126"/>
      <c r="I104" s="30">
        <f t="shared" si="39"/>
        <v>3933200</v>
      </c>
      <c r="J104" s="84"/>
      <c r="K104" s="182">
        <f t="shared" si="37"/>
        <v>0.5804715106679712</v>
      </c>
      <c r="M104" s="77">
        <f>1637923.5+1421972.25+1329068.62+2386906.5</f>
        <v>6775870.8700000001</v>
      </c>
      <c r="O104" s="176">
        <f t="shared" si="38"/>
        <v>-2842670.87</v>
      </c>
      <c r="P104" s="176">
        <f>+T40</f>
        <v>-1032485.4300000002</v>
      </c>
      <c r="R104" s="10">
        <f t="shared" si="40"/>
        <v>1810185.44</v>
      </c>
    </row>
    <row r="105" spans="1:18" x14ac:dyDescent="0.25">
      <c r="A105" s="182" t="e">
        <f>+#REF!</f>
        <v>#REF!</v>
      </c>
      <c r="B105" s="9" t="e">
        <f>+#REF!</f>
        <v>#REF!</v>
      </c>
      <c r="C105" s="3" t="s">
        <v>92</v>
      </c>
      <c r="D105" s="101">
        <v>50000</v>
      </c>
      <c r="E105" s="9">
        <v>59.3</v>
      </c>
      <c r="F105" s="112"/>
      <c r="G105" s="127"/>
      <c r="H105" s="126"/>
      <c r="I105" s="30">
        <f t="shared" si="39"/>
        <v>2965000</v>
      </c>
      <c r="J105" s="77"/>
      <c r="K105" s="182">
        <f t="shared" si="37"/>
        <v>0.61202984393755022</v>
      </c>
      <c r="M105" s="77">
        <f>3363055+1481480</f>
        <v>4844535</v>
      </c>
      <c r="O105" s="176">
        <f t="shared" si="38"/>
        <v>-1879535</v>
      </c>
      <c r="P105" s="176" t="e">
        <f>+#REF!</f>
        <v>#REF!</v>
      </c>
      <c r="R105" s="10" t="e">
        <f t="shared" si="40"/>
        <v>#REF!</v>
      </c>
    </row>
    <row r="106" spans="1:18" x14ac:dyDescent="0.25">
      <c r="A106" s="163">
        <f>+K43</f>
        <v>1.6958709190130852</v>
      </c>
      <c r="B106" s="9">
        <f>+E43</f>
        <v>71.75</v>
      </c>
      <c r="C106" s="3" t="s">
        <v>78</v>
      </c>
      <c r="D106" s="101">
        <v>100000</v>
      </c>
      <c r="E106" s="9">
        <v>29.14</v>
      </c>
      <c r="F106" s="112"/>
      <c r="G106" s="127"/>
      <c r="H106" s="126"/>
      <c r="I106" s="30">
        <f t="shared" si="39"/>
        <v>2914000</v>
      </c>
      <c r="J106" s="77"/>
      <c r="K106" s="153">
        <f t="shared" si="37"/>
        <v>0.6887481335197394</v>
      </c>
      <c r="M106" s="77">
        <f>3111388+1119476.46</f>
        <v>4230864.46</v>
      </c>
      <c r="O106" s="176">
        <f t="shared" si="38"/>
        <v>-1316864.46</v>
      </c>
      <c r="P106" s="176">
        <f>+T43</f>
        <v>2944135.54</v>
      </c>
      <c r="R106" s="10">
        <f t="shared" si="40"/>
        <v>4261000</v>
      </c>
    </row>
    <row r="107" spans="1:18" x14ac:dyDescent="0.25">
      <c r="A107" s="182">
        <f>+K44</f>
        <v>0.81219461411465488</v>
      </c>
      <c r="B107" s="9">
        <f>+E44</f>
        <v>74.31</v>
      </c>
      <c r="C107" s="3" t="s">
        <v>93</v>
      </c>
      <c r="D107" s="101">
        <v>50000</v>
      </c>
      <c r="E107" s="9">
        <v>45.89</v>
      </c>
      <c r="F107" s="112"/>
      <c r="G107" s="127"/>
      <c r="H107" s="126"/>
      <c r="I107" s="30">
        <f>+E107*D107</f>
        <v>2294500</v>
      </c>
      <c r="J107" s="77"/>
      <c r="K107" s="182">
        <f>+I107/M107</f>
        <v>0.50156924830738137</v>
      </c>
      <c r="M107" s="84">
        <f>3311549.5+1263093</f>
        <v>4574642.5</v>
      </c>
      <c r="O107" s="176">
        <f>+I107-M107</f>
        <v>-2280142.5</v>
      </c>
      <c r="P107" s="176">
        <f>+T44</f>
        <v>-859142.5</v>
      </c>
      <c r="R107" s="10">
        <f t="shared" si="40"/>
        <v>1421000</v>
      </c>
    </row>
    <row r="108" spans="1:18" x14ac:dyDescent="0.25">
      <c r="A108" s="163" t="e">
        <f>+#REF!</f>
        <v>#REF!</v>
      </c>
      <c r="B108" s="9" t="e">
        <f>+#REF!</f>
        <v>#REF!</v>
      </c>
      <c r="C108" s="3" t="s">
        <v>55</v>
      </c>
      <c r="D108" s="101">
        <v>6300</v>
      </c>
      <c r="E108" s="9">
        <v>391.29</v>
      </c>
      <c r="F108" s="112"/>
      <c r="G108" s="127"/>
      <c r="H108" s="126"/>
      <c r="I108" s="30">
        <f t="shared" ref="I108:I110" si="41">+E108*D108</f>
        <v>2465127</v>
      </c>
      <c r="J108" s="77"/>
      <c r="K108" s="153">
        <f t="shared" ref="K108:K110" si="42">+I108/M108</f>
        <v>0.94208587911282282</v>
      </c>
      <c r="M108" s="77">
        <v>2616669.09</v>
      </c>
      <c r="O108" s="176">
        <f t="shared" ref="O108:O110" si="43">+I108-M108</f>
        <v>-151542.08999999985</v>
      </c>
      <c r="P108" s="176" t="e">
        <f>+#REF!</f>
        <v>#REF!</v>
      </c>
      <c r="R108" s="10" t="e">
        <f t="shared" si="40"/>
        <v>#REF!</v>
      </c>
    </row>
    <row r="109" spans="1:18" x14ac:dyDescent="0.25">
      <c r="A109" s="163" t="e">
        <f>+#REF!</f>
        <v>#REF!</v>
      </c>
      <c r="B109" s="9" t="e">
        <f>+#REF!</f>
        <v>#REF!</v>
      </c>
      <c r="C109" s="3" t="s">
        <v>71</v>
      </c>
      <c r="D109" s="101">
        <v>12000</v>
      </c>
      <c r="E109" s="9">
        <v>149.83000000000001</v>
      </c>
      <c r="F109" s="112"/>
      <c r="G109" s="127"/>
      <c r="H109" s="126"/>
      <c r="I109" s="30">
        <f t="shared" si="41"/>
        <v>1797960.0000000002</v>
      </c>
      <c r="J109" s="77"/>
      <c r="K109" s="153">
        <f t="shared" si="42"/>
        <v>0.73867303106390525</v>
      </c>
      <c r="M109" s="77">
        <v>2434040.4</v>
      </c>
      <c r="O109" s="176">
        <f t="shared" si="43"/>
        <v>-636080.39999999967</v>
      </c>
      <c r="P109" s="176" t="e">
        <f>+#REF!</f>
        <v>#REF!</v>
      </c>
      <c r="R109" s="10" t="e">
        <f t="shared" si="40"/>
        <v>#REF!</v>
      </c>
    </row>
    <row r="110" spans="1:18" x14ac:dyDescent="0.25">
      <c r="A110" s="163">
        <f>+K46</f>
        <v>1.1380154653383752</v>
      </c>
      <c r="B110" s="9">
        <f>+E46</f>
        <v>443.82</v>
      </c>
      <c r="C110" s="3" t="s">
        <v>95</v>
      </c>
      <c r="D110" s="101">
        <v>5000</v>
      </c>
      <c r="E110" s="9">
        <v>321.25</v>
      </c>
      <c r="F110" s="112"/>
      <c r="G110" s="127"/>
      <c r="H110" s="126"/>
      <c r="I110" s="30">
        <f t="shared" si="41"/>
        <v>1606250</v>
      </c>
      <c r="J110" s="77"/>
      <c r="K110" s="153">
        <f t="shared" si="42"/>
        <v>0.82372914298578925</v>
      </c>
      <c r="M110" s="77">
        <v>1949973.5</v>
      </c>
      <c r="O110" s="176">
        <f t="shared" si="43"/>
        <v>-343723.5</v>
      </c>
      <c r="P110" s="176">
        <f>+T46</f>
        <v>269126.5</v>
      </c>
      <c r="R110" s="10">
        <f t="shared" si="40"/>
        <v>612850</v>
      </c>
    </row>
    <row r="111" spans="1:18" x14ac:dyDescent="0.25">
      <c r="A111" s="34"/>
      <c r="B111" s="34"/>
      <c r="C111" s="31"/>
      <c r="D111" s="116"/>
      <c r="E111" s="33"/>
      <c r="F111" s="114"/>
      <c r="G111" s="130"/>
      <c r="H111" s="124"/>
      <c r="I111" s="75"/>
      <c r="J111" s="76"/>
      <c r="K111" s="181"/>
      <c r="L111" s="34"/>
      <c r="M111" s="34"/>
      <c r="N111" s="34"/>
      <c r="O111" s="34"/>
      <c r="P111" s="44"/>
    </row>
    <row r="112" spans="1:18" x14ac:dyDescent="0.25">
      <c r="O112" s="10">
        <f>SUM(O102:O111)</f>
        <v>-11588904.870000001</v>
      </c>
      <c r="P112" s="10" t="e">
        <f>SUM(P102:P111)</f>
        <v>#REF!</v>
      </c>
    </row>
    <row r="113" spans="1:18" x14ac:dyDescent="0.25">
      <c r="I113" s="86"/>
      <c r="R113" s="16" t="e">
        <f>SUM(R115:R124)</f>
        <v>#REF!</v>
      </c>
    </row>
    <row r="114" spans="1:18" x14ac:dyDescent="0.25">
      <c r="A114" s="910" t="s">
        <v>74</v>
      </c>
      <c r="B114" s="912"/>
      <c r="C114" s="90"/>
      <c r="D114" s="90"/>
      <c r="E114" s="177" t="s">
        <v>158</v>
      </c>
      <c r="F114" s="90"/>
      <c r="G114" s="90"/>
      <c r="H114" s="192"/>
      <c r="I114" s="90"/>
      <c r="J114" s="90"/>
      <c r="K114" s="90"/>
      <c r="L114" s="90"/>
      <c r="M114" s="90"/>
      <c r="N114" s="65"/>
      <c r="O114" s="178" t="s">
        <v>158</v>
      </c>
      <c r="P114" s="89" t="s">
        <v>74</v>
      </c>
    </row>
    <row r="115" spans="1:18" x14ac:dyDescent="0.25">
      <c r="A115" s="163">
        <f>+K32</f>
        <v>1.46824918892333</v>
      </c>
      <c r="B115" s="9">
        <f>+E32</f>
        <v>242.08</v>
      </c>
      <c r="C115" s="3" t="s">
        <v>33</v>
      </c>
      <c r="D115" s="101">
        <v>50000</v>
      </c>
      <c r="E115" s="9">
        <v>162.59</v>
      </c>
      <c r="F115" s="112"/>
      <c r="G115" s="127"/>
      <c r="H115" s="126"/>
      <c r="I115" s="30">
        <f>+E115*D115</f>
        <v>8129500</v>
      </c>
      <c r="J115" s="77"/>
      <c r="K115" s="153">
        <f t="shared" ref="K115:K124" si="44">+I115/M115</f>
        <v>0.98613117823465068</v>
      </c>
      <c r="M115" s="77">
        <f>1859442.36+1232577.92+3413447.96+1738364</f>
        <v>8243832.2400000002</v>
      </c>
      <c r="O115" s="176">
        <f t="shared" ref="O115:O124" si="45">+I115-M115</f>
        <v>-114332.24000000022</v>
      </c>
      <c r="P115" s="176">
        <f>+T32</f>
        <v>3860167.76</v>
      </c>
      <c r="R115" s="10">
        <f>+P115-O115</f>
        <v>3974500</v>
      </c>
    </row>
    <row r="116" spans="1:18" x14ac:dyDescent="0.25">
      <c r="A116" s="163">
        <f>+K37</f>
        <v>0.79631615297200442</v>
      </c>
      <c r="B116" s="9">
        <f>+E37</f>
        <v>102.04</v>
      </c>
      <c r="C116" s="3" t="s">
        <v>18</v>
      </c>
      <c r="D116" s="101">
        <v>63000</v>
      </c>
      <c r="E116" s="9">
        <v>106.54</v>
      </c>
      <c r="F116" s="112"/>
      <c r="G116" s="127"/>
      <c r="H116" s="126"/>
      <c r="I116" s="30">
        <f t="shared" ref="I116:I124" si="46">+E116*D116</f>
        <v>6712020</v>
      </c>
      <c r="J116" s="77"/>
      <c r="K116" s="153">
        <f t="shared" si="44"/>
        <v>0.83143397626065618</v>
      </c>
      <c r="M116" s="84">
        <f>2936160+2660890.5+1365278.46+1110494.85</f>
        <v>8072823.8100000005</v>
      </c>
      <c r="O116" s="176">
        <f t="shared" si="45"/>
        <v>-1360803.8100000005</v>
      </c>
      <c r="P116" s="176">
        <f>+T37</f>
        <v>-1644303.8100000005</v>
      </c>
      <c r="R116" s="10">
        <f t="shared" ref="R116:R124" si="47">+P116-O116</f>
        <v>-283500</v>
      </c>
    </row>
    <row r="117" spans="1:18" x14ac:dyDescent="0.25">
      <c r="A117" s="163" t="e">
        <f>+#REF!</f>
        <v>#REF!</v>
      </c>
      <c r="B117" s="9" t="e">
        <f>+#REF!</f>
        <v>#REF!</v>
      </c>
      <c r="C117" s="3" t="s">
        <v>108</v>
      </c>
      <c r="D117" s="101">
        <v>67000</v>
      </c>
      <c r="E117" s="9">
        <v>93.16</v>
      </c>
      <c r="F117" s="112"/>
      <c r="G117" s="127"/>
      <c r="H117" s="126"/>
      <c r="I117" s="30">
        <f t="shared" si="46"/>
        <v>6241720</v>
      </c>
      <c r="J117" s="77"/>
      <c r="K117" s="153">
        <f t="shared" si="44"/>
        <v>0.78903942758868928</v>
      </c>
      <c r="M117" s="77">
        <f>1380155.72+951314.15+924752.25+3034058.05+1620249.75</f>
        <v>7910529.9199999999</v>
      </c>
      <c r="O117" s="176">
        <f t="shared" si="45"/>
        <v>-1668809.92</v>
      </c>
      <c r="P117" s="176" t="e">
        <f>+#REF!</f>
        <v>#REF!</v>
      </c>
      <c r="R117" s="10" t="e">
        <f t="shared" si="47"/>
        <v>#REF!</v>
      </c>
    </row>
    <row r="118" spans="1:18" x14ac:dyDescent="0.25">
      <c r="A118" s="182">
        <f>+K40</f>
        <v>0.69524642622837707</v>
      </c>
      <c r="B118" s="9">
        <f>+E40</f>
        <v>235.54499999999999</v>
      </c>
      <c r="C118" s="3" t="s">
        <v>10</v>
      </c>
      <c r="D118" s="101">
        <v>20000</v>
      </c>
      <c r="E118" s="9">
        <v>194.3</v>
      </c>
      <c r="F118" s="112"/>
      <c r="G118" s="127"/>
      <c r="H118" s="126"/>
      <c r="I118" s="30">
        <f t="shared" si="46"/>
        <v>3886000</v>
      </c>
      <c r="J118" s="84"/>
      <c r="K118" s="182">
        <f t="shared" si="44"/>
        <v>0.57350561640794673</v>
      </c>
      <c r="M118" s="77">
        <f>1637923.5+1421972.25+1329068.62+2386906.5</f>
        <v>6775870.8700000001</v>
      </c>
      <c r="O118" s="176">
        <f t="shared" si="45"/>
        <v>-2889870.87</v>
      </c>
      <c r="P118" s="176">
        <f>+T40</f>
        <v>-1032485.4300000002</v>
      </c>
      <c r="R118" s="10">
        <f t="shared" si="47"/>
        <v>1857385.44</v>
      </c>
    </row>
    <row r="119" spans="1:18" x14ac:dyDescent="0.25">
      <c r="A119" s="182" t="e">
        <f>+#REF!</f>
        <v>#REF!</v>
      </c>
      <c r="B119" s="9" t="e">
        <f>+#REF!</f>
        <v>#REF!</v>
      </c>
      <c r="C119" s="3" t="s">
        <v>92</v>
      </c>
      <c r="D119" s="101">
        <v>50000</v>
      </c>
      <c r="E119" s="9">
        <v>60.33</v>
      </c>
      <c r="F119" s="112"/>
      <c r="G119" s="127"/>
      <c r="H119" s="126"/>
      <c r="I119" s="30">
        <f t="shared" si="46"/>
        <v>3016500</v>
      </c>
      <c r="J119" s="77"/>
      <c r="K119" s="182">
        <f t="shared" si="44"/>
        <v>0.62266037916951777</v>
      </c>
      <c r="M119" s="77">
        <f>3363055+1481480</f>
        <v>4844535</v>
      </c>
      <c r="O119" s="176">
        <f t="shared" si="45"/>
        <v>-1828035</v>
      </c>
      <c r="P119" s="176" t="e">
        <f>+#REF!</f>
        <v>#REF!</v>
      </c>
      <c r="R119" s="10" t="e">
        <f t="shared" si="47"/>
        <v>#REF!</v>
      </c>
    </row>
    <row r="120" spans="1:18" x14ac:dyDescent="0.25">
      <c r="A120" s="163">
        <f>+K43</f>
        <v>1.6958709190130852</v>
      </c>
      <c r="B120" s="9">
        <f>+E43</f>
        <v>71.75</v>
      </c>
      <c r="C120" s="3" t="s">
        <v>78</v>
      </c>
      <c r="D120" s="101">
        <v>100000</v>
      </c>
      <c r="E120" s="9">
        <v>26.57</v>
      </c>
      <c r="F120" s="112"/>
      <c r="G120" s="127"/>
      <c r="H120" s="126"/>
      <c r="I120" s="30">
        <f t="shared" si="46"/>
        <v>2657000</v>
      </c>
      <c r="J120" s="77"/>
      <c r="K120" s="153">
        <f t="shared" si="44"/>
        <v>0.62800404624637873</v>
      </c>
      <c r="M120" s="77">
        <f>3111388+1119476.46</f>
        <v>4230864.46</v>
      </c>
      <c r="O120" s="176">
        <f t="shared" si="45"/>
        <v>-1573864.46</v>
      </c>
      <c r="P120" s="176">
        <f>+T43</f>
        <v>2944135.54</v>
      </c>
      <c r="R120" s="10">
        <f t="shared" si="47"/>
        <v>4518000</v>
      </c>
    </row>
    <row r="121" spans="1:18" x14ac:dyDescent="0.25">
      <c r="A121" s="182">
        <f>+K44</f>
        <v>0.81219461411465488</v>
      </c>
      <c r="B121" s="9">
        <f>+E44</f>
        <v>74.31</v>
      </c>
      <c r="C121" s="3" t="s">
        <v>93</v>
      </c>
      <c r="D121" s="101">
        <v>50000</v>
      </c>
      <c r="E121" s="9">
        <v>48.09</v>
      </c>
      <c r="F121" s="112"/>
      <c r="G121" s="127"/>
      <c r="H121" s="126"/>
      <c r="I121" s="30">
        <f>+E121*D121</f>
        <v>2404500</v>
      </c>
      <c r="J121" s="77"/>
      <c r="K121" s="182">
        <f>+I121/M121</f>
        <v>0.52561484312708584</v>
      </c>
      <c r="M121" s="84">
        <f>3311549.5+1263093</f>
        <v>4574642.5</v>
      </c>
      <c r="O121" s="176">
        <f>+I121-M121</f>
        <v>-2170142.5</v>
      </c>
      <c r="P121" s="176">
        <f>+T44</f>
        <v>-859142.5</v>
      </c>
      <c r="R121" s="10">
        <f t="shared" si="47"/>
        <v>1311000</v>
      </c>
    </row>
    <row r="122" spans="1:18" x14ac:dyDescent="0.25">
      <c r="A122" s="163">
        <f>+K46</f>
        <v>1.1380154653383752</v>
      </c>
      <c r="B122" s="9" t="e">
        <f>+#REF!</f>
        <v>#REF!</v>
      </c>
      <c r="C122" s="3" t="s">
        <v>55</v>
      </c>
      <c r="D122" s="101">
        <v>6300</v>
      </c>
      <c r="E122" s="9">
        <v>367.62</v>
      </c>
      <c r="F122" s="112"/>
      <c r="G122" s="127"/>
      <c r="H122" s="126"/>
      <c r="I122" s="30">
        <f t="shared" si="46"/>
        <v>2316006</v>
      </c>
      <c r="J122" s="77"/>
      <c r="K122" s="153">
        <f t="shared" si="44"/>
        <v>0.88509701469359281</v>
      </c>
      <c r="M122" s="77">
        <v>2616669.09</v>
      </c>
      <c r="O122" s="176">
        <f t="shared" si="45"/>
        <v>-300663.08999999985</v>
      </c>
      <c r="P122" s="176">
        <f>+T46</f>
        <v>269126.5</v>
      </c>
      <c r="R122" s="10">
        <f t="shared" si="47"/>
        <v>569789.58999999985</v>
      </c>
    </row>
    <row r="123" spans="1:18" x14ac:dyDescent="0.25">
      <c r="A123" s="163" t="e">
        <f>+#REF!</f>
        <v>#REF!</v>
      </c>
      <c r="B123" s="9" t="e">
        <f>+#REF!</f>
        <v>#REF!</v>
      </c>
      <c r="C123" s="3" t="s">
        <v>71</v>
      </c>
      <c r="D123" s="101">
        <v>12000</v>
      </c>
      <c r="E123" s="9">
        <v>157.07</v>
      </c>
      <c r="F123" s="112"/>
      <c r="G123" s="127"/>
      <c r="H123" s="126"/>
      <c r="I123" s="30">
        <f t="shared" si="46"/>
        <v>1884840</v>
      </c>
      <c r="J123" s="77"/>
      <c r="K123" s="153">
        <f t="shared" si="44"/>
        <v>0.77436676893284107</v>
      </c>
      <c r="M123" s="77">
        <v>2434040.4</v>
      </c>
      <c r="O123" s="176">
        <f t="shared" si="45"/>
        <v>-549200.39999999991</v>
      </c>
      <c r="P123" s="176" t="e">
        <f>+#REF!</f>
        <v>#REF!</v>
      </c>
      <c r="R123" s="10" t="e">
        <f t="shared" si="47"/>
        <v>#REF!</v>
      </c>
    </row>
    <row r="124" spans="1:18" x14ac:dyDescent="0.25">
      <c r="A124" s="163">
        <f>+K46</f>
        <v>1.1380154653383752</v>
      </c>
      <c r="B124" s="9">
        <f>+$E$46</f>
        <v>443.82</v>
      </c>
      <c r="C124" s="3" t="s">
        <v>95</v>
      </c>
      <c r="D124" s="101">
        <v>5000</v>
      </c>
      <c r="E124" s="9">
        <v>321.25</v>
      </c>
      <c r="F124" s="112"/>
      <c r="G124" s="127"/>
      <c r="H124" s="126"/>
      <c r="I124" s="30">
        <f t="shared" si="46"/>
        <v>1606250</v>
      </c>
      <c r="J124" s="77"/>
      <c r="K124" s="153">
        <f t="shared" si="44"/>
        <v>0.82372914298578925</v>
      </c>
      <c r="M124" s="77">
        <v>1949973.5</v>
      </c>
      <c r="O124" s="176">
        <f t="shared" si="45"/>
        <v>-343723.5</v>
      </c>
      <c r="P124" s="176">
        <f>+$T$46</f>
        <v>269126.5</v>
      </c>
      <c r="R124" s="10">
        <f t="shared" si="47"/>
        <v>612850</v>
      </c>
    </row>
    <row r="125" spans="1:18" x14ac:dyDescent="0.25">
      <c r="A125" s="34"/>
      <c r="B125" s="34"/>
      <c r="C125" s="31"/>
      <c r="D125" s="116"/>
      <c r="E125" s="33"/>
      <c r="F125" s="114"/>
      <c r="G125" s="130"/>
      <c r="H125" s="124"/>
      <c r="I125" s="75"/>
      <c r="J125" s="76"/>
      <c r="K125" s="181"/>
      <c r="L125" s="34"/>
      <c r="M125" s="34"/>
      <c r="N125" s="34"/>
      <c r="O125" s="34"/>
      <c r="P125" s="44"/>
    </row>
    <row r="126" spans="1:18" x14ac:dyDescent="0.25">
      <c r="P126" s="10" t="e">
        <f>SUM(P115:P125)</f>
        <v>#REF!</v>
      </c>
    </row>
    <row r="128" spans="1:18" x14ac:dyDescent="0.25">
      <c r="A128" s="961" t="s">
        <v>74</v>
      </c>
      <c r="B128" s="962"/>
      <c r="C128" s="90"/>
      <c r="D128" s="90"/>
      <c r="E128" s="177" t="s">
        <v>129</v>
      </c>
      <c r="F128" s="90"/>
      <c r="G128" s="90"/>
      <c r="H128" s="192"/>
      <c r="I128" s="90"/>
      <c r="J128" s="90"/>
      <c r="K128" s="90"/>
      <c r="L128" s="90"/>
      <c r="M128" s="90"/>
      <c r="N128" s="65"/>
      <c r="O128" s="178" t="s">
        <v>129</v>
      </c>
      <c r="P128" s="89" t="s">
        <v>74</v>
      </c>
    </row>
    <row r="129" spans="1:18" x14ac:dyDescent="0.25">
      <c r="A129" s="163">
        <f>+$K$25</f>
        <v>1.8280226160888779</v>
      </c>
      <c r="B129" s="9">
        <f>+$E$25</f>
        <v>159.11000000000001</v>
      </c>
      <c r="C129" s="3" t="s">
        <v>11</v>
      </c>
      <c r="D129" s="101">
        <v>255000</v>
      </c>
      <c r="E129" s="9">
        <v>30.2</v>
      </c>
      <c r="F129" s="112"/>
      <c r="G129" s="127"/>
      <c r="H129" s="126"/>
      <c r="I129" s="30">
        <f t="shared" ref="I129:I141" si="48">+E129*D129</f>
        <v>7701000</v>
      </c>
      <c r="J129" s="77"/>
      <c r="K129" s="153">
        <f t="shared" ref="K129:K141" si="49">+I129/M129</f>
        <v>0.92253704193767261</v>
      </c>
      <c r="M129" s="84">
        <f>5478386+917346+1951900.29</f>
        <v>8347632.29</v>
      </c>
      <c r="O129" s="176">
        <f t="shared" ref="O129:O141" si="50">+I129-M129</f>
        <v>-646632.29</v>
      </c>
      <c r="P129" s="176">
        <f>+$T$25</f>
        <v>3963882.75</v>
      </c>
    </row>
    <row r="130" spans="1:18" x14ac:dyDescent="0.25">
      <c r="A130" s="163">
        <f>$K$29</f>
        <v>1.4568579784565883</v>
      </c>
      <c r="B130" s="9">
        <f>+$E$29</f>
        <v>310.54000000000002</v>
      </c>
      <c r="C130" s="3" t="s">
        <v>33</v>
      </c>
      <c r="D130" s="101">
        <v>50000</v>
      </c>
      <c r="E130" s="9">
        <v>143.84</v>
      </c>
      <c r="F130" s="112"/>
      <c r="G130" s="127"/>
      <c r="H130" s="126"/>
      <c r="I130" s="30">
        <f t="shared" si="48"/>
        <v>7192000</v>
      </c>
      <c r="J130" s="77"/>
      <c r="K130" s="153">
        <f t="shared" si="49"/>
        <v>0.87240979566561383</v>
      </c>
      <c r="M130" s="77">
        <f>1859442.36+1232577.92+3413447.96+1738364</f>
        <v>8243832.2400000002</v>
      </c>
      <c r="O130" s="176">
        <f t="shared" si="50"/>
        <v>-1051832.2400000002</v>
      </c>
      <c r="P130" s="176">
        <f>+$T$29</f>
        <v>2434566.0100000007</v>
      </c>
    </row>
    <row r="131" spans="1:18" x14ac:dyDescent="0.25">
      <c r="A131" s="163">
        <f>+$K$36</f>
        <v>1.2771079163423849</v>
      </c>
      <c r="B131" s="9">
        <f>+$E$36</f>
        <v>59.17</v>
      </c>
      <c r="C131" s="3" t="s">
        <v>18</v>
      </c>
      <c r="D131" s="101">
        <v>63000</v>
      </c>
      <c r="E131" s="9">
        <v>94.33</v>
      </c>
      <c r="F131" s="112"/>
      <c r="G131" s="127"/>
      <c r="H131" s="126"/>
      <c r="I131" s="30">
        <f t="shared" si="48"/>
        <v>5942790</v>
      </c>
      <c r="J131" s="77"/>
      <c r="K131" s="153">
        <f t="shared" si="49"/>
        <v>0.7361476157374478</v>
      </c>
      <c r="M131" s="84">
        <f>2936160+2660890.5+1365278.46+1110494.85</f>
        <v>8072823.8100000005</v>
      </c>
      <c r="O131" s="176">
        <f t="shared" si="50"/>
        <v>-2130033.8100000005</v>
      </c>
      <c r="P131" s="176">
        <f>+$T$36</f>
        <v>1039939.1400000001</v>
      </c>
    </row>
    <row r="132" spans="1:18" x14ac:dyDescent="0.25">
      <c r="A132" s="163" t="e">
        <f>+#REF!</f>
        <v>#REF!</v>
      </c>
      <c r="B132" s="9" t="e">
        <f>+#REF!</f>
        <v>#REF!</v>
      </c>
      <c r="C132" s="3" t="s">
        <v>10</v>
      </c>
      <c r="D132" s="101">
        <v>20000</v>
      </c>
      <c r="E132" s="9">
        <v>207.11</v>
      </c>
      <c r="F132" s="112"/>
      <c r="G132" s="127"/>
      <c r="H132" s="126"/>
      <c r="I132" s="30">
        <f t="shared" si="48"/>
        <v>4142200.0000000005</v>
      </c>
      <c r="J132" s="84"/>
      <c r="K132" s="182">
        <f t="shared" si="49"/>
        <v>0.61131625431935077</v>
      </c>
      <c r="M132" s="77">
        <f>1637923.5+1421972.25+1329068.62+2386906.5</f>
        <v>6775870.8700000001</v>
      </c>
      <c r="O132" s="176">
        <f t="shared" si="50"/>
        <v>-2633670.8699999996</v>
      </c>
      <c r="P132" s="176" t="e">
        <f>+#REF!</f>
        <v>#REF!</v>
      </c>
    </row>
    <row r="133" spans="1:18" x14ac:dyDescent="0.25">
      <c r="A133" s="163">
        <f>+$K$41</f>
        <v>0.47342341610426752</v>
      </c>
      <c r="B133" s="9">
        <f>+$E$41</f>
        <v>67.0137</v>
      </c>
      <c r="C133" s="3" t="s">
        <v>92</v>
      </c>
      <c r="D133" s="101">
        <v>50000</v>
      </c>
      <c r="E133" s="9">
        <v>60.68</v>
      </c>
      <c r="F133" s="112"/>
      <c r="G133" s="127"/>
      <c r="H133" s="126"/>
      <c r="I133" s="30">
        <f t="shared" si="48"/>
        <v>3034000</v>
      </c>
      <c r="J133" s="77"/>
      <c r="K133" s="182">
        <f t="shared" si="49"/>
        <v>0.62627269696678833</v>
      </c>
      <c r="M133" s="77">
        <f>3363055+1481480</f>
        <v>4844535</v>
      </c>
      <c r="O133" s="176">
        <f t="shared" si="50"/>
        <v>-1810535</v>
      </c>
      <c r="P133" s="176">
        <f>+$T$41</f>
        <v>-1490752</v>
      </c>
    </row>
    <row r="134" spans="1:18" x14ac:dyDescent="0.25">
      <c r="A134" s="163">
        <f>+$K$42</f>
        <v>1.0813526111765408</v>
      </c>
      <c r="B134" s="9">
        <f>+$E$42</f>
        <v>73.64</v>
      </c>
      <c r="C134" s="3" t="s">
        <v>78</v>
      </c>
      <c r="D134" s="101">
        <v>100000</v>
      </c>
      <c r="E134" s="9">
        <v>28.76</v>
      </c>
      <c r="F134" s="112"/>
      <c r="G134" s="127"/>
      <c r="H134" s="126"/>
      <c r="I134" s="30">
        <f t="shared" si="48"/>
        <v>2876000</v>
      </c>
      <c r="J134" s="77"/>
      <c r="K134" s="153">
        <f t="shared" si="49"/>
        <v>0.67976651750266659</v>
      </c>
      <c r="M134" s="77">
        <f>3111388+1119476.46</f>
        <v>4230864.46</v>
      </c>
      <c r="O134" s="176">
        <f t="shared" si="50"/>
        <v>-1354864.46</v>
      </c>
      <c r="P134" s="176">
        <f>+$T$42</f>
        <v>332406.25999999978</v>
      </c>
    </row>
    <row r="135" spans="1:18" x14ac:dyDescent="0.25">
      <c r="A135" s="163" t="e">
        <f>+#REF!</f>
        <v>#REF!</v>
      </c>
      <c r="B135" s="9" t="e">
        <f>+#REF!</f>
        <v>#REF!</v>
      </c>
      <c r="C135" s="3" t="s">
        <v>70</v>
      </c>
      <c r="D135" s="101">
        <v>20000</v>
      </c>
      <c r="E135" s="9">
        <v>129.69999999999999</v>
      </c>
      <c r="F135" s="112"/>
      <c r="G135" s="127"/>
      <c r="H135" s="126"/>
      <c r="I135" s="30">
        <f t="shared" si="48"/>
        <v>2594000</v>
      </c>
      <c r="J135" s="77"/>
      <c r="K135" s="153">
        <f t="shared" si="49"/>
        <v>0.91627558348104188</v>
      </c>
      <c r="M135" s="77">
        <v>2831026</v>
      </c>
      <c r="O135" s="176">
        <f t="shared" si="50"/>
        <v>-237026</v>
      </c>
      <c r="P135" s="176" t="e">
        <f>+#REF!</f>
        <v>#REF!</v>
      </c>
    </row>
    <row r="136" spans="1:18" x14ac:dyDescent="0.25">
      <c r="A136" s="163">
        <f>+$K$44</f>
        <v>0.81219461411465488</v>
      </c>
      <c r="B136" s="9">
        <f>+$E$44</f>
        <v>74.31</v>
      </c>
      <c r="C136" s="3" t="s">
        <v>55</v>
      </c>
      <c r="D136" s="101">
        <v>6300</v>
      </c>
      <c r="E136" s="9">
        <v>303.35000000000002</v>
      </c>
      <c r="F136" s="112"/>
      <c r="G136" s="127"/>
      <c r="H136" s="126"/>
      <c r="I136" s="30">
        <f t="shared" si="48"/>
        <v>1911105.0000000002</v>
      </c>
      <c r="J136" s="77"/>
      <c r="K136" s="153">
        <f t="shared" si="49"/>
        <v>0.73035792233094343</v>
      </c>
      <c r="M136" s="77">
        <v>2616669.09</v>
      </c>
      <c r="O136" s="176">
        <f t="shared" si="50"/>
        <v>-705564.08999999962</v>
      </c>
      <c r="P136" s="176">
        <f>+$T$44</f>
        <v>-859142.5</v>
      </c>
    </row>
    <row r="137" spans="1:18" x14ac:dyDescent="0.25">
      <c r="A137" s="163" t="e">
        <f>+#REF!</f>
        <v>#REF!</v>
      </c>
      <c r="B137" s="9" t="e">
        <f>+#REF!</f>
        <v>#REF!</v>
      </c>
      <c r="C137" s="3" t="s">
        <v>93</v>
      </c>
      <c r="D137" s="101">
        <v>50000</v>
      </c>
      <c r="E137" s="9">
        <v>43.94</v>
      </c>
      <c r="F137" s="112"/>
      <c r="G137" s="127"/>
      <c r="H137" s="126"/>
      <c r="I137" s="30">
        <f t="shared" si="48"/>
        <v>2197000</v>
      </c>
      <c r="J137" s="77"/>
      <c r="K137" s="182">
        <f t="shared" si="49"/>
        <v>0.48025610744446151</v>
      </c>
      <c r="M137" s="84">
        <f>3311549.5+1263093</f>
        <v>4574642.5</v>
      </c>
      <c r="O137" s="176">
        <f t="shared" si="50"/>
        <v>-2377642.5</v>
      </c>
      <c r="P137" s="176" t="e">
        <f>+#REF!</f>
        <v>#REF!</v>
      </c>
    </row>
    <row r="138" spans="1:18" x14ac:dyDescent="0.25">
      <c r="A138" s="163" t="e">
        <f>+#REF!</f>
        <v>#REF!</v>
      </c>
      <c r="B138" s="9" t="e">
        <f>+#REF!</f>
        <v>#REF!</v>
      </c>
      <c r="C138" s="3" t="s">
        <v>71</v>
      </c>
      <c r="D138" s="101">
        <v>12000</v>
      </c>
      <c r="E138" s="9">
        <v>144.41999999999999</v>
      </c>
      <c r="F138" s="112"/>
      <c r="G138" s="127"/>
      <c r="H138" s="126"/>
      <c r="I138" s="30">
        <f t="shared" si="48"/>
        <v>1733039.9999999998</v>
      </c>
      <c r="J138" s="77"/>
      <c r="K138" s="153">
        <f t="shared" si="49"/>
        <v>0.71200132914802883</v>
      </c>
      <c r="M138" s="77">
        <v>2434040.4</v>
      </c>
      <c r="O138" s="176">
        <f t="shared" si="50"/>
        <v>-701000.40000000014</v>
      </c>
      <c r="P138" s="176" t="e">
        <f>+#REF!</f>
        <v>#REF!</v>
      </c>
    </row>
    <row r="139" spans="1:18" x14ac:dyDescent="0.25">
      <c r="A139" s="163">
        <f>+$K$46</f>
        <v>1.1380154653383752</v>
      </c>
      <c r="B139" s="9">
        <f>+$E$46</f>
        <v>443.82</v>
      </c>
      <c r="C139" s="3" t="s">
        <v>95</v>
      </c>
      <c r="D139" s="101">
        <v>5000</v>
      </c>
      <c r="E139" s="9">
        <v>305.35000000000002</v>
      </c>
      <c r="F139" s="112"/>
      <c r="G139" s="127"/>
      <c r="H139" s="126"/>
      <c r="I139" s="30">
        <f t="shared" si="48"/>
        <v>1526750</v>
      </c>
      <c r="J139" s="77"/>
      <c r="K139" s="153">
        <f t="shared" si="49"/>
        <v>0.78295935816563667</v>
      </c>
      <c r="M139" s="77">
        <v>1949973.5</v>
      </c>
      <c r="O139" s="176">
        <f t="shared" si="50"/>
        <v>-423223.5</v>
      </c>
      <c r="P139" s="176">
        <f>+$T$46</f>
        <v>269126.5</v>
      </c>
    </row>
    <row r="140" spans="1:18" x14ac:dyDescent="0.25">
      <c r="A140" s="163" t="e">
        <f>+#REF!</f>
        <v>#REF!</v>
      </c>
      <c r="B140" s="9" t="e">
        <f>+#REF!</f>
        <v>#REF!</v>
      </c>
      <c r="C140" s="3" t="s">
        <v>69</v>
      </c>
      <c r="D140" s="101">
        <v>21000</v>
      </c>
      <c r="E140" s="9">
        <v>53.47</v>
      </c>
      <c r="F140" s="112"/>
      <c r="G140" s="127"/>
      <c r="H140" s="126"/>
      <c r="I140" s="30">
        <f t="shared" si="48"/>
        <v>1122870</v>
      </c>
      <c r="J140" s="77"/>
      <c r="K140" s="180">
        <f t="shared" si="49"/>
        <v>0.2192027094170938</v>
      </c>
      <c r="M140" s="77">
        <v>5122518.8</v>
      </c>
      <c r="O140" s="176">
        <f t="shared" si="50"/>
        <v>-3999648.8</v>
      </c>
      <c r="P140" s="176" t="e">
        <f>+#REF!</f>
        <v>#REF!</v>
      </c>
    </row>
    <row r="141" spans="1:18" x14ac:dyDescent="0.25">
      <c r="A141" s="163" t="e">
        <f>+#REF!</f>
        <v>#REF!</v>
      </c>
      <c r="B141" s="9" t="e">
        <f>+#REF!</f>
        <v>#REF!</v>
      </c>
      <c r="C141" s="3" t="s">
        <v>79</v>
      </c>
      <c r="D141" s="101">
        <v>10000</v>
      </c>
      <c r="E141" s="9">
        <v>39.96</v>
      </c>
      <c r="F141" s="112"/>
      <c r="G141" s="127"/>
      <c r="H141" s="126"/>
      <c r="I141" s="30">
        <f t="shared" si="48"/>
        <v>399600</v>
      </c>
      <c r="J141" s="77"/>
      <c r="K141" s="180">
        <f t="shared" si="49"/>
        <v>0.14971680818451885</v>
      </c>
      <c r="M141" s="77">
        <v>2669039</v>
      </c>
      <c r="O141" s="176">
        <f t="shared" si="50"/>
        <v>-2269439</v>
      </c>
      <c r="P141" s="176" t="e">
        <f>+#REF!</f>
        <v>#REF!</v>
      </c>
      <c r="R141" s="10" t="e">
        <f>SUM(P140:P141)</f>
        <v>#REF!</v>
      </c>
    </row>
    <row r="142" spans="1:18" x14ac:dyDescent="0.25">
      <c r="A142" s="34"/>
      <c r="B142" s="34"/>
      <c r="C142" s="31"/>
      <c r="D142" s="116"/>
      <c r="E142" s="33"/>
      <c r="F142" s="114"/>
      <c r="G142" s="130"/>
      <c r="H142" s="124"/>
      <c r="I142" s="75"/>
      <c r="J142" s="76"/>
      <c r="K142" s="181"/>
      <c r="L142" s="34"/>
      <c r="M142" s="34"/>
      <c r="N142" s="34"/>
      <c r="O142" s="34"/>
      <c r="P142" s="44"/>
    </row>
    <row r="143" spans="1:18" x14ac:dyDescent="0.25">
      <c r="P143" s="10" t="e">
        <f>SUM(P129:P142)</f>
        <v>#REF!</v>
      </c>
    </row>
    <row r="144" spans="1:18" x14ac:dyDescent="0.25">
      <c r="P144" s="10"/>
    </row>
    <row r="145" spans="1:18" x14ac:dyDescent="0.25">
      <c r="A145" s="961" t="s">
        <v>74</v>
      </c>
      <c r="B145" s="962"/>
      <c r="C145" s="90"/>
      <c r="D145" s="90"/>
      <c r="E145" s="177" t="s">
        <v>120</v>
      </c>
      <c r="F145" s="90"/>
      <c r="G145" s="90"/>
      <c r="H145" s="192"/>
      <c r="I145" s="90"/>
      <c r="J145" s="90"/>
      <c r="K145" s="90"/>
      <c r="L145" s="90"/>
      <c r="M145" s="90"/>
      <c r="N145" s="65"/>
      <c r="O145" s="178" t="s">
        <v>120</v>
      </c>
      <c r="P145" s="89" t="s">
        <v>74</v>
      </c>
    </row>
    <row r="146" spans="1:18" x14ac:dyDescent="0.25">
      <c r="A146" s="163">
        <f>+$K$25</f>
        <v>1.8280226160888779</v>
      </c>
      <c r="B146" s="9">
        <f>+$E$25</f>
        <v>159.11000000000001</v>
      </c>
      <c r="C146" s="3" t="s">
        <v>11</v>
      </c>
      <c r="D146" s="101">
        <v>255000</v>
      </c>
      <c r="E146" s="9">
        <v>33.61</v>
      </c>
      <c r="F146" s="112"/>
      <c r="G146" s="127"/>
      <c r="H146" s="126"/>
      <c r="I146" s="30">
        <f t="shared" ref="I146:I158" si="51">+E146*D146</f>
        <v>8570550</v>
      </c>
      <c r="J146" s="77"/>
      <c r="K146" s="153">
        <f t="shared" ref="K146:K158" si="52">+I146/M146</f>
        <v>1.0267043039577872</v>
      </c>
      <c r="M146" s="84">
        <f>5478386+917346+1951900.29</f>
        <v>8347632.29</v>
      </c>
      <c r="O146" s="176"/>
      <c r="P146" s="176">
        <f>+$T$25</f>
        <v>3963882.75</v>
      </c>
    </row>
    <row r="147" spans="1:18" x14ac:dyDescent="0.25">
      <c r="A147" s="163">
        <f>$K$29</f>
        <v>1.4568579784565883</v>
      </c>
      <c r="B147" s="9">
        <f>+$E$29</f>
        <v>310.54000000000002</v>
      </c>
      <c r="C147" s="3" t="s">
        <v>33</v>
      </c>
      <c r="D147" s="101">
        <v>50000</v>
      </c>
      <c r="E147" s="9">
        <v>156.12</v>
      </c>
      <c r="F147" s="112"/>
      <c r="G147" s="127"/>
      <c r="H147" s="126"/>
      <c r="I147" s="30">
        <f t="shared" si="51"/>
        <v>7806000</v>
      </c>
      <c r="J147" s="77"/>
      <c r="K147" s="153">
        <f t="shared" si="52"/>
        <v>0.94688971982282844</v>
      </c>
      <c r="M147" s="77">
        <f>1859442.36+1232577.92+3413447.96+1738364</f>
        <v>8243832.2400000002</v>
      </c>
      <c r="O147" s="176">
        <f t="shared" ref="O147:O158" si="53">+I147-M147</f>
        <v>-437832.24000000022</v>
      </c>
      <c r="P147" s="176">
        <f>+$T$29</f>
        <v>2434566.0100000007</v>
      </c>
    </row>
    <row r="148" spans="1:18" x14ac:dyDescent="0.25">
      <c r="A148" s="163">
        <f>+$K$36</f>
        <v>1.2771079163423849</v>
      </c>
      <c r="B148" s="9">
        <f>+$E$36</f>
        <v>59.17</v>
      </c>
      <c r="C148" s="3" t="s">
        <v>18</v>
      </c>
      <c r="D148" s="101">
        <v>63000</v>
      </c>
      <c r="E148" s="9">
        <v>112.08</v>
      </c>
      <c r="F148" s="112"/>
      <c r="G148" s="127"/>
      <c r="H148" s="126"/>
      <c r="I148" s="30">
        <f t="shared" si="51"/>
        <v>7061040</v>
      </c>
      <c r="J148" s="77"/>
      <c r="K148" s="153">
        <f t="shared" si="52"/>
        <v>0.87466791870935179</v>
      </c>
      <c r="M148" s="84">
        <f>2936160+2660890.5+1365278.46+1110494.85</f>
        <v>8072823.8100000005</v>
      </c>
      <c r="O148" s="176">
        <f t="shared" si="53"/>
        <v>-1011783.8100000005</v>
      </c>
      <c r="P148" s="176">
        <f>+$T$36</f>
        <v>1039939.1400000001</v>
      </c>
    </row>
    <row r="149" spans="1:18" x14ac:dyDescent="0.25">
      <c r="A149" s="163" t="e">
        <f>+#REF!</f>
        <v>#REF!</v>
      </c>
      <c r="B149" s="9" t="e">
        <f>+#REF!</f>
        <v>#REF!</v>
      </c>
      <c r="C149" s="3" t="s">
        <v>10</v>
      </c>
      <c r="D149" s="101">
        <v>20000</v>
      </c>
      <c r="E149" s="9">
        <v>243.7</v>
      </c>
      <c r="F149" s="112"/>
      <c r="G149" s="127"/>
      <c r="H149" s="126"/>
      <c r="I149" s="30">
        <f t="shared" si="51"/>
        <v>4874000</v>
      </c>
      <c r="J149" s="84"/>
      <c r="K149" s="153">
        <f t="shared" si="52"/>
        <v>0.71931713185083168</v>
      </c>
      <c r="M149" s="77">
        <f>1637923.5+1421972.25+1329068.62+2386906.5</f>
        <v>6775870.8700000001</v>
      </c>
      <c r="O149" s="176">
        <f t="shared" si="53"/>
        <v>-1901870.87</v>
      </c>
      <c r="P149" s="176" t="e">
        <f>+#REF!</f>
        <v>#REF!</v>
      </c>
    </row>
    <row r="150" spans="1:18" x14ac:dyDescent="0.25">
      <c r="A150" s="163">
        <f>+$K$41</f>
        <v>0.47342341610426752</v>
      </c>
      <c r="B150" s="9">
        <f>+$E$41</f>
        <v>67.0137</v>
      </c>
      <c r="C150" s="3" t="s">
        <v>92</v>
      </c>
      <c r="D150" s="101">
        <v>50000</v>
      </c>
      <c r="E150" s="9">
        <v>60.04</v>
      </c>
      <c r="F150" s="112"/>
      <c r="G150" s="127"/>
      <c r="H150" s="126"/>
      <c r="I150" s="30">
        <f t="shared" si="51"/>
        <v>3002000</v>
      </c>
      <c r="J150" s="77"/>
      <c r="K150" s="182">
        <f t="shared" si="52"/>
        <v>0.61966731585177937</v>
      </c>
      <c r="M150" s="77">
        <f>3363055+1481480</f>
        <v>4844535</v>
      </c>
      <c r="O150" s="176">
        <f t="shared" si="53"/>
        <v>-1842535</v>
      </c>
      <c r="P150" s="176">
        <f>+$T$41</f>
        <v>-1490752</v>
      </c>
    </row>
    <row r="151" spans="1:18" x14ac:dyDescent="0.25">
      <c r="A151" s="163">
        <f>+$K$42</f>
        <v>1.0813526111765408</v>
      </c>
      <c r="B151" s="9">
        <f>+$E$42</f>
        <v>73.64</v>
      </c>
      <c r="C151" s="3" t="s">
        <v>78</v>
      </c>
      <c r="D151" s="101">
        <v>100000</v>
      </c>
      <c r="E151" s="9">
        <v>28.76</v>
      </c>
      <c r="F151" s="112"/>
      <c r="G151" s="127"/>
      <c r="H151" s="126"/>
      <c r="I151" s="30">
        <f t="shared" si="51"/>
        <v>2876000</v>
      </c>
      <c r="J151" s="77"/>
      <c r="K151" s="153">
        <f t="shared" si="52"/>
        <v>0.67976651750266659</v>
      </c>
      <c r="M151" s="77">
        <f>3111388+1119476.46</f>
        <v>4230864.46</v>
      </c>
      <c r="O151" s="176">
        <f t="shared" si="53"/>
        <v>-1354864.46</v>
      </c>
      <c r="P151" s="176">
        <f>+$T$42</f>
        <v>332406.25999999978</v>
      </c>
    </row>
    <row r="152" spans="1:18" x14ac:dyDescent="0.25">
      <c r="A152" s="163" t="e">
        <f>+#REF!</f>
        <v>#REF!</v>
      </c>
      <c r="B152" s="9" t="e">
        <f>+#REF!</f>
        <v>#REF!</v>
      </c>
      <c r="C152" s="3" t="s">
        <v>70</v>
      </c>
      <c r="D152" s="101">
        <v>20000</v>
      </c>
      <c r="E152" s="9">
        <v>132.55000000000001</v>
      </c>
      <c r="F152" s="112"/>
      <c r="G152" s="127"/>
      <c r="H152" s="126"/>
      <c r="I152" s="30">
        <f t="shared" si="51"/>
        <v>2651000</v>
      </c>
      <c r="J152" s="77"/>
      <c r="K152" s="153">
        <f t="shared" si="52"/>
        <v>0.93640962675722517</v>
      </c>
      <c r="M152" s="77">
        <v>2831026</v>
      </c>
      <c r="O152" s="176">
        <f t="shared" si="53"/>
        <v>-180026</v>
      </c>
      <c r="P152" s="176" t="e">
        <f>+#REF!</f>
        <v>#REF!</v>
      </c>
    </row>
    <row r="153" spans="1:18" x14ac:dyDescent="0.25">
      <c r="A153" s="163">
        <f>+$K$44</f>
        <v>0.81219461411465488</v>
      </c>
      <c r="B153" s="9">
        <f>+$E$44</f>
        <v>74.31</v>
      </c>
      <c r="C153" s="3" t="s">
        <v>55</v>
      </c>
      <c r="D153" s="101">
        <v>6300</v>
      </c>
      <c r="E153" s="9">
        <v>412.63</v>
      </c>
      <c r="F153" s="112"/>
      <c r="G153" s="127"/>
      <c r="H153" s="126"/>
      <c r="I153" s="30">
        <f t="shared" si="51"/>
        <v>2599569</v>
      </c>
      <c r="J153" s="77"/>
      <c r="K153" s="153">
        <f t="shared" si="52"/>
        <v>0.99346493981017681</v>
      </c>
      <c r="M153" s="77">
        <v>2616669.09</v>
      </c>
      <c r="O153" s="176">
        <f t="shared" si="53"/>
        <v>-17100.089999999851</v>
      </c>
      <c r="P153" s="176">
        <f>+$T$44</f>
        <v>-859142.5</v>
      </c>
    </row>
    <row r="154" spans="1:18" x14ac:dyDescent="0.25">
      <c r="A154" s="163" t="e">
        <f>+#REF!</f>
        <v>#REF!</v>
      </c>
      <c r="B154" s="9" t="e">
        <f>+#REF!</f>
        <v>#REF!</v>
      </c>
      <c r="C154" s="3" t="s">
        <v>93</v>
      </c>
      <c r="D154" s="101">
        <v>50000</v>
      </c>
      <c r="E154" s="9">
        <v>46.79</v>
      </c>
      <c r="F154" s="112"/>
      <c r="G154" s="127"/>
      <c r="H154" s="126"/>
      <c r="I154" s="30">
        <f t="shared" si="51"/>
        <v>2339500</v>
      </c>
      <c r="J154" s="77"/>
      <c r="K154" s="182">
        <f t="shared" si="52"/>
        <v>0.51140608255180597</v>
      </c>
      <c r="M154" s="84">
        <f>3311549.5+1263093</f>
        <v>4574642.5</v>
      </c>
      <c r="O154" s="176">
        <f t="shared" si="53"/>
        <v>-2235142.5</v>
      </c>
      <c r="P154" s="176" t="e">
        <f>+#REF!</f>
        <v>#REF!</v>
      </c>
    </row>
    <row r="155" spans="1:18" x14ac:dyDescent="0.25">
      <c r="A155" s="163" t="e">
        <f>+#REF!</f>
        <v>#REF!</v>
      </c>
      <c r="B155" s="9" t="e">
        <f>+#REF!</f>
        <v>#REF!</v>
      </c>
      <c r="C155" s="3" t="s">
        <v>71</v>
      </c>
      <c r="D155" s="101">
        <v>12000</v>
      </c>
      <c r="E155" s="9">
        <v>163.83000000000001</v>
      </c>
      <c r="F155" s="112"/>
      <c r="G155" s="127"/>
      <c r="H155" s="126"/>
      <c r="I155" s="30">
        <f t="shared" si="51"/>
        <v>1965960.0000000002</v>
      </c>
      <c r="J155" s="77"/>
      <c r="K155" s="153">
        <f t="shared" si="52"/>
        <v>0.80769407114195813</v>
      </c>
      <c r="M155" s="77">
        <v>2434040.4</v>
      </c>
      <c r="O155" s="176">
        <f t="shared" si="53"/>
        <v>-468080.39999999967</v>
      </c>
      <c r="P155" s="176" t="e">
        <f>+#REF!</f>
        <v>#REF!</v>
      </c>
    </row>
    <row r="156" spans="1:18" x14ac:dyDescent="0.25">
      <c r="A156" s="163">
        <f>+$K$46</f>
        <v>1.1380154653383752</v>
      </c>
      <c r="B156" s="9">
        <f>+$E$46</f>
        <v>443.82</v>
      </c>
      <c r="C156" s="3" t="s">
        <v>95</v>
      </c>
      <c r="D156" s="101">
        <v>5000</v>
      </c>
      <c r="E156" s="9">
        <v>352.18</v>
      </c>
      <c r="F156" s="112"/>
      <c r="G156" s="127"/>
      <c r="H156" s="126"/>
      <c r="I156" s="30">
        <f t="shared" si="51"/>
        <v>1760900</v>
      </c>
      <c r="J156" s="77"/>
      <c r="K156" s="153">
        <f t="shared" si="52"/>
        <v>0.90303791307933157</v>
      </c>
      <c r="M156" s="77">
        <v>1949973.5</v>
      </c>
      <c r="O156" s="176">
        <f t="shared" si="53"/>
        <v>-189073.5</v>
      </c>
      <c r="P156" s="176">
        <f>+$T$46</f>
        <v>269126.5</v>
      </c>
    </row>
    <row r="157" spans="1:18" x14ac:dyDescent="0.25">
      <c r="A157" s="163" t="e">
        <f>+#REF!</f>
        <v>#REF!</v>
      </c>
      <c r="B157" s="9" t="e">
        <f>+#REF!</f>
        <v>#REF!</v>
      </c>
      <c r="C157" s="3" t="s">
        <v>69</v>
      </c>
      <c r="D157" s="101">
        <v>21000</v>
      </c>
      <c r="E157" s="9">
        <v>58.22</v>
      </c>
      <c r="F157" s="112"/>
      <c r="G157" s="127"/>
      <c r="H157" s="126"/>
      <c r="I157" s="30">
        <f t="shared" si="51"/>
        <v>1222620</v>
      </c>
      <c r="J157" s="77"/>
      <c r="K157" s="180">
        <f t="shared" si="52"/>
        <v>0.23867555156654574</v>
      </c>
      <c r="M157" s="77">
        <v>5122518.8</v>
      </c>
      <c r="O157" s="176">
        <f t="shared" si="53"/>
        <v>-3899898.8</v>
      </c>
      <c r="P157" s="176" t="e">
        <f>+#REF!</f>
        <v>#REF!</v>
      </c>
    </row>
    <row r="158" spans="1:18" x14ac:dyDescent="0.25">
      <c r="A158" s="163" t="e">
        <f>+#REF!</f>
        <v>#REF!</v>
      </c>
      <c r="B158" s="9" t="e">
        <f>+#REF!</f>
        <v>#REF!</v>
      </c>
      <c r="C158" s="3" t="s">
        <v>79</v>
      </c>
      <c r="D158" s="101">
        <v>10000</v>
      </c>
      <c r="E158" s="9">
        <v>43.04</v>
      </c>
      <c r="F158" s="112"/>
      <c r="G158" s="127"/>
      <c r="H158" s="126"/>
      <c r="I158" s="30">
        <f t="shared" si="51"/>
        <v>430400</v>
      </c>
      <c r="J158" s="77"/>
      <c r="K158" s="180">
        <f t="shared" si="52"/>
        <v>0.16125654214869098</v>
      </c>
      <c r="M158" s="77">
        <v>2669039</v>
      </c>
      <c r="O158" s="176">
        <f t="shared" si="53"/>
        <v>-2238639</v>
      </c>
      <c r="P158" s="176" t="e">
        <f>+#REF!</f>
        <v>#REF!</v>
      </c>
      <c r="R158" s="10">
        <f>SUM(O157:O158)</f>
        <v>-6138537.7999999998</v>
      </c>
    </row>
    <row r="159" spans="1:18" x14ac:dyDescent="0.25">
      <c r="A159" s="34"/>
      <c r="B159" s="34"/>
      <c r="C159" s="31"/>
      <c r="D159" s="116"/>
      <c r="E159" s="33"/>
      <c r="F159" s="114"/>
      <c r="G159" s="130"/>
      <c r="H159" s="124"/>
      <c r="I159" s="75"/>
      <c r="J159" s="76"/>
      <c r="K159" s="181"/>
      <c r="L159" s="34"/>
      <c r="M159" s="34"/>
      <c r="N159" s="34"/>
      <c r="O159" s="34"/>
      <c r="P159" s="44"/>
    </row>
    <row r="160" spans="1:18" x14ac:dyDescent="0.25">
      <c r="P160" s="10" t="e">
        <f>SUM(P146:P159)</f>
        <v>#REF!</v>
      </c>
    </row>
    <row r="161" spans="1:16" x14ac:dyDescent="0.25">
      <c r="E161" s="168" t="s">
        <v>131</v>
      </c>
      <c r="P161" s="10"/>
    </row>
    <row r="162" spans="1:16" x14ac:dyDescent="0.25">
      <c r="A162" s="961" t="s">
        <v>74</v>
      </c>
      <c r="B162" s="962"/>
      <c r="C162" s="90"/>
      <c r="D162" s="90"/>
      <c r="E162" s="177" t="s">
        <v>118</v>
      </c>
      <c r="F162" s="90"/>
      <c r="G162" s="90"/>
      <c r="H162" s="90"/>
      <c r="I162" s="90"/>
      <c r="J162" s="90"/>
      <c r="K162" s="90"/>
      <c r="L162" s="90"/>
      <c r="M162" s="90"/>
      <c r="N162" s="65"/>
      <c r="O162" s="178" t="s">
        <v>118</v>
      </c>
      <c r="P162" s="89" t="s">
        <v>74</v>
      </c>
    </row>
    <row r="163" spans="1:16" x14ac:dyDescent="0.25">
      <c r="A163" s="174" t="e">
        <f>+#REF!</f>
        <v>#REF!</v>
      </c>
      <c r="B163" s="173" t="e">
        <f>+#REF!</f>
        <v>#REF!</v>
      </c>
      <c r="C163" s="3" t="s">
        <v>72</v>
      </c>
      <c r="D163" s="101">
        <v>18000</v>
      </c>
      <c r="E163" s="166">
        <v>84.8</v>
      </c>
      <c r="F163" s="112"/>
      <c r="G163" s="127"/>
      <c r="H163" s="126"/>
      <c r="I163" s="30">
        <f>+E163*D163</f>
        <v>1526400</v>
      </c>
      <c r="J163" s="77"/>
      <c r="K163" s="167">
        <f t="shared" ref="K163:K164" si="54">+I163/M163</f>
        <v>0.27106574066982186</v>
      </c>
      <c r="M163" s="77">
        <v>5631106.2999999998</v>
      </c>
      <c r="N163" s="28"/>
      <c r="O163" s="176">
        <f>+I163-M163</f>
        <v>-4104706.3</v>
      </c>
      <c r="P163" s="179" t="e">
        <f>+#REF!</f>
        <v>#REF!</v>
      </c>
    </row>
    <row r="164" spans="1:16" x14ac:dyDescent="0.25">
      <c r="A164" s="175" t="e">
        <f>+#REF!</f>
        <v>#REF!</v>
      </c>
      <c r="B164" s="173" t="e">
        <f>+#REF!</f>
        <v>#REF!</v>
      </c>
      <c r="C164" s="3" t="s">
        <v>79</v>
      </c>
      <c r="D164" s="101">
        <v>10000</v>
      </c>
      <c r="E164" s="166">
        <v>49.49</v>
      </c>
      <c r="F164" s="112"/>
      <c r="G164" s="127"/>
      <c r="H164" s="126"/>
      <c r="I164" s="30">
        <f t="shared" ref="I164" si="55">+E164*D164</f>
        <v>494900</v>
      </c>
      <c r="J164" s="77"/>
      <c r="K164" s="167">
        <f t="shared" si="54"/>
        <v>0.18542254346976572</v>
      </c>
      <c r="M164" s="77">
        <v>2669039</v>
      </c>
      <c r="N164" s="28"/>
      <c r="O164" s="176">
        <f>+I164-M164</f>
        <v>-2174139</v>
      </c>
      <c r="P164" s="176" t="e">
        <f>+#REF!</f>
        <v>#REF!</v>
      </c>
    </row>
    <row r="165" spans="1:16" x14ac:dyDescent="0.25">
      <c r="A165" s="22"/>
      <c r="B165" s="2"/>
      <c r="E165" s="168"/>
      <c r="N165" s="28"/>
      <c r="O165" s="132"/>
      <c r="P165" s="132"/>
    </row>
    <row r="166" spans="1:16" x14ac:dyDescent="0.25">
      <c r="A166" s="22"/>
      <c r="B166" s="2"/>
      <c r="E166" s="168"/>
      <c r="M166" s="10"/>
      <c r="N166" s="28"/>
      <c r="O166" s="16">
        <f>SUM(O163:O165)</f>
        <v>-6278845.2999999998</v>
      </c>
      <c r="P166" s="16" t="e">
        <f>SUM(P163:P165)</f>
        <v>#REF!</v>
      </c>
    </row>
    <row r="167" spans="1:16" x14ac:dyDescent="0.25">
      <c r="A167" s="22"/>
      <c r="B167" s="2"/>
      <c r="E167" s="168"/>
      <c r="N167" s="28"/>
      <c r="O167" s="132"/>
      <c r="P167" s="132"/>
    </row>
    <row r="168" spans="1:16" x14ac:dyDescent="0.25">
      <c r="A168" s="175">
        <f>+K46</f>
        <v>1.1380154653383752</v>
      </c>
      <c r="B168" s="173">
        <f>+E46</f>
        <v>443.82</v>
      </c>
      <c r="C168" s="3" t="s">
        <v>95</v>
      </c>
      <c r="D168" s="101">
        <v>5000</v>
      </c>
      <c r="E168" s="9">
        <v>376.93</v>
      </c>
      <c r="F168" s="112"/>
      <c r="G168" s="127"/>
      <c r="H168" s="126"/>
      <c r="I168" s="30">
        <f t="shared" ref="I168:I175" si="56">+E168*D168</f>
        <v>1884650</v>
      </c>
      <c r="J168" s="77"/>
      <c r="K168" s="153">
        <f t="shared" ref="K168:K175" si="57">+I168/M168</f>
        <v>0.9665003139786259</v>
      </c>
      <c r="M168" s="77">
        <v>1949973.5</v>
      </c>
      <c r="N168" s="28"/>
      <c r="O168" s="176">
        <f t="shared" ref="O168:O175" si="58">+I168-M168</f>
        <v>-65323.5</v>
      </c>
      <c r="P168" s="176">
        <f>+T46</f>
        <v>269126.5</v>
      </c>
    </row>
    <row r="169" spans="1:16" x14ac:dyDescent="0.25">
      <c r="A169" s="175">
        <f>+K44</f>
        <v>0.81219461411465488</v>
      </c>
      <c r="B169" s="173">
        <f>+E44</f>
        <v>74.31</v>
      </c>
      <c r="C169" s="3" t="s">
        <v>70</v>
      </c>
      <c r="D169" s="101">
        <v>20000</v>
      </c>
      <c r="E169" s="9">
        <v>132.05000000000001</v>
      </c>
      <c r="F169" s="112"/>
      <c r="G169" s="127"/>
      <c r="H169" s="126"/>
      <c r="I169" s="30">
        <f t="shared" si="56"/>
        <v>2641000</v>
      </c>
      <c r="J169" s="77"/>
      <c r="K169" s="153">
        <f t="shared" si="57"/>
        <v>0.9328773384631579</v>
      </c>
      <c r="M169" s="77">
        <v>2831026</v>
      </c>
      <c r="N169" s="28"/>
      <c r="O169" s="176">
        <f t="shared" si="58"/>
        <v>-190026</v>
      </c>
      <c r="P169" s="176">
        <f>+T44</f>
        <v>-859142.5</v>
      </c>
    </row>
    <row r="170" spans="1:16" x14ac:dyDescent="0.25">
      <c r="A170" s="175">
        <f>+K39</f>
        <v>2.937298318580333</v>
      </c>
      <c r="B170" s="173">
        <f>+E39</f>
        <v>4009.42</v>
      </c>
      <c r="C170" s="3" t="s">
        <v>10</v>
      </c>
      <c r="D170" s="101">
        <v>20000</v>
      </c>
      <c r="E170" s="9">
        <v>280.97000000000003</v>
      </c>
      <c r="F170" s="112"/>
      <c r="G170" s="127"/>
      <c r="H170" s="126"/>
      <c r="I170" s="61">
        <f t="shared" si="56"/>
        <v>5619400.0000000009</v>
      </c>
      <c r="J170" s="84"/>
      <c r="K170" s="153">
        <f t="shared" si="57"/>
        <v>0.82932513145723519</v>
      </c>
      <c r="M170" s="77">
        <f>1637923.5+1421972.25+1329068.62+2386906.5</f>
        <v>6775870.8700000001</v>
      </c>
      <c r="N170" s="28"/>
      <c r="O170" s="176">
        <f t="shared" si="58"/>
        <v>-1156470.8699999992</v>
      </c>
      <c r="P170" s="176">
        <f>+T39</f>
        <v>6875485.0999999996</v>
      </c>
    </row>
    <row r="171" spans="1:16" x14ac:dyDescent="0.25">
      <c r="A171" s="175">
        <f>+K34</f>
        <v>2.3762495692827756</v>
      </c>
      <c r="B171" s="173">
        <f>+E34</f>
        <v>467.80599999999998</v>
      </c>
      <c r="C171" s="3" t="s">
        <v>18</v>
      </c>
      <c r="D171" s="101">
        <v>63000</v>
      </c>
      <c r="E171" s="9">
        <v>106.1</v>
      </c>
      <c r="F171" s="112"/>
      <c r="G171" s="127"/>
      <c r="H171" s="126"/>
      <c r="I171" s="30">
        <f t="shared" si="56"/>
        <v>6684300</v>
      </c>
      <c r="J171" s="77"/>
      <c r="K171" s="169">
        <f t="shared" si="57"/>
        <v>0.82800023353909913</v>
      </c>
      <c r="M171" s="84">
        <f>2936160+2660890.5+1365278.46+1110494.85</f>
        <v>8072823.8100000005</v>
      </c>
      <c r="N171" s="28"/>
      <c r="O171" s="176">
        <f t="shared" si="58"/>
        <v>-1388523.8100000005</v>
      </c>
      <c r="P171" s="176">
        <f>+T34</f>
        <v>4064079.47</v>
      </c>
    </row>
    <row r="172" spans="1:16" x14ac:dyDescent="0.25">
      <c r="A172" s="175" t="e">
        <f>+#REF!</f>
        <v>#REF!</v>
      </c>
      <c r="B172" s="173" t="e">
        <f>+#REF!</f>
        <v>#REF!</v>
      </c>
      <c r="C172" s="3" t="s">
        <v>71</v>
      </c>
      <c r="D172" s="101">
        <v>12000</v>
      </c>
      <c r="E172" s="9">
        <v>165.17</v>
      </c>
      <c r="F172" s="112"/>
      <c r="G172" s="127"/>
      <c r="H172" s="126"/>
      <c r="I172" s="30">
        <f t="shared" si="56"/>
        <v>1982039.9999999998</v>
      </c>
      <c r="J172" s="77"/>
      <c r="K172" s="169">
        <f t="shared" si="57"/>
        <v>0.81430037069228589</v>
      </c>
      <c r="M172" s="77">
        <v>2434040.4</v>
      </c>
      <c r="N172" s="28"/>
      <c r="O172" s="176">
        <f t="shared" si="58"/>
        <v>-452000.40000000014</v>
      </c>
      <c r="P172" s="176" t="e">
        <f>+#REF!</f>
        <v>#REF!</v>
      </c>
    </row>
    <row r="173" spans="1:16" x14ac:dyDescent="0.25">
      <c r="A173" s="175">
        <f>+K42</f>
        <v>1.0813526111765408</v>
      </c>
      <c r="B173" s="173">
        <f>+E42</f>
        <v>73.64</v>
      </c>
      <c r="C173" s="3" t="s">
        <v>93</v>
      </c>
      <c r="D173" s="101">
        <v>50000</v>
      </c>
      <c r="E173" s="9">
        <v>64.52</v>
      </c>
      <c r="F173" s="112"/>
      <c r="G173" s="127"/>
      <c r="H173" s="126"/>
      <c r="I173" s="30">
        <f t="shared" si="56"/>
        <v>3226000</v>
      </c>
      <c r="J173" s="77"/>
      <c r="K173" s="169">
        <f t="shared" si="57"/>
        <v>0.70519171716696982</v>
      </c>
      <c r="M173" s="84">
        <f>3311549.5+1263093</f>
        <v>4574642.5</v>
      </c>
      <c r="N173" s="28"/>
      <c r="O173" s="176">
        <f t="shared" si="58"/>
        <v>-1348642.5</v>
      </c>
      <c r="P173" s="176">
        <f>+T42</f>
        <v>332406.25999999978</v>
      </c>
    </row>
    <row r="174" spans="1:16" x14ac:dyDescent="0.25">
      <c r="A174" s="175" t="e">
        <f>+#REF!</f>
        <v>#REF!</v>
      </c>
      <c r="B174" s="173" t="e">
        <f>+#REF!</f>
        <v>#REF!</v>
      </c>
      <c r="C174" s="3" t="s">
        <v>78</v>
      </c>
      <c r="D174" s="101">
        <v>100000</v>
      </c>
      <c r="E174" s="9">
        <v>23.45</v>
      </c>
      <c r="F174" s="112"/>
      <c r="G174" s="127"/>
      <c r="H174" s="126"/>
      <c r="I174" s="30">
        <f t="shared" si="56"/>
        <v>2345000</v>
      </c>
      <c r="J174" s="77"/>
      <c r="K174" s="169">
        <f t="shared" si="57"/>
        <v>0.55426025157988634</v>
      </c>
      <c r="M174" s="77">
        <f>3111388+1119476.46</f>
        <v>4230864.46</v>
      </c>
      <c r="N174" s="28"/>
      <c r="O174" s="176">
        <f t="shared" si="58"/>
        <v>-1885864.46</v>
      </c>
      <c r="P174" s="176" t="e">
        <f>+#REF!</f>
        <v>#REF!</v>
      </c>
    </row>
    <row r="175" spans="1:16" x14ac:dyDescent="0.25">
      <c r="A175" s="175">
        <f>+K41</f>
        <v>0.47342341610426752</v>
      </c>
      <c r="B175" s="173">
        <f>+E41</f>
        <v>67.0137</v>
      </c>
      <c r="C175" s="3" t="s">
        <v>92</v>
      </c>
      <c r="D175" s="101">
        <v>50000</v>
      </c>
      <c r="E175" s="9">
        <v>52.1</v>
      </c>
      <c r="F175" s="112"/>
      <c r="G175" s="127"/>
      <c r="H175" s="126"/>
      <c r="I175" s="30">
        <f t="shared" si="56"/>
        <v>2605000</v>
      </c>
      <c r="J175" s="77"/>
      <c r="K175" s="169">
        <f t="shared" si="57"/>
        <v>0.53771930639369925</v>
      </c>
      <c r="M175" s="77">
        <f>3363055+1481480</f>
        <v>4844535</v>
      </c>
      <c r="N175" s="28"/>
      <c r="O175" s="176">
        <f t="shared" si="58"/>
        <v>-2239535</v>
      </c>
      <c r="P175" s="176">
        <f>+T41</f>
        <v>-1490752</v>
      </c>
    </row>
    <row r="176" spans="1:16" x14ac:dyDescent="0.25">
      <c r="A176" s="44"/>
      <c r="B176" s="9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44"/>
      <c r="O176" s="125"/>
      <c r="P176" s="125"/>
    </row>
    <row r="177" spans="2:16" x14ac:dyDescent="0.25">
      <c r="O177" s="16">
        <f>SUM(O168:O176)</f>
        <v>-8726386.5399999991</v>
      </c>
      <c r="P177" s="16" t="e">
        <f>SUM(P168:P176)</f>
        <v>#REF!</v>
      </c>
    </row>
    <row r="179" spans="2:16" x14ac:dyDescent="0.25">
      <c r="B179" s="64"/>
      <c r="C179" s="90"/>
      <c r="D179" s="90"/>
      <c r="E179" s="165" t="s">
        <v>116</v>
      </c>
      <c r="F179" s="90"/>
      <c r="G179" s="90"/>
      <c r="H179" s="90"/>
      <c r="I179" s="90"/>
      <c r="J179" s="90"/>
      <c r="K179" s="90"/>
      <c r="L179" s="90"/>
      <c r="M179" s="90"/>
      <c r="N179" s="65"/>
    </row>
    <row r="180" spans="2:16" x14ac:dyDescent="0.25">
      <c r="B180" s="2"/>
      <c r="C180" s="3" t="s">
        <v>72</v>
      </c>
      <c r="D180" s="101">
        <v>18000</v>
      </c>
      <c r="E180" s="166">
        <v>83.81</v>
      </c>
      <c r="F180" s="112"/>
      <c r="G180" s="127"/>
      <c r="H180" s="126"/>
      <c r="I180" s="30">
        <f t="shared" ref="I180:I183" si="59">+E180*D180</f>
        <v>1508580</v>
      </c>
      <c r="J180" s="77"/>
      <c r="K180" s="167">
        <f t="shared" ref="K180:K183" si="60">+I180/M180</f>
        <v>0.26790117600870011</v>
      </c>
      <c r="M180" s="77">
        <v>5631106.2999999998</v>
      </c>
      <c r="N180" s="28"/>
    </row>
    <row r="181" spans="2:16" x14ac:dyDescent="0.25">
      <c r="B181" s="2"/>
      <c r="C181" s="3" t="s">
        <v>69</v>
      </c>
      <c r="D181" s="101">
        <v>21000</v>
      </c>
      <c r="E181" s="166">
        <v>57.38</v>
      </c>
      <c r="F181" s="112"/>
      <c r="G181" s="127"/>
      <c r="H181" s="126"/>
      <c r="I181" s="30">
        <f t="shared" si="59"/>
        <v>1204980</v>
      </c>
      <c r="J181" s="77"/>
      <c r="K181" s="167">
        <f t="shared" si="60"/>
        <v>0.23523193316537952</v>
      </c>
      <c r="M181" s="77">
        <v>5122518.8</v>
      </c>
      <c r="N181" s="28"/>
    </row>
    <row r="182" spans="2:16" x14ac:dyDescent="0.25">
      <c r="B182" s="2"/>
      <c r="C182" s="3" t="s">
        <v>91</v>
      </c>
      <c r="D182" s="101">
        <v>22000</v>
      </c>
      <c r="E182" s="166">
        <v>22.58</v>
      </c>
      <c r="F182" s="112"/>
      <c r="G182" s="127"/>
      <c r="H182" s="126"/>
      <c r="I182" s="30">
        <f t="shared" si="59"/>
        <v>496759.99999999994</v>
      </c>
      <c r="J182" s="77"/>
      <c r="K182" s="167">
        <f t="shared" si="60"/>
        <v>0.1016189480102766</v>
      </c>
      <c r="M182" s="77">
        <f>3511136.4+1377322</f>
        <v>4888458.4000000004</v>
      </c>
      <c r="N182" s="28"/>
    </row>
    <row r="183" spans="2:16" x14ac:dyDescent="0.25">
      <c r="B183" s="2"/>
      <c r="C183" s="3" t="s">
        <v>79</v>
      </c>
      <c r="D183" s="101">
        <v>10000</v>
      </c>
      <c r="E183" s="166">
        <v>52.26</v>
      </c>
      <c r="F183" s="112"/>
      <c r="G183" s="127"/>
      <c r="H183" s="126"/>
      <c r="I183" s="30">
        <f t="shared" si="59"/>
        <v>522600</v>
      </c>
      <c r="J183" s="77"/>
      <c r="K183" s="167">
        <f t="shared" si="60"/>
        <v>0.19580081070377764</v>
      </c>
      <c r="M183" s="77">
        <v>2669039</v>
      </c>
      <c r="N183" s="28"/>
    </row>
    <row r="184" spans="2:16" x14ac:dyDescent="0.25">
      <c r="B184" s="2"/>
      <c r="E184" s="168"/>
      <c r="N184" s="28"/>
    </row>
    <row r="185" spans="2:16" x14ac:dyDescent="0.25">
      <c r="B185" s="2"/>
      <c r="E185" s="168"/>
      <c r="N185" s="28"/>
    </row>
    <row r="186" spans="2:16" x14ac:dyDescent="0.25">
      <c r="B186" s="2"/>
      <c r="E186" s="168"/>
      <c r="N186" s="28"/>
    </row>
    <row r="187" spans="2:16" x14ac:dyDescent="0.25">
      <c r="B187" s="2">
        <v>110.44</v>
      </c>
      <c r="C187" s="3" t="s">
        <v>18</v>
      </c>
      <c r="D187" s="101">
        <v>63000</v>
      </c>
      <c r="E187" s="9">
        <v>94.4</v>
      </c>
      <c r="F187" s="112"/>
      <c r="G187" s="127"/>
      <c r="H187" s="126"/>
      <c r="I187" s="30">
        <f t="shared" ref="I187:I192" si="61">+E187*D187</f>
        <v>5947200</v>
      </c>
      <c r="J187" s="77"/>
      <c r="K187" s="169">
        <f t="shared" ref="K187:K191" si="62">+I187/M187</f>
        <v>0.73669389298860466</v>
      </c>
      <c r="M187" s="84">
        <f>2936160+2660890.5+1365278.46+1110494.85</f>
        <v>8072823.8100000005</v>
      </c>
      <c r="N187" s="28"/>
    </row>
    <row r="188" spans="2:16" x14ac:dyDescent="0.25">
      <c r="B188" s="2">
        <v>23.2</v>
      </c>
      <c r="C188" s="3" t="s">
        <v>78</v>
      </c>
      <c r="D188" s="101">
        <v>100000</v>
      </c>
      <c r="E188" s="9">
        <v>20.46</v>
      </c>
      <c r="F188" s="112"/>
      <c r="G188" s="127"/>
      <c r="H188" s="126"/>
      <c r="I188" s="30">
        <f t="shared" si="61"/>
        <v>2046000</v>
      </c>
      <c r="J188" s="77"/>
      <c r="K188" s="169">
        <f t="shared" si="62"/>
        <v>0.48358911502449786</v>
      </c>
      <c r="M188" s="77">
        <f>3111388+1119476.46</f>
        <v>4230864.46</v>
      </c>
      <c r="N188" s="28"/>
    </row>
    <row r="189" spans="2:16" x14ac:dyDescent="0.25">
      <c r="B189" s="2">
        <v>163.91</v>
      </c>
      <c r="C189" s="3" t="s">
        <v>71</v>
      </c>
      <c r="D189" s="101">
        <v>12000</v>
      </c>
      <c r="E189" s="9">
        <v>153.76</v>
      </c>
      <c r="F189" s="112"/>
      <c r="G189" s="127"/>
      <c r="H189" s="126"/>
      <c r="I189" s="30">
        <f t="shared" si="61"/>
        <v>1845120</v>
      </c>
      <c r="J189" s="77"/>
      <c r="K189" s="169">
        <f t="shared" si="62"/>
        <v>0.75804822302867281</v>
      </c>
      <c r="M189" s="77">
        <v>2434040.4</v>
      </c>
      <c r="N189" s="28"/>
    </row>
    <row r="190" spans="2:16" x14ac:dyDescent="0.25">
      <c r="B190" s="2"/>
      <c r="C190" s="3" t="s">
        <v>92</v>
      </c>
      <c r="D190" s="101">
        <v>50000</v>
      </c>
      <c r="E190" s="9">
        <v>58.07</v>
      </c>
      <c r="F190" s="112"/>
      <c r="G190" s="127"/>
      <c r="H190" s="126"/>
      <c r="I190" s="30">
        <f t="shared" si="61"/>
        <v>2903500</v>
      </c>
      <c r="J190" s="77"/>
      <c r="K190" s="170">
        <f t="shared" si="62"/>
        <v>0.59933512710714243</v>
      </c>
      <c r="M190" s="77">
        <f>3363055+1481480</f>
        <v>4844535</v>
      </c>
      <c r="N190" s="28"/>
    </row>
    <row r="191" spans="2:16" x14ac:dyDescent="0.25">
      <c r="B191" s="2"/>
      <c r="C191" s="3" t="s">
        <v>10</v>
      </c>
      <c r="D191" s="101">
        <v>20000</v>
      </c>
      <c r="E191" s="9">
        <v>236.67</v>
      </c>
      <c r="F191" s="112"/>
      <c r="G191" s="127"/>
      <c r="H191" s="126"/>
      <c r="I191" s="61">
        <f t="shared" si="61"/>
        <v>4733400</v>
      </c>
      <c r="J191" s="84"/>
      <c r="K191" s="153">
        <f t="shared" si="62"/>
        <v>0.69856703157626732</v>
      </c>
      <c r="M191" s="77">
        <f>1637923.5+1421972.25+1329068.62+2386906.5</f>
        <v>6775870.8700000001</v>
      </c>
      <c r="N191" s="28"/>
    </row>
    <row r="192" spans="2:16" x14ac:dyDescent="0.25">
      <c r="B192" s="2"/>
      <c r="C192" s="3" t="s">
        <v>93</v>
      </c>
      <c r="D192" s="101">
        <v>50000</v>
      </c>
      <c r="E192" s="9">
        <v>54.42</v>
      </c>
      <c r="F192" s="112"/>
      <c r="G192" s="127"/>
      <c r="H192" s="126"/>
      <c r="I192" s="30">
        <f t="shared" si="61"/>
        <v>2721000</v>
      </c>
      <c r="J192" s="77"/>
      <c r="K192" s="170">
        <f>+I192/M192</f>
        <v>0.59480057731287195</v>
      </c>
      <c r="M192" s="84">
        <f>3311549.5+1263093</f>
        <v>4574642.5</v>
      </c>
      <c r="N192" s="28"/>
    </row>
    <row r="193" spans="2:14" x14ac:dyDescent="0.25">
      <c r="B193" s="97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44"/>
    </row>
    <row r="195" spans="2:14" x14ac:dyDescent="0.25">
      <c r="B195" s="64"/>
      <c r="C195" s="90"/>
      <c r="D195" s="90"/>
      <c r="E195" s="165" t="s">
        <v>109</v>
      </c>
      <c r="F195" s="90"/>
      <c r="G195" s="90"/>
      <c r="H195" s="90"/>
      <c r="I195" s="90"/>
      <c r="J195" s="90"/>
      <c r="K195" s="90"/>
      <c r="L195" s="90"/>
      <c r="M195" s="90"/>
      <c r="N195" s="65"/>
    </row>
    <row r="196" spans="2:14" x14ac:dyDescent="0.25">
      <c r="B196" s="2"/>
      <c r="C196" s="3" t="s">
        <v>72</v>
      </c>
      <c r="D196" s="101">
        <v>18000</v>
      </c>
      <c r="E196" s="166">
        <v>105.17</v>
      </c>
      <c r="F196" s="112"/>
      <c r="G196" s="127"/>
      <c r="H196" s="126"/>
      <c r="I196" s="30">
        <f t="shared" ref="I196:I197" si="63">+E196*D196</f>
        <v>1893060</v>
      </c>
      <c r="J196" s="77"/>
      <c r="K196" s="167">
        <f t="shared" ref="K196:K197" si="64">+I196/M196</f>
        <v>0.33617905596987224</v>
      </c>
      <c r="M196" s="77">
        <v>5631106.2999999998</v>
      </c>
      <c r="N196" s="28"/>
    </row>
    <row r="197" spans="2:14" x14ac:dyDescent="0.25">
      <c r="B197" s="2"/>
      <c r="C197" s="3" t="s">
        <v>69</v>
      </c>
      <c r="D197" s="101">
        <v>21000</v>
      </c>
      <c r="E197" s="166">
        <v>83.91</v>
      </c>
      <c r="F197" s="112"/>
      <c r="G197" s="127"/>
      <c r="H197" s="126"/>
      <c r="I197" s="30">
        <f t="shared" si="63"/>
        <v>1762110</v>
      </c>
      <c r="J197" s="77"/>
      <c r="K197" s="167">
        <f t="shared" si="64"/>
        <v>0.3439928810022132</v>
      </c>
      <c r="M197" s="77">
        <v>5122518.8</v>
      </c>
      <c r="N197" s="28"/>
    </row>
    <row r="198" spans="2:14" x14ac:dyDescent="0.25">
      <c r="B198" s="2"/>
      <c r="C198" s="3" t="s">
        <v>91</v>
      </c>
      <c r="D198" s="101">
        <v>22000</v>
      </c>
      <c r="E198" s="166">
        <v>29.44</v>
      </c>
      <c r="F198" s="112"/>
      <c r="G198" s="127"/>
      <c r="H198" s="126"/>
      <c r="I198" s="30">
        <f t="shared" ref="I198:I199" si="65">+E198*D198</f>
        <v>647680</v>
      </c>
      <c r="J198" s="77"/>
      <c r="K198" s="167">
        <f t="shared" ref="K198:K199" si="66">+I198/M198</f>
        <v>0.13249166649346958</v>
      </c>
      <c r="M198" s="77">
        <f>3511136.4+1377322</f>
        <v>4888458.4000000004</v>
      </c>
      <c r="N198" s="28"/>
    </row>
    <row r="199" spans="2:14" x14ac:dyDescent="0.25">
      <c r="B199" s="2"/>
      <c r="C199" s="3" t="s">
        <v>79</v>
      </c>
      <c r="D199" s="101">
        <v>10000</v>
      </c>
      <c r="E199" s="166">
        <v>63.14</v>
      </c>
      <c r="F199" s="112"/>
      <c r="G199" s="127"/>
      <c r="H199" s="126"/>
      <c r="I199" s="30">
        <f t="shared" si="65"/>
        <v>631400</v>
      </c>
      <c r="J199" s="77"/>
      <c r="K199" s="167">
        <f t="shared" si="66"/>
        <v>0.23656454626552853</v>
      </c>
      <c r="M199" s="77">
        <v>2669039</v>
      </c>
      <c r="N199" s="28"/>
    </row>
    <row r="200" spans="2:14" x14ac:dyDescent="0.25">
      <c r="B200" s="2"/>
      <c r="E200" s="168"/>
      <c r="N200" s="28"/>
    </row>
    <row r="201" spans="2:14" x14ac:dyDescent="0.25">
      <c r="B201" s="2"/>
      <c r="E201" s="168"/>
      <c r="N201" s="28"/>
    </row>
    <row r="202" spans="2:14" x14ac:dyDescent="0.25">
      <c r="B202" s="2"/>
      <c r="E202" s="168"/>
      <c r="N202" s="28"/>
    </row>
    <row r="203" spans="2:14" x14ac:dyDescent="0.25">
      <c r="B203" s="2">
        <v>110.44</v>
      </c>
      <c r="C203" s="3" t="s">
        <v>18</v>
      </c>
      <c r="D203" s="101">
        <v>63000</v>
      </c>
      <c r="E203" s="9">
        <v>110.44</v>
      </c>
      <c r="F203" s="112"/>
      <c r="G203" s="127"/>
      <c r="H203" s="126"/>
      <c r="I203" s="30">
        <f t="shared" ref="I203:I205" si="67">+E203*D203</f>
        <v>6957720</v>
      </c>
      <c r="J203" s="77"/>
      <c r="K203" s="169">
        <f t="shared" ref="K203:K205" si="68">+I203/M203</f>
        <v>0.86186942311082093</v>
      </c>
      <c r="M203" s="84">
        <f>2936160+2660890.5+1365278.46+1110494.85</f>
        <v>8072823.8100000005</v>
      </c>
      <c r="N203" s="28"/>
    </row>
    <row r="204" spans="2:14" x14ac:dyDescent="0.25">
      <c r="B204" s="2">
        <v>23.2</v>
      </c>
      <c r="C204" s="3" t="s">
        <v>78</v>
      </c>
      <c r="D204" s="101">
        <v>100000</v>
      </c>
      <c r="E204" s="9">
        <f>_xll.BDP(C204&amp;" EQUITY",$E$3)</f>
        <v>71.75</v>
      </c>
      <c r="F204" s="112"/>
      <c r="G204" s="127"/>
      <c r="H204" s="126"/>
      <c r="I204" s="30">
        <f t="shared" si="67"/>
        <v>7175000</v>
      </c>
      <c r="J204" s="77"/>
      <c r="K204" s="169">
        <f t="shared" si="68"/>
        <v>1.6958709190130852</v>
      </c>
      <c r="M204" s="77">
        <f>3111388+1119476.46</f>
        <v>4230864.46</v>
      </c>
      <c r="N204" s="28"/>
    </row>
    <row r="205" spans="2:14" x14ac:dyDescent="0.25">
      <c r="B205" s="2">
        <v>163.91</v>
      </c>
      <c r="C205" s="3" t="s">
        <v>71</v>
      </c>
      <c r="D205" s="101">
        <v>12000</v>
      </c>
      <c r="E205" s="9">
        <f>_xll.BDP(C205&amp;" EQUITY",$E$3)</f>
        <v>241.64</v>
      </c>
      <c r="F205" s="112"/>
      <c r="G205" s="127"/>
      <c r="H205" s="126"/>
      <c r="I205" s="30">
        <f t="shared" si="67"/>
        <v>2899680</v>
      </c>
      <c r="J205" s="77"/>
      <c r="K205" s="169">
        <f t="shared" si="68"/>
        <v>1.1913031517471937</v>
      </c>
      <c r="M205" s="77">
        <v>2434040.4</v>
      </c>
      <c r="N205" s="28"/>
    </row>
    <row r="206" spans="2:14" x14ac:dyDescent="0.25">
      <c r="B206" s="2"/>
      <c r="C206" s="3" t="s">
        <v>92</v>
      </c>
      <c r="D206" s="101">
        <v>50000</v>
      </c>
      <c r="E206" s="9">
        <v>80.12</v>
      </c>
      <c r="F206" s="112"/>
      <c r="G206" s="127"/>
      <c r="H206" s="126"/>
      <c r="I206" s="30">
        <f t="shared" ref="I206:I207" si="69">+E206*D206</f>
        <v>4006000</v>
      </c>
      <c r="J206" s="77"/>
      <c r="K206" s="170">
        <f t="shared" ref="K206:K207" si="70">+I206/M206</f>
        <v>0.82691114833518597</v>
      </c>
      <c r="M206" s="77">
        <f>3363055+1481480</f>
        <v>4844535</v>
      </c>
      <c r="N206" s="28"/>
    </row>
    <row r="207" spans="2:14" x14ac:dyDescent="0.25">
      <c r="B207" s="2"/>
      <c r="C207" s="3" t="s">
        <v>93</v>
      </c>
      <c r="D207" s="101">
        <v>50000</v>
      </c>
      <c r="E207" s="9">
        <v>65.33</v>
      </c>
      <c r="F207" s="112"/>
      <c r="G207" s="127"/>
      <c r="H207" s="126"/>
      <c r="I207" s="30">
        <f t="shared" si="69"/>
        <v>3266500</v>
      </c>
      <c r="J207" s="77"/>
      <c r="K207" s="170">
        <f t="shared" si="70"/>
        <v>0.71404486798695199</v>
      </c>
      <c r="M207" s="84">
        <f>3311549.5+1263093</f>
        <v>4574642.5</v>
      </c>
      <c r="N207" s="28"/>
    </row>
    <row r="208" spans="2:14" x14ac:dyDescent="0.25">
      <c r="B208" s="97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44"/>
    </row>
    <row r="210" spans="2:14" x14ac:dyDescent="0.25">
      <c r="B210" s="64"/>
      <c r="C210" s="90"/>
      <c r="D210" s="90"/>
      <c r="E210" s="165" t="s">
        <v>107</v>
      </c>
      <c r="F210" s="90"/>
      <c r="G210" s="90"/>
      <c r="H210" s="90"/>
      <c r="I210" s="90"/>
      <c r="J210" s="90"/>
      <c r="K210" s="90"/>
      <c r="L210" s="90"/>
      <c r="M210" s="90"/>
      <c r="N210" s="65"/>
    </row>
    <row r="211" spans="2:14" x14ac:dyDescent="0.25">
      <c r="B211" s="2"/>
      <c r="I211" t="s">
        <v>105</v>
      </c>
      <c r="M211" t="s">
        <v>106</v>
      </c>
      <c r="N211" s="28"/>
    </row>
    <row r="212" spans="2:14" x14ac:dyDescent="0.25">
      <c r="B212" s="2"/>
      <c r="C212" s="3" t="s">
        <v>72</v>
      </c>
      <c r="D212" s="101">
        <v>18000</v>
      </c>
      <c r="E212" s="9">
        <v>164.81</v>
      </c>
      <c r="F212" s="112"/>
      <c r="G212" s="127"/>
      <c r="H212" s="126"/>
      <c r="I212" s="30">
        <f t="shared" ref="I212:I213" si="71">+E212*D212</f>
        <v>2966580</v>
      </c>
      <c r="J212" s="77"/>
      <c r="K212" s="167">
        <f t="shared" ref="K212:K213" si="72">+I212/M212</f>
        <v>0.5268201028277516</v>
      </c>
      <c r="M212" s="77">
        <v>5631106.2999999998</v>
      </c>
      <c r="N212" s="28"/>
    </row>
    <row r="213" spans="2:14" x14ac:dyDescent="0.25">
      <c r="B213" s="2"/>
      <c r="C213" s="3" t="s">
        <v>69</v>
      </c>
      <c r="D213" s="101">
        <v>21000</v>
      </c>
      <c r="E213" s="9">
        <v>107.12</v>
      </c>
      <c r="F213" s="112"/>
      <c r="G213" s="127"/>
      <c r="H213" s="126"/>
      <c r="I213" s="30">
        <f t="shared" si="71"/>
        <v>2249520</v>
      </c>
      <c r="J213" s="77"/>
      <c r="K213" s="167">
        <f t="shared" si="72"/>
        <v>0.43914333706300895</v>
      </c>
      <c r="M213" s="77">
        <v>5122518.8</v>
      </c>
      <c r="N213" s="28"/>
    </row>
    <row r="214" spans="2:14" x14ac:dyDescent="0.25">
      <c r="B214" s="2"/>
      <c r="C214" s="3" t="s">
        <v>91</v>
      </c>
      <c r="D214" s="101">
        <v>22000</v>
      </c>
      <c r="E214" s="9">
        <v>119.46</v>
      </c>
      <c r="F214" s="112"/>
      <c r="G214" s="127"/>
      <c r="H214" s="126"/>
      <c r="I214" s="30">
        <f t="shared" ref="I214:I215" si="73">+E214*D214</f>
        <v>2628120</v>
      </c>
      <c r="J214" s="77"/>
      <c r="K214" s="167">
        <f t="shared" ref="K214:K215" si="74">+I214/M214</f>
        <v>0.53761733965047132</v>
      </c>
      <c r="M214" s="77">
        <f>3511136.4+1377322</f>
        <v>4888458.4000000004</v>
      </c>
      <c r="N214" s="28"/>
    </row>
    <row r="215" spans="2:14" x14ac:dyDescent="0.25">
      <c r="B215" s="2"/>
      <c r="C215" s="3" t="s">
        <v>79</v>
      </c>
      <c r="D215" s="101">
        <v>10000</v>
      </c>
      <c r="E215" s="9">
        <v>117.21</v>
      </c>
      <c r="F215" s="112"/>
      <c r="G215" s="127"/>
      <c r="H215" s="126"/>
      <c r="I215" s="30">
        <f t="shared" si="73"/>
        <v>1172100</v>
      </c>
      <c r="J215" s="77"/>
      <c r="K215" s="167">
        <f t="shared" si="74"/>
        <v>0.43914682400669303</v>
      </c>
      <c r="M215" s="77">
        <v>2669039</v>
      </c>
      <c r="N215" s="28"/>
    </row>
    <row r="216" spans="2:14" x14ac:dyDescent="0.25">
      <c r="B216" s="2"/>
      <c r="N216" s="28"/>
    </row>
    <row r="217" spans="2:14" x14ac:dyDescent="0.25">
      <c r="B217" s="2"/>
      <c r="N217" s="28"/>
    </row>
    <row r="218" spans="2:14" x14ac:dyDescent="0.25">
      <c r="B218" s="2"/>
      <c r="N218" s="28"/>
    </row>
    <row r="219" spans="2:14" x14ac:dyDescent="0.25">
      <c r="B219" s="97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44"/>
    </row>
    <row r="227" spans="3:9" x14ac:dyDescent="0.25">
      <c r="E227" t="s">
        <v>161</v>
      </c>
      <c r="F227" s="30" t="s">
        <v>96</v>
      </c>
      <c r="G227" s="169" t="s">
        <v>162</v>
      </c>
      <c r="H227" s="77"/>
      <c r="I227" t="s">
        <v>161</v>
      </c>
    </row>
    <row r="228" spans="3:9" x14ac:dyDescent="0.25">
      <c r="C228" s="3" t="s">
        <v>33</v>
      </c>
      <c r="D228" s="101">
        <v>50000</v>
      </c>
      <c r="E228" s="9">
        <v>160.25</v>
      </c>
      <c r="F228" s="30">
        <v>8012500</v>
      </c>
      <c r="G228" s="169">
        <v>0.97193874969003491</v>
      </c>
      <c r="H228" s="77">
        <v>8243832.2400000002</v>
      </c>
      <c r="I228" s="176">
        <v>-231332.24000000022</v>
      </c>
    </row>
    <row r="229" spans="3:9" x14ac:dyDescent="0.25">
      <c r="C229" s="3" t="s">
        <v>18</v>
      </c>
      <c r="D229" s="101">
        <v>63000</v>
      </c>
      <c r="E229" s="9">
        <v>97.87</v>
      </c>
      <c r="F229" s="30">
        <v>6165810</v>
      </c>
      <c r="G229" s="169">
        <v>0.76377363672452048</v>
      </c>
      <c r="H229" s="77">
        <v>8072823.8100000005</v>
      </c>
      <c r="I229" s="176">
        <v>-1907013.8100000005</v>
      </c>
    </row>
    <row r="230" spans="3:9" x14ac:dyDescent="0.25">
      <c r="C230" s="3" t="s">
        <v>10</v>
      </c>
      <c r="D230" s="101">
        <v>20000</v>
      </c>
      <c r="E230" s="9">
        <v>196.66</v>
      </c>
      <c r="F230" s="30">
        <v>3933200</v>
      </c>
      <c r="G230" s="169">
        <v>0.5804715106679712</v>
      </c>
      <c r="H230" s="77">
        <v>6775870.8700000001</v>
      </c>
      <c r="I230" s="176">
        <v>-2842670.87</v>
      </c>
    </row>
    <row r="231" spans="3:9" x14ac:dyDescent="0.25">
      <c r="C231" s="3" t="s">
        <v>92</v>
      </c>
      <c r="D231" s="101">
        <v>50000</v>
      </c>
      <c r="E231" s="9">
        <v>59.3</v>
      </c>
      <c r="F231" s="30">
        <v>2965000</v>
      </c>
      <c r="G231" s="169">
        <v>0.61202984393755022</v>
      </c>
      <c r="H231" s="77">
        <v>4844535</v>
      </c>
      <c r="I231" s="176">
        <v>-1879535</v>
      </c>
    </row>
    <row r="232" spans="3:9" x14ac:dyDescent="0.25">
      <c r="C232" s="3" t="s">
        <v>78</v>
      </c>
      <c r="D232" s="101">
        <v>100000</v>
      </c>
      <c r="E232" s="9">
        <v>29.14</v>
      </c>
      <c r="F232" s="30">
        <v>2914000</v>
      </c>
      <c r="G232" s="169">
        <v>0.6887481335197394</v>
      </c>
      <c r="H232" s="77">
        <v>4230864.46</v>
      </c>
      <c r="I232" s="176">
        <v>-1316864.46</v>
      </c>
    </row>
    <row r="233" spans="3:9" x14ac:dyDescent="0.25">
      <c r="C233" s="3" t="s">
        <v>93</v>
      </c>
      <c r="D233" s="101">
        <v>50000</v>
      </c>
      <c r="E233" s="9">
        <v>45.89</v>
      </c>
      <c r="F233" s="30">
        <v>2294500</v>
      </c>
      <c r="G233" s="169">
        <v>0.50156924830738137</v>
      </c>
      <c r="H233" s="77">
        <v>4574642.5</v>
      </c>
      <c r="I233" s="176">
        <v>-2280142.5</v>
      </c>
    </row>
    <row r="234" spans="3:9" x14ac:dyDescent="0.25">
      <c r="C234" s="3" t="s">
        <v>55</v>
      </c>
      <c r="D234" s="101">
        <v>6300</v>
      </c>
      <c r="E234" s="9">
        <v>391.29</v>
      </c>
      <c r="F234" s="30">
        <v>2465127</v>
      </c>
      <c r="G234" s="169">
        <v>0.94208587911282282</v>
      </c>
      <c r="H234" s="77">
        <v>2616669.09</v>
      </c>
      <c r="I234" s="176">
        <v>-151542.08999999985</v>
      </c>
    </row>
    <row r="235" spans="3:9" x14ac:dyDescent="0.25">
      <c r="C235" s="3" t="s">
        <v>71</v>
      </c>
      <c r="D235" s="101">
        <v>12000</v>
      </c>
      <c r="E235" s="9">
        <v>149.83000000000001</v>
      </c>
      <c r="F235" s="30">
        <v>1797960.0000000002</v>
      </c>
      <c r="G235" s="169">
        <v>0.73867303106390525</v>
      </c>
      <c r="H235" s="77">
        <v>2434040.4</v>
      </c>
      <c r="I235" s="176">
        <v>-636080.39999999967</v>
      </c>
    </row>
    <row r="236" spans="3:9" x14ac:dyDescent="0.25">
      <c r="C236" s="3" t="s">
        <v>95</v>
      </c>
      <c r="D236" s="101">
        <v>5000</v>
      </c>
      <c r="E236" s="9">
        <v>321.25</v>
      </c>
      <c r="F236" s="30">
        <v>1606250</v>
      </c>
      <c r="G236" s="169">
        <v>0.82372914298578925</v>
      </c>
      <c r="H236" s="77">
        <v>1949973.5</v>
      </c>
      <c r="I236" s="176">
        <v>-343723.5</v>
      </c>
    </row>
    <row r="237" spans="3:9" x14ac:dyDescent="0.25">
      <c r="C237" s="3"/>
      <c r="D237" s="101"/>
      <c r="E237" s="9"/>
      <c r="F237" s="30"/>
      <c r="G237" s="169"/>
      <c r="H237" s="77"/>
      <c r="I237" s="176"/>
    </row>
    <row r="238" spans="3:9" x14ac:dyDescent="0.25">
      <c r="E238" s="9"/>
      <c r="F238" s="30"/>
      <c r="G238" s="169"/>
      <c r="H238" s="77"/>
      <c r="I238" s="176"/>
    </row>
    <row r="239" spans="3:9" x14ac:dyDescent="0.25">
      <c r="E239" s="9"/>
      <c r="F239" s="30"/>
      <c r="G239" s="169"/>
      <c r="H239" s="77"/>
    </row>
    <row r="240" spans="3:9" x14ac:dyDescent="0.25">
      <c r="F240" s="30"/>
      <c r="H240" s="77"/>
    </row>
  </sheetData>
  <sortState xmlns:xlrd2="http://schemas.microsoft.com/office/spreadsheetml/2017/richdata2" ref="T76:T89">
    <sortCondition ref="T76:T89"/>
  </sortState>
  <mergeCells count="8">
    <mergeCell ref="A1:F2"/>
    <mergeCell ref="A162:B162"/>
    <mergeCell ref="A145:B145"/>
    <mergeCell ref="A128:B128"/>
    <mergeCell ref="A114:B114"/>
    <mergeCell ref="A101:B101"/>
    <mergeCell ref="A90:B90"/>
    <mergeCell ref="A75:B75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0AF7-D31B-4C14-A990-8B960A47A7BA}">
  <sheetPr codeName="Sheet16"/>
  <dimension ref="A1:AE224"/>
  <sheetViews>
    <sheetView topLeftCell="A67" zoomScale="80" zoomScaleNormal="80" workbookViewId="0">
      <selection activeCell="M121" sqref="M121"/>
    </sheetView>
  </sheetViews>
  <sheetFormatPr defaultRowHeight="15" x14ac:dyDescent="0.25"/>
  <cols>
    <col min="1" max="1" width="11.85546875" customWidth="1"/>
    <col min="2" max="2" width="15.28515625" customWidth="1"/>
    <col min="3" max="3" width="14.140625" customWidth="1"/>
    <col min="4" max="4" width="11.7109375" customWidth="1"/>
    <col min="5" max="5" width="13.85546875" customWidth="1"/>
    <col min="6" max="6" width="28.28515625" customWidth="1"/>
    <col min="7" max="7" width="6.140625" customWidth="1"/>
    <col min="8" max="8" width="16" customWidth="1"/>
    <col min="9" max="9" width="13.85546875" customWidth="1"/>
    <col min="10" max="10" width="13.7109375" customWidth="1"/>
    <col min="11" max="11" width="13.140625" customWidth="1"/>
    <col min="12" max="13" width="13.85546875" customWidth="1"/>
    <col min="14" max="14" width="7.85546875" customWidth="1"/>
    <col min="15" max="15" width="25.140625" customWidth="1"/>
    <col min="16" max="16" width="7.28515625" customWidth="1"/>
    <col min="17" max="17" width="11.85546875" customWidth="1"/>
    <col min="18" max="18" width="14.85546875" customWidth="1"/>
    <col min="19" max="19" width="9.42578125" customWidth="1"/>
    <col min="20" max="20" width="31.140625" customWidth="1"/>
    <col min="21" max="21" width="28.7109375" customWidth="1"/>
    <col min="22" max="22" width="26" style="27" customWidth="1"/>
    <col min="30" max="30" width="16.28515625" customWidth="1"/>
    <col min="31" max="31" width="20.28515625" customWidth="1"/>
    <col min="261" max="261" width="9" bestFit="1" customWidth="1"/>
    <col min="262" max="262" width="19" customWidth="1"/>
    <col min="265" max="265" width="7.85546875" bestFit="1" customWidth="1"/>
    <col min="268" max="268" width="8.7109375" bestFit="1" customWidth="1"/>
    <col min="269" max="269" width="8.5703125" bestFit="1" customWidth="1"/>
    <col min="272" max="272" width="13.140625" bestFit="1" customWidth="1"/>
    <col min="273" max="273" width="8.5703125" bestFit="1" customWidth="1"/>
    <col min="274" max="274" width="10.85546875" bestFit="1" customWidth="1"/>
    <col min="275" max="275" width="7.28515625" bestFit="1" customWidth="1"/>
    <col min="517" max="517" width="9" bestFit="1" customWidth="1"/>
    <col min="518" max="518" width="19" customWidth="1"/>
    <col min="521" max="521" width="7.85546875" bestFit="1" customWidth="1"/>
    <col min="524" max="524" width="8.7109375" bestFit="1" customWidth="1"/>
    <col min="525" max="525" width="8.5703125" bestFit="1" customWidth="1"/>
    <col min="528" max="528" width="13.140625" bestFit="1" customWidth="1"/>
    <col min="529" max="529" width="8.5703125" bestFit="1" customWidth="1"/>
    <col min="530" max="530" width="10.85546875" bestFit="1" customWidth="1"/>
    <col min="531" max="531" width="7.28515625" bestFit="1" customWidth="1"/>
    <col min="773" max="773" width="9" bestFit="1" customWidth="1"/>
    <col min="774" max="774" width="19" customWidth="1"/>
    <col min="777" max="777" width="7.85546875" bestFit="1" customWidth="1"/>
    <col min="780" max="780" width="8.7109375" bestFit="1" customWidth="1"/>
    <col min="781" max="781" width="8.5703125" bestFit="1" customWidth="1"/>
    <col min="784" max="784" width="13.140625" bestFit="1" customWidth="1"/>
    <col min="785" max="785" width="8.5703125" bestFit="1" customWidth="1"/>
    <col min="786" max="786" width="10.85546875" bestFit="1" customWidth="1"/>
    <col min="787" max="787" width="7.28515625" bestFit="1" customWidth="1"/>
    <col min="1029" max="1029" width="9" bestFit="1" customWidth="1"/>
    <col min="1030" max="1030" width="19" customWidth="1"/>
    <col min="1033" max="1033" width="7.85546875" bestFit="1" customWidth="1"/>
    <col min="1036" max="1036" width="8.7109375" bestFit="1" customWidth="1"/>
    <col min="1037" max="1037" width="8.5703125" bestFit="1" customWidth="1"/>
    <col min="1040" max="1040" width="13.140625" bestFit="1" customWidth="1"/>
    <col min="1041" max="1041" width="8.5703125" bestFit="1" customWidth="1"/>
    <col min="1042" max="1042" width="10.85546875" bestFit="1" customWidth="1"/>
    <col min="1043" max="1043" width="7.28515625" bestFit="1" customWidth="1"/>
    <col min="1285" max="1285" width="9" bestFit="1" customWidth="1"/>
    <col min="1286" max="1286" width="19" customWidth="1"/>
    <col min="1289" max="1289" width="7.85546875" bestFit="1" customWidth="1"/>
    <col min="1292" max="1292" width="8.7109375" bestFit="1" customWidth="1"/>
    <col min="1293" max="1293" width="8.5703125" bestFit="1" customWidth="1"/>
    <col min="1296" max="1296" width="13.140625" bestFit="1" customWidth="1"/>
    <col min="1297" max="1297" width="8.5703125" bestFit="1" customWidth="1"/>
    <col min="1298" max="1298" width="10.85546875" bestFit="1" customWidth="1"/>
    <col min="1299" max="1299" width="7.28515625" bestFit="1" customWidth="1"/>
    <col min="1541" max="1541" width="9" bestFit="1" customWidth="1"/>
    <col min="1542" max="1542" width="19" customWidth="1"/>
    <col min="1545" max="1545" width="7.85546875" bestFit="1" customWidth="1"/>
    <col min="1548" max="1548" width="8.7109375" bestFit="1" customWidth="1"/>
    <col min="1549" max="1549" width="8.5703125" bestFit="1" customWidth="1"/>
    <col min="1552" max="1552" width="13.140625" bestFit="1" customWidth="1"/>
    <col min="1553" max="1553" width="8.5703125" bestFit="1" customWidth="1"/>
    <col min="1554" max="1554" width="10.85546875" bestFit="1" customWidth="1"/>
    <col min="1555" max="1555" width="7.28515625" bestFit="1" customWidth="1"/>
    <col min="1797" max="1797" width="9" bestFit="1" customWidth="1"/>
    <col min="1798" max="1798" width="19" customWidth="1"/>
    <col min="1801" max="1801" width="7.85546875" bestFit="1" customWidth="1"/>
    <col min="1804" max="1804" width="8.7109375" bestFit="1" customWidth="1"/>
    <col min="1805" max="1805" width="8.5703125" bestFit="1" customWidth="1"/>
    <col min="1808" max="1808" width="13.140625" bestFit="1" customWidth="1"/>
    <col min="1809" max="1809" width="8.5703125" bestFit="1" customWidth="1"/>
    <col min="1810" max="1810" width="10.85546875" bestFit="1" customWidth="1"/>
    <col min="1811" max="1811" width="7.28515625" bestFit="1" customWidth="1"/>
    <col min="2053" max="2053" width="9" bestFit="1" customWidth="1"/>
    <col min="2054" max="2054" width="19" customWidth="1"/>
    <col min="2057" max="2057" width="7.85546875" bestFit="1" customWidth="1"/>
    <col min="2060" max="2060" width="8.7109375" bestFit="1" customWidth="1"/>
    <col min="2061" max="2061" width="8.5703125" bestFit="1" customWidth="1"/>
    <col min="2064" max="2064" width="13.140625" bestFit="1" customWidth="1"/>
    <col min="2065" max="2065" width="8.5703125" bestFit="1" customWidth="1"/>
    <col min="2066" max="2066" width="10.85546875" bestFit="1" customWidth="1"/>
    <col min="2067" max="2067" width="7.28515625" bestFit="1" customWidth="1"/>
    <col min="2309" max="2309" width="9" bestFit="1" customWidth="1"/>
    <col min="2310" max="2310" width="19" customWidth="1"/>
    <col min="2313" max="2313" width="7.85546875" bestFit="1" customWidth="1"/>
    <col min="2316" max="2316" width="8.7109375" bestFit="1" customWidth="1"/>
    <col min="2317" max="2317" width="8.5703125" bestFit="1" customWidth="1"/>
    <col min="2320" max="2320" width="13.140625" bestFit="1" customWidth="1"/>
    <col min="2321" max="2321" width="8.5703125" bestFit="1" customWidth="1"/>
    <col min="2322" max="2322" width="10.85546875" bestFit="1" customWidth="1"/>
    <col min="2323" max="2323" width="7.28515625" bestFit="1" customWidth="1"/>
    <col min="2565" max="2565" width="9" bestFit="1" customWidth="1"/>
    <col min="2566" max="2566" width="19" customWidth="1"/>
    <col min="2569" max="2569" width="7.85546875" bestFit="1" customWidth="1"/>
    <col min="2572" max="2572" width="8.7109375" bestFit="1" customWidth="1"/>
    <col min="2573" max="2573" width="8.5703125" bestFit="1" customWidth="1"/>
    <col min="2576" max="2576" width="13.140625" bestFit="1" customWidth="1"/>
    <col min="2577" max="2577" width="8.5703125" bestFit="1" customWidth="1"/>
    <col min="2578" max="2578" width="10.85546875" bestFit="1" customWidth="1"/>
    <col min="2579" max="2579" width="7.28515625" bestFit="1" customWidth="1"/>
    <col min="2821" max="2821" width="9" bestFit="1" customWidth="1"/>
    <col min="2822" max="2822" width="19" customWidth="1"/>
    <col min="2825" max="2825" width="7.85546875" bestFit="1" customWidth="1"/>
    <col min="2828" max="2828" width="8.7109375" bestFit="1" customWidth="1"/>
    <col min="2829" max="2829" width="8.5703125" bestFit="1" customWidth="1"/>
    <col min="2832" max="2832" width="13.140625" bestFit="1" customWidth="1"/>
    <col min="2833" max="2833" width="8.5703125" bestFit="1" customWidth="1"/>
    <col min="2834" max="2834" width="10.85546875" bestFit="1" customWidth="1"/>
    <col min="2835" max="2835" width="7.28515625" bestFit="1" customWidth="1"/>
    <col min="3077" max="3077" width="9" bestFit="1" customWidth="1"/>
    <col min="3078" max="3078" width="19" customWidth="1"/>
    <col min="3081" max="3081" width="7.85546875" bestFit="1" customWidth="1"/>
    <col min="3084" max="3084" width="8.7109375" bestFit="1" customWidth="1"/>
    <col min="3085" max="3085" width="8.5703125" bestFit="1" customWidth="1"/>
    <col min="3088" max="3088" width="13.140625" bestFit="1" customWidth="1"/>
    <col min="3089" max="3089" width="8.5703125" bestFit="1" customWidth="1"/>
    <col min="3090" max="3090" width="10.85546875" bestFit="1" customWidth="1"/>
    <col min="3091" max="3091" width="7.28515625" bestFit="1" customWidth="1"/>
    <col min="3333" max="3333" width="9" bestFit="1" customWidth="1"/>
    <col min="3334" max="3334" width="19" customWidth="1"/>
    <col min="3337" max="3337" width="7.85546875" bestFit="1" customWidth="1"/>
    <col min="3340" max="3340" width="8.7109375" bestFit="1" customWidth="1"/>
    <col min="3341" max="3341" width="8.5703125" bestFit="1" customWidth="1"/>
    <col min="3344" max="3344" width="13.140625" bestFit="1" customWidth="1"/>
    <col min="3345" max="3345" width="8.5703125" bestFit="1" customWidth="1"/>
    <col min="3346" max="3346" width="10.85546875" bestFit="1" customWidth="1"/>
    <col min="3347" max="3347" width="7.28515625" bestFit="1" customWidth="1"/>
    <col min="3589" max="3589" width="9" bestFit="1" customWidth="1"/>
    <col min="3590" max="3590" width="19" customWidth="1"/>
    <col min="3593" max="3593" width="7.85546875" bestFit="1" customWidth="1"/>
    <col min="3596" max="3596" width="8.7109375" bestFit="1" customWidth="1"/>
    <col min="3597" max="3597" width="8.5703125" bestFit="1" customWidth="1"/>
    <col min="3600" max="3600" width="13.140625" bestFit="1" customWidth="1"/>
    <col min="3601" max="3601" width="8.5703125" bestFit="1" customWidth="1"/>
    <col min="3602" max="3602" width="10.85546875" bestFit="1" customWidth="1"/>
    <col min="3603" max="3603" width="7.28515625" bestFit="1" customWidth="1"/>
    <col min="3845" max="3845" width="9" bestFit="1" customWidth="1"/>
    <col min="3846" max="3846" width="19" customWidth="1"/>
    <col min="3849" max="3849" width="7.85546875" bestFit="1" customWidth="1"/>
    <col min="3852" max="3852" width="8.7109375" bestFit="1" customWidth="1"/>
    <col min="3853" max="3853" width="8.5703125" bestFit="1" customWidth="1"/>
    <col min="3856" max="3856" width="13.140625" bestFit="1" customWidth="1"/>
    <col min="3857" max="3857" width="8.5703125" bestFit="1" customWidth="1"/>
    <col min="3858" max="3858" width="10.85546875" bestFit="1" customWidth="1"/>
    <col min="3859" max="3859" width="7.28515625" bestFit="1" customWidth="1"/>
    <col min="4101" max="4101" width="9" bestFit="1" customWidth="1"/>
    <col min="4102" max="4102" width="19" customWidth="1"/>
    <col min="4105" max="4105" width="7.85546875" bestFit="1" customWidth="1"/>
    <col min="4108" max="4108" width="8.7109375" bestFit="1" customWidth="1"/>
    <col min="4109" max="4109" width="8.5703125" bestFit="1" customWidth="1"/>
    <col min="4112" max="4112" width="13.140625" bestFit="1" customWidth="1"/>
    <col min="4113" max="4113" width="8.5703125" bestFit="1" customWidth="1"/>
    <col min="4114" max="4114" width="10.85546875" bestFit="1" customWidth="1"/>
    <col min="4115" max="4115" width="7.28515625" bestFit="1" customWidth="1"/>
    <col min="4357" max="4357" width="9" bestFit="1" customWidth="1"/>
    <col min="4358" max="4358" width="19" customWidth="1"/>
    <col min="4361" max="4361" width="7.85546875" bestFit="1" customWidth="1"/>
    <col min="4364" max="4364" width="8.7109375" bestFit="1" customWidth="1"/>
    <col min="4365" max="4365" width="8.5703125" bestFit="1" customWidth="1"/>
    <col min="4368" max="4368" width="13.140625" bestFit="1" customWidth="1"/>
    <col min="4369" max="4369" width="8.5703125" bestFit="1" customWidth="1"/>
    <col min="4370" max="4370" width="10.85546875" bestFit="1" customWidth="1"/>
    <col min="4371" max="4371" width="7.28515625" bestFit="1" customWidth="1"/>
    <col min="4613" max="4613" width="9" bestFit="1" customWidth="1"/>
    <col min="4614" max="4614" width="19" customWidth="1"/>
    <col min="4617" max="4617" width="7.85546875" bestFit="1" customWidth="1"/>
    <col min="4620" max="4620" width="8.7109375" bestFit="1" customWidth="1"/>
    <col min="4621" max="4621" width="8.5703125" bestFit="1" customWidth="1"/>
    <col min="4624" max="4624" width="13.140625" bestFit="1" customWidth="1"/>
    <col min="4625" max="4625" width="8.5703125" bestFit="1" customWidth="1"/>
    <col min="4626" max="4626" width="10.85546875" bestFit="1" customWidth="1"/>
    <col min="4627" max="4627" width="7.28515625" bestFit="1" customWidth="1"/>
    <col min="4869" max="4869" width="9" bestFit="1" customWidth="1"/>
    <col min="4870" max="4870" width="19" customWidth="1"/>
    <col min="4873" max="4873" width="7.85546875" bestFit="1" customWidth="1"/>
    <col min="4876" max="4876" width="8.7109375" bestFit="1" customWidth="1"/>
    <col min="4877" max="4877" width="8.5703125" bestFit="1" customWidth="1"/>
    <col min="4880" max="4880" width="13.140625" bestFit="1" customWidth="1"/>
    <col min="4881" max="4881" width="8.5703125" bestFit="1" customWidth="1"/>
    <col min="4882" max="4882" width="10.85546875" bestFit="1" customWidth="1"/>
    <col min="4883" max="4883" width="7.28515625" bestFit="1" customWidth="1"/>
    <col min="5125" max="5125" width="9" bestFit="1" customWidth="1"/>
    <col min="5126" max="5126" width="19" customWidth="1"/>
    <col min="5129" max="5129" width="7.85546875" bestFit="1" customWidth="1"/>
    <col min="5132" max="5132" width="8.7109375" bestFit="1" customWidth="1"/>
    <col min="5133" max="5133" width="8.5703125" bestFit="1" customWidth="1"/>
    <col min="5136" max="5136" width="13.140625" bestFit="1" customWidth="1"/>
    <col min="5137" max="5137" width="8.5703125" bestFit="1" customWidth="1"/>
    <col min="5138" max="5138" width="10.85546875" bestFit="1" customWidth="1"/>
    <col min="5139" max="5139" width="7.28515625" bestFit="1" customWidth="1"/>
    <col min="5381" max="5381" width="9" bestFit="1" customWidth="1"/>
    <col min="5382" max="5382" width="19" customWidth="1"/>
    <col min="5385" max="5385" width="7.85546875" bestFit="1" customWidth="1"/>
    <col min="5388" max="5388" width="8.7109375" bestFit="1" customWidth="1"/>
    <col min="5389" max="5389" width="8.5703125" bestFit="1" customWidth="1"/>
    <col min="5392" max="5392" width="13.140625" bestFit="1" customWidth="1"/>
    <col min="5393" max="5393" width="8.5703125" bestFit="1" customWidth="1"/>
    <col min="5394" max="5394" width="10.85546875" bestFit="1" customWidth="1"/>
    <col min="5395" max="5395" width="7.28515625" bestFit="1" customWidth="1"/>
    <col min="5637" max="5637" width="9" bestFit="1" customWidth="1"/>
    <col min="5638" max="5638" width="19" customWidth="1"/>
    <col min="5641" max="5641" width="7.85546875" bestFit="1" customWidth="1"/>
    <col min="5644" max="5644" width="8.7109375" bestFit="1" customWidth="1"/>
    <col min="5645" max="5645" width="8.5703125" bestFit="1" customWidth="1"/>
    <col min="5648" max="5648" width="13.140625" bestFit="1" customWidth="1"/>
    <col min="5649" max="5649" width="8.5703125" bestFit="1" customWidth="1"/>
    <col min="5650" max="5650" width="10.85546875" bestFit="1" customWidth="1"/>
    <col min="5651" max="5651" width="7.28515625" bestFit="1" customWidth="1"/>
    <col min="5893" max="5893" width="9" bestFit="1" customWidth="1"/>
    <col min="5894" max="5894" width="19" customWidth="1"/>
    <col min="5897" max="5897" width="7.85546875" bestFit="1" customWidth="1"/>
    <col min="5900" max="5900" width="8.7109375" bestFit="1" customWidth="1"/>
    <col min="5901" max="5901" width="8.5703125" bestFit="1" customWidth="1"/>
    <col min="5904" max="5904" width="13.140625" bestFit="1" customWidth="1"/>
    <col min="5905" max="5905" width="8.5703125" bestFit="1" customWidth="1"/>
    <col min="5906" max="5906" width="10.85546875" bestFit="1" customWidth="1"/>
    <col min="5907" max="5907" width="7.28515625" bestFit="1" customWidth="1"/>
    <col min="6149" max="6149" width="9" bestFit="1" customWidth="1"/>
    <col min="6150" max="6150" width="19" customWidth="1"/>
    <col min="6153" max="6153" width="7.85546875" bestFit="1" customWidth="1"/>
    <col min="6156" max="6156" width="8.7109375" bestFit="1" customWidth="1"/>
    <col min="6157" max="6157" width="8.5703125" bestFit="1" customWidth="1"/>
    <col min="6160" max="6160" width="13.140625" bestFit="1" customWidth="1"/>
    <col min="6161" max="6161" width="8.5703125" bestFit="1" customWidth="1"/>
    <col min="6162" max="6162" width="10.85546875" bestFit="1" customWidth="1"/>
    <col min="6163" max="6163" width="7.28515625" bestFit="1" customWidth="1"/>
    <col min="6405" max="6405" width="9" bestFit="1" customWidth="1"/>
    <col min="6406" max="6406" width="19" customWidth="1"/>
    <col min="6409" max="6409" width="7.85546875" bestFit="1" customWidth="1"/>
    <col min="6412" max="6412" width="8.7109375" bestFit="1" customWidth="1"/>
    <col min="6413" max="6413" width="8.5703125" bestFit="1" customWidth="1"/>
    <col min="6416" max="6416" width="13.140625" bestFit="1" customWidth="1"/>
    <col min="6417" max="6417" width="8.5703125" bestFit="1" customWidth="1"/>
    <col min="6418" max="6418" width="10.85546875" bestFit="1" customWidth="1"/>
    <col min="6419" max="6419" width="7.28515625" bestFit="1" customWidth="1"/>
    <col min="6661" max="6661" width="9" bestFit="1" customWidth="1"/>
    <col min="6662" max="6662" width="19" customWidth="1"/>
    <col min="6665" max="6665" width="7.85546875" bestFit="1" customWidth="1"/>
    <col min="6668" max="6668" width="8.7109375" bestFit="1" customWidth="1"/>
    <col min="6669" max="6669" width="8.5703125" bestFit="1" customWidth="1"/>
    <col min="6672" max="6672" width="13.140625" bestFit="1" customWidth="1"/>
    <col min="6673" max="6673" width="8.5703125" bestFit="1" customWidth="1"/>
    <col min="6674" max="6674" width="10.85546875" bestFit="1" customWidth="1"/>
    <col min="6675" max="6675" width="7.28515625" bestFit="1" customWidth="1"/>
    <col min="6917" max="6917" width="9" bestFit="1" customWidth="1"/>
    <col min="6918" max="6918" width="19" customWidth="1"/>
    <col min="6921" max="6921" width="7.85546875" bestFit="1" customWidth="1"/>
    <col min="6924" max="6924" width="8.7109375" bestFit="1" customWidth="1"/>
    <col min="6925" max="6925" width="8.5703125" bestFit="1" customWidth="1"/>
    <col min="6928" max="6928" width="13.140625" bestFit="1" customWidth="1"/>
    <col min="6929" max="6929" width="8.5703125" bestFit="1" customWidth="1"/>
    <col min="6930" max="6930" width="10.85546875" bestFit="1" customWidth="1"/>
    <col min="6931" max="6931" width="7.28515625" bestFit="1" customWidth="1"/>
    <col min="7173" max="7173" width="9" bestFit="1" customWidth="1"/>
    <col min="7174" max="7174" width="19" customWidth="1"/>
    <col min="7177" max="7177" width="7.85546875" bestFit="1" customWidth="1"/>
    <col min="7180" max="7180" width="8.7109375" bestFit="1" customWidth="1"/>
    <col min="7181" max="7181" width="8.5703125" bestFit="1" customWidth="1"/>
    <col min="7184" max="7184" width="13.140625" bestFit="1" customWidth="1"/>
    <col min="7185" max="7185" width="8.5703125" bestFit="1" customWidth="1"/>
    <col min="7186" max="7186" width="10.85546875" bestFit="1" customWidth="1"/>
    <col min="7187" max="7187" width="7.28515625" bestFit="1" customWidth="1"/>
    <col min="7429" max="7429" width="9" bestFit="1" customWidth="1"/>
    <col min="7430" max="7430" width="19" customWidth="1"/>
    <col min="7433" max="7433" width="7.85546875" bestFit="1" customWidth="1"/>
    <col min="7436" max="7436" width="8.7109375" bestFit="1" customWidth="1"/>
    <col min="7437" max="7437" width="8.5703125" bestFit="1" customWidth="1"/>
    <col min="7440" max="7440" width="13.140625" bestFit="1" customWidth="1"/>
    <col min="7441" max="7441" width="8.5703125" bestFit="1" customWidth="1"/>
    <col min="7442" max="7442" width="10.85546875" bestFit="1" customWidth="1"/>
    <col min="7443" max="7443" width="7.28515625" bestFit="1" customWidth="1"/>
    <col min="7685" max="7685" width="9" bestFit="1" customWidth="1"/>
    <col min="7686" max="7686" width="19" customWidth="1"/>
    <col min="7689" max="7689" width="7.85546875" bestFit="1" customWidth="1"/>
    <col min="7692" max="7692" width="8.7109375" bestFit="1" customWidth="1"/>
    <col min="7693" max="7693" width="8.5703125" bestFit="1" customWidth="1"/>
    <col min="7696" max="7696" width="13.140625" bestFit="1" customWidth="1"/>
    <col min="7697" max="7697" width="8.5703125" bestFit="1" customWidth="1"/>
    <col min="7698" max="7698" width="10.85546875" bestFit="1" customWidth="1"/>
    <col min="7699" max="7699" width="7.28515625" bestFit="1" customWidth="1"/>
    <col min="7941" max="7941" width="9" bestFit="1" customWidth="1"/>
    <col min="7942" max="7942" width="19" customWidth="1"/>
    <col min="7945" max="7945" width="7.85546875" bestFit="1" customWidth="1"/>
    <col min="7948" max="7948" width="8.7109375" bestFit="1" customWidth="1"/>
    <col min="7949" max="7949" width="8.5703125" bestFit="1" customWidth="1"/>
    <col min="7952" max="7952" width="13.140625" bestFit="1" customWidth="1"/>
    <col min="7953" max="7953" width="8.5703125" bestFit="1" customWidth="1"/>
    <col min="7954" max="7954" width="10.85546875" bestFit="1" customWidth="1"/>
    <col min="7955" max="7955" width="7.28515625" bestFit="1" customWidth="1"/>
    <col min="8197" max="8197" width="9" bestFit="1" customWidth="1"/>
    <col min="8198" max="8198" width="19" customWidth="1"/>
    <col min="8201" max="8201" width="7.85546875" bestFit="1" customWidth="1"/>
    <col min="8204" max="8204" width="8.7109375" bestFit="1" customWidth="1"/>
    <col min="8205" max="8205" width="8.5703125" bestFit="1" customWidth="1"/>
    <col min="8208" max="8208" width="13.140625" bestFit="1" customWidth="1"/>
    <col min="8209" max="8209" width="8.5703125" bestFit="1" customWidth="1"/>
    <col min="8210" max="8210" width="10.85546875" bestFit="1" customWidth="1"/>
    <col min="8211" max="8211" width="7.28515625" bestFit="1" customWidth="1"/>
    <col min="8453" max="8453" width="9" bestFit="1" customWidth="1"/>
    <col min="8454" max="8454" width="19" customWidth="1"/>
    <col min="8457" max="8457" width="7.85546875" bestFit="1" customWidth="1"/>
    <col min="8460" max="8460" width="8.7109375" bestFit="1" customWidth="1"/>
    <col min="8461" max="8461" width="8.5703125" bestFit="1" customWidth="1"/>
    <col min="8464" max="8464" width="13.140625" bestFit="1" customWidth="1"/>
    <col min="8465" max="8465" width="8.5703125" bestFit="1" customWidth="1"/>
    <col min="8466" max="8466" width="10.85546875" bestFit="1" customWidth="1"/>
    <col min="8467" max="8467" width="7.28515625" bestFit="1" customWidth="1"/>
    <col min="8709" max="8709" width="9" bestFit="1" customWidth="1"/>
    <col min="8710" max="8710" width="19" customWidth="1"/>
    <col min="8713" max="8713" width="7.85546875" bestFit="1" customWidth="1"/>
    <col min="8716" max="8716" width="8.7109375" bestFit="1" customWidth="1"/>
    <col min="8717" max="8717" width="8.5703125" bestFit="1" customWidth="1"/>
    <col min="8720" max="8720" width="13.140625" bestFit="1" customWidth="1"/>
    <col min="8721" max="8721" width="8.5703125" bestFit="1" customWidth="1"/>
    <col min="8722" max="8722" width="10.85546875" bestFit="1" customWidth="1"/>
    <col min="8723" max="8723" width="7.28515625" bestFit="1" customWidth="1"/>
    <col min="8965" max="8965" width="9" bestFit="1" customWidth="1"/>
    <col min="8966" max="8966" width="19" customWidth="1"/>
    <col min="8969" max="8969" width="7.85546875" bestFit="1" customWidth="1"/>
    <col min="8972" max="8972" width="8.7109375" bestFit="1" customWidth="1"/>
    <col min="8973" max="8973" width="8.5703125" bestFit="1" customWidth="1"/>
    <col min="8976" max="8976" width="13.140625" bestFit="1" customWidth="1"/>
    <col min="8977" max="8977" width="8.5703125" bestFit="1" customWidth="1"/>
    <col min="8978" max="8978" width="10.85546875" bestFit="1" customWidth="1"/>
    <col min="8979" max="8979" width="7.28515625" bestFit="1" customWidth="1"/>
    <col min="9221" max="9221" width="9" bestFit="1" customWidth="1"/>
    <col min="9222" max="9222" width="19" customWidth="1"/>
    <col min="9225" max="9225" width="7.85546875" bestFit="1" customWidth="1"/>
    <col min="9228" max="9228" width="8.7109375" bestFit="1" customWidth="1"/>
    <col min="9229" max="9229" width="8.5703125" bestFit="1" customWidth="1"/>
    <col min="9232" max="9232" width="13.140625" bestFit="1" customWidth="1"/>
    <col min="9233" max="9233" width="8.5703125" bestFit="1" customWidth="1"/>
    <col min="9234" max="9234" width="10.85546875" bestFit="1" customWidth="1"/>
    <col min="9235" max="9235" width="7.28515625" bestFit="1" customWidth="1"/>
    <col min="9477" max="9477" width="9" bestFit="1" customWidth="1"/>
    <col min="9478" max="9478" width="19" customWidth="1"/>
    <col min="9481" max="9481" width="7.85546875" bestFit="1" customWidth="1"/>
    <col min="9484" max="9484" width="8.7109375" bestFit="1" customWidth="1"/>
    <col min="9485" max="9485" width="8.5703125" bestFit="1" customWidth="1"/>
    <col min="9488" max="9488" width="13.140625" bestFit="1" customWidth="1"/>
    <col min="9489" max="9489" width="8.5703125" bestFit="1" customWidth="1"/>
    <col min="9490" max="9490" width="10.85546875" bestFit="1" customWidth="1"/>
    <col min="9491" max="9491" width="7.28515625" bestFit="1" customWidth="1"/>
    <col min="9733" max="9733" width="9" bestFit="1" customWidth="1"/>
    <col min="9734" max="9734" width="19" customWidth="1"/>
    <col min="9737" max="9737" width="7.85546875" bestFit="1" customWidth="1"/>
    <col min="9740" max="9740" width="8.7109375" bestFit="1" customWidth="1"/>
    <col min="9741" max="9741" width="8.5703125" bestFit="1" customWidth="1"/>
    <col min="9744" max="9744" width="13.140625" bestFit="1" customWidth="1"/>
    <col min="9745" max="9745" width="8.5703125" bestFit="1" customWidth="1"/>
    <col min="9746" max="9746" width="10.85546875" bestFit="1" customWidth="1"/>
    <col min="9747" max="9747" width="7.28515625" bestFit="1" customWidth="1"/>
    <col min="9989" max="9989" width="9" bestFit="1" customWidth="1"/>
    <col min="9990" max="9990" width="19" customWidth="1"/>
    <col min="9993" max="9993" width="7.85546875" bestFit="1" customWidth="1"/>
    <col min="9996" max="9996" width="8.7109375" bestFit="1" customWidth="1"/>
    <col min="9997" max="9997" width="8.5703125" bestFit="1" customWidth="1"/>
    <col min="10000" max="10000" width="13.140625" bestFit="1" customWidth="1"/>
    <col min="10001" max="10001" width="8.5703125" bestFit="1" customWidth="1"/>
    <col min="10002" max="10002" width="10.85546875" bestFit="1" customWidth="1"/>
    <col min="10003" max="10003" width="7.28515625" bestFit="1" customWidth="1"/>
    <col min="10245" max="10245" width="9" bestFit="1" customWidth="1"/>
    <col min="10246" max="10246" width="19" customWidth="1"/>
    <col min="10249" max="10249" width="7.85546875" bestFit="1" customWidth="1"/>
    <col min="10252" max="10252" width="8.7109375" bestFit="1" customWidth="1"/>
    <col min="10253" max="10253" width="8.5703125" bestFit="1" customWidth="1"/>
    <col min="10256" max="10256" width="13.140625" bestFit="1" customWidth="1"/>
    <col min="10257" max="10257" width="8.5703125" bestFit="1" customWidth="1"/>
    <col min="10258" max="10258" width="10.85546875" bestFit="1" customWidth="1"/>
    <col min="10259" max="10259" width="7.28515625" bestFit="1" customWidth="1"/>
    <col min="10501" max="10501" width="9" bestFit="1" customWidth="1"/>
    <col min="10502" max="10502" width="19" customWidth="1"/>
    <col min="10505" max="10505" width="7.85546875" bestFit="1" customWidth="1"/>
    <col min="10508" max="10508" width="8.7109375" bestFit="1" customWidth="1"/>
    <col min="10509" max="10509" width="8.5703125" bestFit="1" customWidth="1"/>
    <col min="10512" max="10512" width="13.140625" bestFit="1" customWidth="1"/>
    <col min="10513" max="10513" width="8.5703125" bestFit="1" customWidth="1"/>
    <col min="10514" max="10514" width="10.85546875" bestFit="1" customWidth="1"/>
    <col min="10515" max="10515" width="7.28515625" bestFit="1" customWidth="1"/>
    <col min="10757" max="10757" width="9" bestFit="1" customWidth="1"/>
    <col min="10758" max="10758" width="19" customWidth="1"/>
    <col min="10761" max="10761" width="7.85546875" bestFit="1" customWidth="1"/>
    <col min="10764" max="10764" width="8.7109375" bestFit="1" customWidth="1"/>
    <col min="10765" max="10765" width="8.5703125" bestFit="1" customWidth="1"/>
    <col min="10768" max="10768" width="13.140625" bestFit="1" customWidth="1"/>
    <col min="10769" max="10769" width="8.5703125" bestFit="1" customWidth="1"/>
    <col min="10770" max="10770" width="10.85546875" bestFit="1" customWidth="1"/>
    <col min="10771" max="10771" width="7.28515625" bestFit="1" customWidth="1"/>
    <col min="11013" max="11013" width="9" bestFit="1" customWidth="1"/>
    <col min="11014" max="11014" width="19" customWidth="1"/>
    <col min="11017" max="11017" width="7.85546875" bestFit="1" customWidth="1"/>
    <col min="11020" max="11020" width="8.7109375" bestFit="1" customWidth="1"/>
    <col min="11021" max="11021" width="8.5703125" bestFit="1" customWidth="1"/>
    <col min="11024" max="11024" width="13.140625" bestFit="1" customWidth="1"/>
    <col min="11025" max="11025" width="8.5703125" bestFit="1" customWidth="1"/>
    <col min="11026" max="11026" width="10.85546875" bestFit="1" customWidth="1"/>
    <col min="11027" max="11027" width="7.28515625" bestFit="1" customWidth="1"/>
    <col min="11269" max="11269" width="9" bestFit="1" customWidth="1"/>
    <col min="11270" max="11270" width="19" customWidth="1"/>
    <col min="11273" max="11273" width="7.85546875" bestFit="1" customWidth="1"/>
    <col min="11276" max="11276" width="8.7109375" bestFit="1" customWidth="1"/>
    <col min="11277" max="11277" width="8.5703125" bestFit="1" customWidth="1"/>
    <col min="11280" max="11280" width="13.140625" bestFit="1" customWidth="1"/>
    <col min="11281" max="11281" width="8.5703125" bestFit="1" customWidth="1"/>
    <col min="11282" max="11282" width="10.85546875" bestFit="1" customWidth="1"/>
    <col min="11283" max="11283" width="7.28515625" bestFit="1" customWidth="1"/>
    <col min="11525" max="11525" width="9" bestFit="1" customWidth="1"/>
    <col min="11526" max="11526" width="19" customWidth="1"/>
    <col min="11529" max="11529" width="7.85546875" bestFit="1" customWidth="1"/>
    <col min="11532" max="11532" width="8.7109375" bestFit="1" customWidth="1"/>
    <col min="11533" max="11533" width="8.5703125" bestFit="1" customWidth="1"/>
    <col min="11536" max="11536" width="13.140625" bestFit="1" customWidth="1"/>
    <col min="11537" max="11537" width="8.5703125" bestFit="1" customWidth="1"/>
    <col min="11538" max="11538" width="10.85546875" bestFit="1" customWidth="1"/>
    <col min="11539" max="11539" width="7.28515625" bestFit="1" customWidth="1"/>
    <col min="11781" max="11781" width="9" bestFit="1" customWidth="1"/>
    <col min="11782" max="11782" width="19" customWidth="1"/>
    <col min="11785" max="11785" width="7.85546875" bestFit="1" customWidth="1"/>
    <col min="11788" max="11788" width="8.7109375" bestFit="1" customWidth="1"/>
    <col min="11789" max="11789" width="8.5703125" bestFit="1" customWidth="1"/>
    <col min="11792" max="11792" width="13.140625" bestFit="1" customWidth="1"/>
    <col min="11793" max="11793" width="8.5703125" bestFit="1" customWidth="1"/>
    <col min="11794" max="11794" width="10.85546875" bestFit="1" customWidth="1"/>
    <col min="11795" max="11795" width="7.28515625" bestFit="1" customWidth="1"/>
    <col min="12037" max="12037" width="9" bestFit="1" customWidth="1"/>
    <col min="12038" max="12038" width="19" customWidth="1"/>
    <col min="12041" max="12041" width="7.85546875" bestFit="1" customWidth="1"/>
    <col min="12044" max="12044" width="8.7109375" bestFit="1" customWidth="1"/>
    <col min="12045" max="12045" width="8.5703125" bestFit="1" customWidth="1"/>
    <col min="12048" max="12048" width="13.140625" bestFit="1" customWidth="1"/>
    <col min="12049" max="12049" width="8.5703125" bestFit="1" customWidth="1"/>
    <col min="12050" max="12050" width="10.85546875" bestFit="1" customWidth="1"/>
    <col min="12051" max="12051" width="7.28515625" bestFit="1" customWidth="1"/>
    <col min="12293" max="12293" width="9" bestFit="1" customWidth="1"/>
    <col min="12294" max="12294" width="19" customWidth="1"/>
    <col min="12297" max="12297" width="7.85546875" bestFit="1" customWidth="1"/>
    <col min="12300" max="12300" width="8.7109375" bestFit="1" customWidth="1"/>
    <col min="12301" max="12301" width="8.5703125" bestFit="1" customWidth="1"/>
    <col min="12304" max="12304" width="13.140625" bestFit="1" customWidth="1"/>
    <col min="12305" max="12305" width="8.5703125" bestFit="1" customWidth="1"/>
    <col min="12306" max="12306" width="10.85546875" bestFit="1" customWidth="1"/>
    <col min="12307" max="12307" width="7.28515625" bestFit="1" customWidth="1"/>
    <col min="12549" max="12549" width="9" bestFit="1" customWidth="1"/>
    <col min="12550" max="12550" width="19" customWidth="1"/>
    <col min="12553" max="12553" width="7.85546875" bestFit="1" customWidth="1"/>
    <col min="12556" max="12556" width="8.7109375" bestFit="1" customWidth="1"/>
    <col min="12557" max="12557" width="8.5703125" bestFit="1" customWidth="1"/>
    <col min="12560" max="12560" width="13.140625" bestFit="1" customWidth="1"/>
    <col min="12561" max="12561" width="8.5703125" bestFit="1" customWidth="1"/>
    <col min="12562" max="12562" width="10.85546875" bestFit="1" customWidth="1"/>
    <col min="12563" max="12563" width="7.28515625" bestFit="1" customWidth="1"/>
    <col min="12805" max="12805" width="9" bestFit="1" customWidth="1"/>
    <col min="12806" max="12806" width="19" customWidth="1"/>
    <col min="12809" max="12809" width="7.85546875" bestFit="1" customWidth="1"/>
    <col min="12812" max="12812" width="8.7109375" bestFit="1" customWidth="1"/>
    <col min="12813" max="12813" width="8.5703125" bestFit="1" customWidth="1"/>
    <col min="12816" max="12816" width="13.140625" bestFit="1" customWidth="1"/>
    <col min="12817" max="12817" width="8.5703125" bestFit="1" customWidth="1"/>
    <col min="12818" max="12818" width="10.85546875" bestFit="1" customWidth="1"/>
    <col min="12819" max="12819" width="7.28515625" bestFit="1" customWidth="1"/>
    <col min="13061" max="13061" width="9" bestFit="1" customWidth="1"/>
    <col min="13062" max="13062" width="19" customWidth="1"/>
    <col min="13065" max="13065" width="7.85546875" bestFit="1" customWidth="1"/>
    <col min="13068" max="13068" width="8.7109375" bestFit="1" customWidth="1"/>
    <col min="13069" max="13069" width="8.5703125" bestFit="1" customWidth="1"/>
    <col min="13072" max="13072" width="13.140625" bestFit="1" customWidth="1"/>
    <col min="13073" max="13073" width="8.5703125" bestFit="1" customWidth="1"/>
    <col min="13074" max="13074" width="10.85546875" bestFit="1" customWidth="1"/>
    <col min="13075" max="13075" width="7.28515625" bestFit="1" customWidth="1"/>
    <col min="13317" max="13317" width="9" bestFit="1" customWidth="1"/>
    <col min="13318" max="13318" width="19" customWidth="1"/>
    <col min="13321" max="13321" width="7.85546875" bestFit="1" customWidth="1"/>
    <col min="13324" max="13324" width="8.7109375" bestFit="1" customWidth="1"/>
    <col min="13325" max="13325" width="8.5703125" bestFit="1" customWidth="1"/>
    <col min="13328" max="13328" width="13.140625" bestFit="1" customWidth="1"/>
    <col min="13329" max="13329" width="8.5703125" bestFit="1" customWidth="1"/>
    <col min="13330" max="13330" width="10.85546875" bestFit="1" customWidth="1"/>
    <col min="13331" max="13331" width="7.28515625" bestFit="1" customWidth="1"/>
    <col min="13573" max="13573" width="9" bestFit="1" customWidth="1"/>
    <col min="13574" max="13574" width="19" customWidth="1"/>
    <col min="13577" max="13577" width="7.85546875" bestFit="1" customWidth="1"/>
    <col min="13580" max="13580" width="8.7109375" bestFit="1" customWidth="1"/>
    <col min="13581" max="13581" width="8.5703125" bestFit="1" customWidth="1"/>
    <col min="13584" max="13584" width="13.140625" bestFit="1" customWidth="1"/>
    <col min="13585" max="13585" width="8.5703125" bestFit="1" customWidth="1"/>
    <col min="13586" max="13586" width="10.85546875" bestFit="1" customWidth="1"/>
    <col min="13587" max="13587" width="7.28515625" bestFit="1" customWidth="1"/>
    <col min="13829" max="13829" width="9" bestFit="1" customWidth="1"/>
    <col min="13830" max="13830" width="19" customWidth="1"/>
    <col min="13833" max="13833" width="7.85546875" bestFit="1" customWidth="1"/>
    <col min="13836" max="13836" width="8.7109375" bestFit="1" customWidth="1"/>
    <col min="13837" max="13837" width="8.5703125" bestFit="1" customWidth="1"/>
    <col min="13840" max="13840" width="13.140625" bestFit="1" customWidth="1"/>
    <col min="13841" max="13841" width="8.5703125" bestFit="1" customWidth="1"/>
    <col min="13842" max="13842" width="10.85546875" bestFit="1" customWidth="1"/>
    <col min="13843" max="13843" width="7.28515625" bestFit="1" customWidth="1"/>
    <col min="14085" max="14085" width="9" bestFit="1" customWidth="1"/>
    <col min="14086" max="14086" width="19" customWidth="1"/>
    <col min="14089" max="14089" width="7.85546875" bestFit="1" customWidth="1"/>
    <col min="14092" max="14092" width="8.7109375" bestFit="1" customWidth="1"/>
    <col min="14093" max="14093" width="8.5703125" bestFit="1" customWidth="1"/>
    <col min="14096" max="14096" width="13.140625" bestFit="1" customWidth="1"/>
    <col min="14097" max="14097" width="8.5703125" bestFit="1" customWidth="1"/>
    <col min="14098" max="14098" width="10.85546875" bestFit="1" customWidth="1"/>
    <col min="14099" max="14099" width="7.28515625" bestFit="1" customWidth="1"/>
    <col min="14341" max="14341" width="9" bestFit="1" customWidth="1"/>
    <col min="14342" max="14342" width="19" customWidth="1"/>
    <col min="14345" max="14345" width="7.85546875" bestFit="1" customWidth="1"/>
    <col min="14348" max="14348" width="8.7109375" bestFit="1" customWidth="1"/>
    <col min="14349" max="14349" width="8.5703125" bestFit="1" customWidth="1"/>
    <col min="14352" max="14352" width="13.140625" bestFit="1" customWidth="1"/>
    <col min="14353" max="14353" width="8.5703125" bestFit="1" customWidth="1"/>
    <col min="14354" max="14354" width="10.85546875" bestFit="1" customWidth="1"/>
    <col min="14355" max="14355" width="7.28515625" bestFit="1" customWidth="1"/>
    <col min="14597" max="14597" width="9" bestFit="1" customWidth="1"/>
    <col min="14598" max="14598" width="19" customWidth="1"/>
    <col min="14601" max="14601" width="7.85546875" bestFit="1" customWidth="1"/>
    <col min="14604" max="14604" width="8.7109375" bestFit="1" customWidth="1"/>
    <col min="14605" max="14605" width="8.5703125" bestFit="1" customWidth="1"/>
    <col min="14608" max="14608" width="13.140625" bestFit="1" customWidth="1"/>
    <col min="14609" max="14609" width="8.5703125" bestFit="1" customWidth="1"/>
    <col min="14610" max="14610" width="10.85546875" bestFit="1" customWidth="1"/>
    <col min="14611" max="14611" width="7.28515625" bestFit="1" customWidth="1"/>
    <col min="14853" max="14853" width="9" bestFit="1" customWidth="1"/>
    <col min="14854" max="14854" width="19" customWidth="1"/>
    <col min="14857" max="14857" width="7.85546875" bestFit="1" customWidth="1"/>
    <col min="14860" max="14860" width="8.7109375" bestFit="1" customWidth="1"/>
    <col min="14861" max="14861" width="8.5703125" bestFit="1" customWidth="1"/>
    <col min="14864" max="14864" width="13.140625" bestFit="1" customWidth="1"/>
    <col min="14865" max="14865" width="8.5703125" bestFit="1" customWidth="1"/>
    <col min="14866" max="14866" width="10.85546875" bestFit="1" customWidth="1"/>
    <col min="14867" max="14867" width="7.28515625" bestFit="1" customWidth="1"/>
    <col min="15109" max="15109" width="9" bestFit="1" customWidth="1"/>
    <col min="15110" max="15110" width="19" customWidth="1"/>
    <col min="15113" max="15113" width="7.85546875" bestFit="1" customWidth="1"/>
    <col min="15116" max="15116" width="8.7109375" bestFit="1" customWidth="1"/>
    <col min="15117" max="15117" width="8.5703125" bestFit="1" customWidth="1"/>
    <col min="15120" max="15120" width="13.140625" bestFit="1" customWidth="1"/>
    <col min="15121" max="15121" width="8.5703125" bestFit="1" customWidth="1"/>
    <col min="15122" max="15122" width="10.85546875" bestFit="1" customWidth="1"/>
    <col min="15123" max="15123" width="7.28515625" bestFit="1" customWidth="1"/>
    <col min="15365" max="15365" width="9" bestFit="1" customWidth="1"/>
    <col min="15366" max="15366" width="19" customWidth="1"/>
    <col min="15369" max="15369" width="7.85546875" bestFit="1" customWidth="1"/>
    <col min="15372" max="15372" width="8.7109375" bestFit="1" customWidth="1"/>
    <col min="15373" max="15373" width="8.5703125" bestFit="1" customWidth="1"/>
    <col min="15376" max="15376" width="13.140625" bestFit="1" customWidth="1"/>
    <col min="15377" max="15377" width="8.5703125" bestFit="1" customWidth="1"/>
    <col min="15378" max="15378" width="10.85546875" bestFit="1" customWidth="1"/>
    <col min="15379" max="15379" width="7.28515625" bestFit="1" customWidth="1"/>
    <col min="15621" max="15621" width="9" bestFit="1" customWidth="1"/>
    <col min="15622" max="15622" width="19" customWidth="1"/>
    <col min="15625" max="15625" width="7.85546875" bestFit="1" customWidth="1"/>
    <col min="15628" max="15628" width="8.7109375" bestFit="1" customWidth="1"/>
    <col min="15629" max="15629" width="8.5703125" bestFit="1" customWidth="1"/>
    <col min="15632" max="15632" width="13.140625" bestFit="1" customWidth="1"/>
    <col min="15633" max="15633" width="8.5703125" bestFit="1" customWidth="1"/>
    <col min="15634" max="15634" width="10.85546875" bestFit="1" customWidth="1"/>
    <col min="15635" max="15635" width="7.28515625" bestFit="1" customWidth="1"/>
    <col min="15877" max="15877" width="9" bestFit="1" customWidth="1"/>
    <col min="15878" max="15878" width="19" customWidth="1"/>
    <col min="15881" max="15881" width="7.85546875" bestFit="1" customWidth="1"/>
    <col min="15884" max="15884" width="8.7109375" bestFit="1" customWidth="1"/>
    <col min="15885" max="15885" width="8.5703125" bestFit="1" customWidth="1"/>
    <col min="15888" max="15888" width="13.140625" bestFit="1" customWidth="1"/>
    <col min="15889" max="15889" width="8.5703125" bestFit="1" customWidth="1"/>
    <col min="15890" max="15890" width="10.85546875" bestFit="1" customWidth="1"/>
    <col min="15891" max="15891" width="7.28515625" bestFit="1" customWidth="1"/>
    <col min="16133" max="16133" width="9" bestFit="1" customWidth="1"/>
    <col min="16134" max="16134" width="19" customWidth="1"/>
    <col min="16137" max="16137" width="7.85546875" bestFit="1" customWidth="1"/>
    <col min="16140" max="16140" width="8.7109375" bestFit="1" customWidth="1"/>
    <col min="16141" max="16141" width="8.5703125" bestFit="1" customWidth="1"/>
    <col min="16144" max="16144" width="13.140625" bestFit="1" customWidth="1"/>
    <col min="16145" max="16145" width="8.5703125" bestFit="1" customWidth="1"/>
    <col min="16146" max="16146" width="10.85546875" bestFit="1" customWidth="1"/>
    <col min="16147" max="16147" width="7.28515625" bestFit="1" customWidth="1"/>
  </cols>
  <sheetData>
    <row r="1" spans="1:31" ht="28.5" x14ac:dyDescent="0.25">
      <c r="B1" s="967">
        <v>2024</v>
      </c>
      <c r="C1" s="968"/>
      <c r="D1" s="968"/>
      <c r="E1" s="969"/>
      <c r="F1" s="606"/>
      <c r="G1" s="606"/>
      <c r="H1" s="606"/>
      <c r="I1" s="606"/>
      <c r="J1" s="606"/>
      <c r="K1" s="606"/>
      <c r="L1" s="791" t="s">
        <v>77</v>
      </c>
      <c r="M1" s="791"/>
      <c r="N1" s="791" t="s">
        <v>87</v>
      </c>
      <c r="O1" s="791" t="s">
        <v>88</v>
      </c>
      <c r="P1" s="47"/>
      <c r="Q1" s="47"/>
      <c r="R1" s="47"/>
      <c r="U1" s="772"/>
      <c r="V1" s="786"/>
      <c r="AD1" s="329" t="s">
        <v>123</v>
      </c>
      <c r="AE1" s="110"/>
    </row>
    <row r="2" spans="1:31" ht="18.75" x14ac:dyDescent="0.25">
      <c r="A2" s="186" t="s">
        <v>541</v>
      </c>
      <c r="B2" s="773" t="s">
        <v>543</v>
      </c>
      <c r="C2" s="224" t="s">
        <v>139</v>
      </c>
      <c r="D2" s="789" t="s">
        <v>757</v>
      </c>
      <c r="E2" s="47"/>
      <c r="F2" s="47"/>
      <c r="G2" s="47"/>
      <c r="H2" s="470"/>
      <c r="I2" s="195"/>
      <c r="J2" s="72"/>
      <c r="K2" s="72"/>
      <c r="L2" s="73"/>
      <c r="M2" s="963" t="s">
        <v>113</v>
      </c>
      <c r="O2" s="965" t="s">
        <v>0</v>
      </c>
      <c r="P2" s="774"/>
      <c r="Q2" s="908" t="s">
        <v>67</v>
      </c>
      <c r="R2" s="908" t="s">
        <v>759</v>
      </c>
      <c r="S2" s="908" t="s">
        <v>98</v>
      </c>
      <c r="T2" s="908" t="s">
        <v>183</v>
      </c>
      <c r="V2"/>
      <c r="AB2" s="775" t="s">
        <v>488</v>
      </c>
      <c r="AC2" s="901" t="s">
        <v>489</v>
      </c>
    </row>
    <row r="3" spans="1:31" ht="18.75" x14ac:dyDescent="0.25">
      <c r="A3" s="491" t="s">
        <v>543</v>
      </c>
      <c r="B3" s="759" t="s">
        <v>135</v>
      </c>
      <c r="C3" s="70" t="s">
        <v>758</v>
      </c>
      <c r="D3" s="69" t="s">
        <v>756</v>
      </c>
      <c r="E3" s="70" t="s">
        <v>62</v>
      </c>
      <c r="F3" t="s">
        <v>754</v>
      </c>
      <c r="H3" s="12" t="s">
        <v>359</v>
      </c>
      <c r="I3" s="52"/>
      <c r="J3" s="74" t="s">
        <v>2</v>
      </c>
      <c r="K3" s="115" t="s">
        <v>89</v>
      </c>
      <c r="L3" s="128" t="s">
        <v>90</v>
      </c>
      <c r="M3" s="964"/>
      <c r="O3" s="966"/>
      <c r="P3" s="776"/>
      <c r="Q3" s="909"/>
      <c r="R3" s="909" t="s">
        <v>755</v>
      </c>
      <c r="S3" s="909" t="s">
        <v>98</v>
      </c>
      <c r="T3" s="909" t="s">
        <v>183</v>
      </c>
      <c r="V3"/>
      <c r="AB3" s="731" t="s">
        <v>490</v>
      </c>
      <c r="AC3" s="902"/>
    </row>
    <row r="4" spans="1:31" ht="15.75" x14ac:dyDescent="0.25">
      <c r="A4" s="760">
        <f>+B4*E4</f>
        <v>9.130630898695318E-5</v>
      </c>
      <c r="B4" s="761">
        <f>_xll.BDP(H4&amp;" EQUITY",$B$3)*0.01</f>
        <v>3.818615903528133E-3</v>
      </c>
      <c r="C4" s="225">
        <f>_xll.BDP(H4&amp;" EQUITY",$C$2)/1000000000</f>
        <v>11.225609903249998</v>
      </c>
      <c r="D4" s="25">
        <v>2.7000000000000001E-3</v>
      </c>
      <c r="E4" s="25">
        <f t="shared" ref="E4:E35" si="0">+O4/$O$105</f>
        <v>2.3910838715826999E-2</v>
      </c>
      <c r="F4" s="783" t="s">
        <v>596</v>
      </c>
      <c r="G4" s="788">
        <v>3</v>
      </c>
      <c r="H4" s="3" t="s">
        <v>597</v>
      </c>
      <c r="I4" s="854">
        <v>7023</v>
      </c>
      <c r="J4" s="9">
        <f>_xll.BDP(H4&amp;" EQUITY",$L$1)</f>
        <v>314.25</v>
      </c>
      <c r="K4" s="111">
        <f>_xll.BDP(H4&amp;" EQUITY",$N$1)</f>
        <v>-3.85</v>
      </c>
      <c r="L4" s="129">
        <f>_xll.BDP(H4&amp;" EQUITY",$O$1)*0.01</f>
        <v>-1.210311E-2</v>
      </c>
      <c r="M4" s="764">
        <f t="shared" ref="M4:M37" si="1">+K4*I4</f>
        <v>-27038.55</v>
      </c>
      <c r="N4" s="132"/>
      <c r="O4" s="853">
        <f>+J4*I4</f>
        <v>2206977.75</v>
      </c>
      <c r="P4" s="777"/>
      <c r="Q4" s="779">
        <f>_xll.BDP(H4&amp;" EQUITY",$AD$1)</f>
        <v>25.855360367755708</v>
      </c>
      <c r="R4" s="332">
        <v>205.67</v>
      </c>
      <c r="S4" s="8">
        <f t="shared" ref="S4:S35" si="2">+J4/R4-1</f>
        <v>0.52793309670831934</v>
      </c>
      <c r="T4" s="792" t="s">
        <v>275</v>
      </c>
      <c r="V4"/>
      <c r="AB4" s="2"/>
      <c r="AC4" s="28"/>
    </row>
    <row r="5" spans="1:31" ht="15.75" x14ac:dyDescent="0.25">
      <c r="A5" s="760"/>
      <c r="B5" s="761"/>
      <c r="C5" s="225">
        <f>_xll.BDP(H5&amp;" EQUITY",$C$2)/1000000000</f>
        <v>11.559810882000003</v>
      </c>
      <c r="D5" s="780">
        <v>3.5000000000000001E-3</v>
      </c>
      <c r="E5" s="25">
        <f t="shared" si="0"/>
        <v>2.0013415052133027E-2</v>
      </c>
      <c r="F5" s="783" t="s">
        <v>614</v>
      </c>
      <c r="G5" s="788">
        <v>2</v>
      </c>
      <c r="H5" s="3" t="s">
        <v>615</v>
      </c>
      <c r="I5" s="854">
        <v>8939</v>
      </c>
      <c r="J5" s="9">
        <f>_xll.BDP(H5&amp;" EQUITY",$L$1)</f>
        <v>206.65</v>
      </c>
      <c r="K5" s="112">
        <f>_xll.BDP(H5&amp;" EQUITY",$N$1)</f>
        <v>2.46</v>
      </c>
      <c r="L5" s="127">
        <f>_xll.BDP(H5&amp;" EQUITY",$O$1)*0.01</f>
        <v>1.20476E-2</v>
      </c>
      <c r="M5" s="764">
        <f t="shared" si="1"/>
        <v>21989.94</v>
      </c>
      <c r="N5" s="132"/>
      <c r="O5" s="778">
        <f t="shared" ref="O5:O35" si="3">+J5*I5</f>
        <v>1847244.35</v>
      </c>
      <c r="P5" s="777"/>
      <c r="Q5" s="779">
        <f>_xll.BDP(H5&amp;" EQUITY",$AD$1)</f>
        <v>60.216488730723611</v>
      </c>
      <c r="R5" s="332">
        <v>144.34</v>
      </c>
      <c r="S5" s="8">
        <f t="shared" si="2"/>
        <v>0.43168906747956215</v>
      </c>
      <c r="T5" s="787" t="s">
        <v>302</v>
      </c>
      <c r="V5"/>
      <c r="AB5" s="732">
        <f t="shared" ref="AB5:AB36" si="4">+D5*$O$105</f>
        <v>323051.07390010002</v>
      </c>
      <c r="AC5" s="733">
        <f>+O5-AB5</f>
        <v>1524193.2760999</v>
      </c>
    </row>
    <row r="6" spans="1:31" ht="15.75" x14ac:dyDescent="0.25">
      <c r="B6" s="761"/>
      <c r="C6" s="225">
        <f>_xll.BDP(H6&amp;" EQUITY",$C$2)/1000000000</f>
        <v>12.313451695440001</v>
      </c>
      <c r="E6" s="25">
        <f t="shared" si="0"/>
        <v>1.6121339257985322E-2</v>
      </c>
      <c r="F6" s="783" t="s">
        <v>708</v>
      </c>
      <c r="G6" s="788">
        <v>4</v>
      </c>
      <c r="H6" s="3" t="s">
        <v>709</v>
      </c>
      <c r="I6" s="854">
        <v>3213</v>
      </c>
      <c r="J6" s="9">
        <f>_xll.BDP(H6&amp;" EQUITY",$L$1)</f>
        <v>463.12</v>
      </c>
      <c r="K6" s="112">
        <f>_xll.BDP(H6&amp;" EQUITY",$N$1)</f>
        <v>-3.93</v>
      </c>
      <c r="L6" s="127">
        <f>_xll.BDP(H6&amp;" EQUITY",$O$1)*0.01</f>
        <v>-8.4145169999999998E-3</v>
      </c>
      <c r="M6" s="764">
        <f t="shared" si="1"/>
        <v>-12627.09</v>
      </c>
      <c r="N6" s="132"/>
      <c r="O6" s="778">
        <f t="shared" si="3"/>
        <v>1488004.56</v>
      </c>
      <c r="P6" s="778"/>
      <c r="Q6" s="779">
        <f>_xll.BDP(H6&amp;" EQUITY",$AD$1)</f>
        <v>30.281685532945104</v>
      </c>
      <c r="R6" s="332">
        <v>438.22</v>
      </c>
      <c r="S6" s="8">
        <f t="shared" si="2"/>
        <v>5.6820774953219688E-2</v>
      </c>
      <c r="T6" s="787" t="s">
        <v>275</v>
      </c>
      <c r="V6"/>
      <c r="AB6" s="732">
        <f t="shared" si="4"/>
        <v>0</v>
      </c>
      <c r="AC6" s="733">
        <f>+O6-AB6</f>
        <v>1488004.56</v>
      </c>
    </row>
    <row r="7" spans="1:31" ht="15.75" x14ac:dyDescent="0.25">
      <c r="B7" s="761"/>
      <c r="C7" s="225">
        <f>_xll.BDP(H7&amp;" EQUITY",$C$2)/1000000000</f>
        <v>12.582051598249901</v>
      </c>
      <c r="E7" s="25">
        <f t="shared" si="0"/>
        <v>2.6776339467532481E-2</v>
      </c>
      <c r="F7" s="783" t="s">
        <v>670</v>
      </c>
      <c r="G7" s="788">
        <v>6</v>
      </c>
      <c r="H7" s="3" t="s">
        <v>671</v>
      </c>
      <c r="I7" s="854">
        <v>6086</v>
      </c>
      <c r="J7" s="9">
        <f>_xll.BDP(H7&amp;" EQUITY",$L$1)</f>
        <v>406.09010000000001</v>
      </c>
      <c r="K7" s="112">
        <f>_xll.BDP(H7&amp;" EQUITY",$N$1)</f>
        <v>-1.9899</v>
      </c>
      <c r="L7" s="127">
        <f>_xll.BDP(H7&amp;" EQUITY",$O$1)*0.01</f>
        <v>-4.8762499999999995E-3</v>
      </c>
      <c r="M7" s="161">
        <f t="shared" si="1"/>
        <v>-12110.5314</v>
      </c>
      <c r="O7" s="778">
        <f t="shared" si="3"/>
        <v>2471464.3486000001</v>
      </c>
      <c r="P7" s="778"/>
      <c r="Q7" s="779">
        <f>_xll.BDP(H7&amp;" EQUITY",$AD$1)</f>
        <v>36.153089366215859</v>
      </c>
      <c r="R7" s="332">
        <v>306.52999999999997</v>
      </c>
      <c r="S7" s="8">
        <f t="shared" si="2"/>
        <v>0.32479724659902787</v>
      </c>
      <c r="T7" s="787" t="s">
        <v>258</v>
      </c>
      <c r="V7"/>
      <c r="AB7" s="732">
        <f t="shared" si="4"/>
        <v>0</v>
      </c>
      <c r="AC7" s="28"/>
    </row>
    <row r="8" spans="1:31" ht="15.75" x14ac:dyDescent="0.25">
      <c r="A8" s="760">
        <f>+B8*E8</f>
        <v>3.6305535489092658E-4</v>
      </c>
      <c r="B8" s="761">
        <f>_xll.BDP(H8&amp;" EQUITY",$B$3)*0.01</f>
        <v>1.677077126847756E-2</v>
      </c>
      <c r="C8" s="225">
        <f>_xll.BDP(H8&amp;" EQUITY",$C$2)/1000000000</f>
        <v>6.3334990959500006</v>
      </c>
      <c r="E8" s="25">
        <f t="shared" si="0"/>
        <v>2.1648101275659727E-2</v>
      </c>
      <c r="F8" s="783" t="s">
        <v>646</v>
      </c>
      <c r="G8" s="788">
        <v>1</v>
      </c>
      <c r="H8" s="3" t="s">
        <v>647</v>
      </c>
      <c r="I8" s="854">
        <v>17097</v>
      </c>
      <c r="J8" s="9">
        <f>_xll.BDP(H8&amp;" EQUITY",$L$1)</f>
        <v>116.87</v>
      </c>
      <c r="K8" s="112">
        <f>_xll.BDP(H8&amp;" EQUITY",$N$1)</f>
        <v>0.01</v>
      </c>
      <c r="L8" s="127">
        <f>_xll.BDP(H8&amp;" EQUITY",$O$1)*0.01</f>
        <v>8.5572480000000006E-5</v>
      </c>
      <c r="M8" s="161">
        <f t="shared" si="1"/>
        <v>170.97</v>
      </c>
      <c r="O8" s="778">
        <f t="shared" si="3"/>
        <v>1998126.3900000001</v>
      </c>
      <c r="P8" s="778"/>
      <c r="Q8" s="779">
        <f>_xll.BDP(H8&amp;" EQUITY",$AD$1)</f>
        <v>25.896414342629484</v>
      </c>
      <c r="R8" s="332">
        <v>113.44</v>
      </c>
      <c r="S8" s="8">
        <f t="shared" si="2"/>
        <v>3.0236248236953589E-2</v>
      </c>
      <c r="T8" s="787" t="s">
        <v>331</v>
      </c>
      <c r="V8"/>
      <c r="AB8" s="732">
        <f t="shared" si="4"/>
        <v>0</v>
      </c>
      <c r="AC8" s="733">
        <f>+O8-AB8</f>
        <v>1998126.3900000001</v>
      </c>
    </row>
    <row r="9" spans="1:31" ht="15.75" x14ac:dyDescent="0.25">
      <c r="A9" s="760"/>
      <c r="B9" s="761"/>
      <c r="C9" s="225">
        <f>_xll.BDP(H9&amp;" EQUITY",$C$2)/1000000000</f>
        <v>12.33010869764</v>
      </c>
      <c r="D9" s="25">
        <v>1.5E-3</v>
      </c>
      <c r="E9" s="25">
        <f t="shared" si="0"/>
        <v>2.679656953462714E-2</v>
      </c>
      <c r="F9" s="783" t="s">
        <v>592</v>
      </c>
      <c r="G9" s="788">
        <v>5</v>
      </c>
      <c r="H9" s="3" t="s">
        <v>593</v>
      </c>
      <c r="I9" s="854">
        <v>10819</v>
      </c>
      <c r="J9" s="9">
        <f>_xll.BDP(H9&amp;" EQUITY",$L$1)</f>
        <v>228.61</v>
      </c>
      <c r="K9" s="112">
        <f>_xll.BDP(H9&amp;" EQUITY",$N$1)</f>
        <v>0.62</v>
      </c>
      <c r="L9" s="127">
        <f>_xll.BDP(H9&amp;" EQUITY",$O$1)*0.01</f>
        <v>2.7194180000000004E-3</v>
      </c>
      <c r="M9" s="161">
        <f t="shared" si="1"/>
        <v>6707.78</v>
      </c>
      <c r="O9" s="778">
        <f t="shared" si="3"/>
        <v>2473331.5900000003</v>
      </c>
      <c r="P9" s="778"/>
      <c r="Q9" s="779">
        <f>_xll.BDP(H9&amp;" EQUITY",$AD$1)</f>
        <v>30.41239856325662</v>
      </c>
      <c r="R9" s="332">
        <v>174.51</v>
      </c>
      <c r="S9" s="8">
        <f t="shared" si="2"/>
        <v>0.31001088762821638</v>
      </c>
      <c r="T9" s="787" t="s">
        <v>275</v>
      </c>
      <c r="V9"/>
      <c r="AB9" s="732">
        <f t="shared" si="4"/>
        <v>138450.46024290001</v>
      </c>
      <c r="AC9" s="28"/>
    </row>
    <row r="10" spans="1:31" ht="15.75" x14ac:dyDescent="0.25">
      <c r="A10" s="760">
        <f>+B10*E10</f>
        <v>4.6164093309289535E-5</v>
      </c>
      <c r="B10" s="761">
        <f>_xll.BDP(H10&amp;" EQUITY",$B$3)*0.01</f>
        <v>2.1109445162977593E-3</v>
      </c>
      <c r="C10" s="225">
        <f>_xll.BDP(H10&amp;" EQUITY",$C$2)/1000000000</f>
        <v>12.24360957875</v>
      </c>
      <c r="E10" s="25">
        <f t="shared" si="0"/>
        <v>2.1868927843851419E-2</v>
      </c>
      <c r="F10" s="783" t="s">
        <v>748</v>
      </c>
      <c r="G10" s="788">
        <v>10</v>
      </c>
      <c r="H10" s="824" t="s">
        <v>749</v>
      </c>
      <c r="I10" s="854">
        <v>4842</v>
      </c>
      <c r="J10" s="9">
        <f>_xll.BDP(H10&amp;" EQUITY",$L$1)</f>
        <v>416.875</v>
      </c>
      <c r="K10" s="112">
        <f>_xll.BDP(H10&amp;" EQUITY",$N$1)</f>
        <v>5.8449999999999998</v>
      </c>
      <c r="L10" s="127">
        <f>_xll.BDP(H10&amp;" EQUITY",$O$1)*0.01</f>
        <v>1.422037E-2</v>
      </c>
      <c r="M10" s="161">
        <f t="shared" si="1"/>
        <v>28301.489999999998</v>
      </c>
      <c r="O10" s="778">
        <f t="shared" si="3"/>
        <v>2018508.75</v>
      </c>
      <c r="P10" s="778"/>
      <c r="Q10" s="779">
        <f>_xll.BDP(H10&amp;" EQUITY",$AD$1)</f>
        <v>120.81151832460733</v>
      </c>
      <c r="R10" s="332">
        <v>256.58</v>
      </c>
      <c r="S10" s="8">
        <f t="shared" si="2"/>
        <v>0.62473692415620863</v>
      </c>
      <c r="T10" s="787" t="s">
        <v>276</v>
      </c>
      <c r="V10"/>
      <c r="AB10" s="732">
        <f t="shared" si="4"/>
        <v>0</v>
      </c>
      <c r="AC10" s="28"/>
    </row>
    <row r="11" spans="1:31" ht="15.75" x14ac:dyDescent="0.25">
      <c r="A11" s="760"/>
      <c r="B11" s="761"/>
      <c r="C11" s="225">
        <f>_xll.BDP(H11&amp;" EQUITY",$C$2)/1000000000</f>
        <v>8.9530141391600022</v>
      </c>
      <c r="D11" s="85">
        <v>1.0000000000000001E-5</v>
      </c>
      <c r="E11" s="25">
        <f t="shared" si="0"/>
        <v>1.8973660653719009E-2</v>
      </c>
      <c r="F11" s="783" t="s">
        <v>608</v>
      </c>
      <c r="G11" s="788">
        <v>8</v>
      </c>
      <c r="H11" s="3" t="s">
        <v>609</v>
      </c>
      <c r="I11" s="854">
        <v>8435</v>
      </c>
      <c r="J11" s="9">
        <f>_xll.BDP(H11&amp;" EQUITY",$L$1)</f>
        <v>207.62</v>
      </c>
      <c r="K11" s="112">
        <f>_xll.BDP(H11&amp;" EQUITY",$N$1)</f>
        <v>2.33</v>
      </c>
      <c r="L11" s="127">
        <f>_xll.BDP(H11&amp;" EQUITY",$O$1)*0.01</f>
        <v>1.1349800000000002E-2</v>
      </c>
      <c r="M11" s="161">
        <f t="shared" si="1"/>
        <v>19653.55</v>
      </c>
      <c r="O11" s="778">
        <f t="shared" si="3"/>
        <v>1751274.7</v>
      </c>
      <c r="P11" s="778"/>
      <c r="Q11" s="779">
        <f>_xll.BDP(H11&amp;" EQUITY",$AD$1)</f>
        <v>117.81531531531532</v>
      </c>
      <c r="R11" s="332">
        <v>226.85</v>
      </c>
      <c r="S11" s="8">
        <f t="shared" si="2"/>
        <v>-8.4769671589155826E-2</v>
      </c>
      <c r="T11" s="787" t="s">
        <v>276</v>
      </c>
      <c r="V11"/>
      <c r="AB11" s="732">
        <f t="shared" si="4"/>
        <v>923.00306828600014</v>
      </c>
      <c r="AC11" s="733">
        <f>+O11-AB11</f>
        <v>1750351.696931714</v>
      </c>
    </row>
    <row r="12" spans="1:31" ht="15.75" x14ac:dyDescent="0.25">
      <c r="A12" s="760">
        <f>+B12*E12</f>
        <v>5.0327025061747966E-5</v>
      </c>
      <c r="B12" s="761">
        <f>_xll.BDP(H12&amp;" EQUITY",$B$3)*0.01</f>
        <v>3.051881898611962E-3</v>
      </c>
      <c r="C12" s="225">
        <f>_xll.BDP(H12&amp;" EQUITY",$C$2)/1000000000</f>
        <v>10.54135868436</v>
      </c>
      <c r="D12" s="85">
        <v>4.0000000000000002E-4</v>
      </c>
      <c r="E12" s="25">
        <f t="shared" si="0"/>
        <v>1.6490489060090232E-2</v>
      </c>
      <c r="F12" s="783" t="s">
        <v>600</v>
      </c>
      <c r="G12" s="788">
        <v>9</v>
      </c>
      <c r="H12" s="3" t="s">
        <v>601</v>
      </c>
      <c r="I12" s="854">
        <v>5530</v>
      </c>
      <c r="J12" s="9">
        <f>_xll.BDP(H12&amp;" EQUITY",$L$1)</f>
        <v>275.24</v>
      </c>
      <c r="K12" s="112">
        <f>_xll.BDP(H12&amp;" EQUITY",$N$1)</f>
        <v>-0.15</v>
      </c>
      <c r="L12" s="127">
        <f>_xll.BDP(H12&amp;" EQUITY",$O$1)*0.01</f>
        <v>-5.4468210000000003E-4</v>
      </c>
      <c r="M12" s="161">
        <f t="shared" si="1"/>
        <v>-829.5</v>
      </c>
      <c r="O12" s="778">
        <f t="shared" si="3"/>
        <v>1522077.2</v>
      </c>
      <c r="P12" s="778"/>
      <c r="Q12" s="779">
        <f>_xll.BDP(H12&amp;" EQUITY",$AD$1)</f>
        <v>26.681488641855967</v>
      </c>
      <c r="R12" s="332">
        <v>222.79</v>
      </c>
      <c r="S12" s="8">
        <f t="shared" si="2"/>
        <v>0.23542349297544773</v>
      </c>
      <c r="T12" s="787" t="s">
        <v>275</v>
      </c>
      <c r="V12"/>
      <c r="AB12" s="732">
        <f t="shared" si="4"/>
        <v>36920.122731440002</v>
      </c>
      <c r="AC12" s="733">
        <f>+O12-AB12</f>
        <v>1485157.07726856</v>
      </c>
    </row>
    <row r="13" spans="1:31" ht="15.75" x14ac:dyDescent="0.25">
      <c r="A13" s="760">
        <f>+B13*E13</f>
        <v>1.0771362237746076E-5</v>
      </c>
      <c r="B13" s="761">
        <f>_xll.BDP(H13&amp;" EQUITY",$B$3)*0.01</f>
        <v>1.5323127037448646E-3</v>
      </c>
      <c r="C13" s="225">
        <f>_xll.BDP(H13&amp;" EQUITY",$C$2)/1000000000</f>
        <v>9.1142310057350002</v>
      </c>
      <c r="E13" s="25">
        <f t="shared" si="0"/>
        <v>7.029480478378613E-3</v>
      </c>
      <c r="F13" s="783" t="s">
        <v>660</v>
      </c>
      <c r="G13" s="788">
        <v>14</v>
      </c>
      <c r="H13" s="3" t="s">
        <v>661</v>
      </c>
      <c r="I13" s="854">
        <v>1657</v>
      </c>
      <c r="J13" s="9">
        <f>_xll.BDP(H13&amp;" EQUITY",$L$1)</f>
        <v>391.565</v>
      </c>
      <c r="K13" s="112">
        <f>_xll.BDP(H13&amp;" EQUITY",$N$1)</f>
        <v>0.98499999999999999</v>
      </c>
      <c r="L13" s="127">
        <f>_xll.BDP(H13&amp;" EQUITY",$O$1)*0.01</f>
        <v>2.5218910000000001E-3</v>
      </c>
      <c r="M13" s="161">
        <f t="shared" si="1"/>
        <v>1632.145</v>
      </c>
      <c r="O13" s="778">
        <f t="shared" si="3"/>
        <v>648823.20499999996</v>
      </c>
      <c r="P13" s="778"/>
      <c r="Q13" s="779">
        <f>_xll.BDP(H13&amp;" EQUITY",$AD$1)</f>
        <v>26.557642924719556</v>
      </c>
      <c r="R13" s="332">
        <v>334.91</v>
      </c>
      <c r="S13" s="8">
        <f t="shared" si="2"/>
        <v>0.16916485025827832</v>
      </c>
      <c r="T13" s="787" t="s">
        <v>331</v>
      </c>
      <c r="V13"/>
      <c r="AB13" s="732">
        <f t="shared" si="4"/>
        <v>0</v>
      </c>
      <c r="AC13" s="28"/>
    </row>
    <row r="14" spans="1:31" ht="15.75" x14ac:dyDescent="0.25">
      <c r="A14" s="760"/>
      <c r="B14" s="761"/>
      <c r="C14" s="225">
        <f>_xll.BDP(H14&amp;" EQUITY",$C$2)/1000000000</f>
        <v>11.133193168240002</v>
      </c>
      <c r="D14" s="85">
        <v>3.3E-3</v>
      </c>
      <c r="E14" s="25">
        <f t="shared" si="0"/>
        <v>1.9210831912972254E-2</v>
      </c>
      <c r="F14" s="783" t="s">
        <v>602</v>
      </c>
      <c r="G14" s="788">
        <v>11</v>
      </c>
      <c r="H14" s="824" t="s">
        <v>603</v>
      </c>
      <c r="I14" s="854">
        <v>6739</v>
      </c>
      <c r="J14" s="9">
        <f>_xll.BDP(H14&amp;" EQUITY",$L$1)</f>
        <v>263.12</v>
      </c>
      <c r="K14" s="112">
        <f>_xll.BDP(H14&amp;" EQUITY",$N$1)</f>
        <v>1.78</v>
      </c>
      <c r="L14" s="127">
        <f>_xll.BDP(H14&amp;" EQUITY",$O$1)*0.01</f>
        <v>6.8110510000000003E-3</v>
      </c>
      <c r="M14" s="161">
        <f t="shared" si="1"/>
        <v>11995.42</v>
      </c>
      <c r="O14" s="778">
        <f t="shared" si="3"/>
        <v>1773165.68</v>
      </c>
      <c r="P14" s="778"/>
      <c r="Q14" s="779">
        <f>_xll.BDP(H14&amp;" EQUITY",$AD$1)</f>
        <v>128.41937069813173</v>
      </c>
      <c r="R14" s="332">
        <v>219.05</v>
      </c>
      <c r="S14" s="8">
        <f t="shared" si="2"/>
        <v>0.20118694362017808</v>
      </c>
      <c r="T14" s="787" t="s">
        <v>300</v>
      </c>
      <c r="V14"/>
      <c r="AB14" s="732">
        <f t="shared" si="4"/>
        <v>304591.01253438002</v>
      </c>
      <c r="AC14" s="733">
        <f>+O14-AB14</f>
        <v>1468574.66746562</v>
      </c>
    </row>
    <row r="15" spans="1:31" ht="15.75" x14ac:dyDescent="0.25">
      <c r="A15" s="760">
        <f>+B15*E15</f>
        <v>3.0866203378318981E-4</v>
      </c>
      <c r="B15" s="761">
        <f>_xll.BDP(H15&amp;" EQUITY",$B$3)*0.01</f>
        <v>1.6384209962028138E-2</v>
      </c>
      <c r="C15" s="225">
        <f>_xll.BDP(H15&amp;" EQUITY",$C$2)/1000000000</f>
        <v>7.52267577883</v>
      </c>
      <c r="D15" s="85">
        <v>1.0000000000000001E-5</v>
      </c>
      <c r="E15" s="25">
        <f t="shared" si="0"/>
        <v>1.8838994037462989E-2</v>
      </c>
      <c r="F15" s="783" t="s">
        <v>626</v>
      </c>
      <c r="G15" s="788">
        <v>12</v>
      </c>
      <c r="H15" s="3" t="s">
        <v>627</v>
      </c>
      <c r="I15" s="854">
        <v>8903</v>
      </c>
      <c r="J15" s="9">
        <f>_xll.BDP(H15&amp;" EQUITY",$L$1)</f>
        <v>195.31</v>
      </c>
      <c r="K15" s="112">
        <f>_xll.BDP(H15&amp;" EQUITY",$N$1)</f>
        <v>-1.48</v>
      </c>
      <c r="L15" s="127">
        <f>_xll.BDP(H15&amp;" EQUITY",$O$1)*0.01</f>
        <v>-7.5207069999999997E-3</v>
      </c>
      <c r="M15" s="161">
        <f t="shared" si="1"/>
        <v>-13176.44</v>
      </c>
      <c r="O15" s="778">
        <f t="shared" si="3"/>
        <v>1738844.93</v>
      </c>
      <c r="P15" s="778"/>
      <c r="Q15" s="779">
        <f>_xll.BDP(H15&amp;" EQUITY",$AD$1)</f>
        <v>19.272843012437566</v>
      </c>
      <c r="R15" s="332">
        <v>171.05</v>
      </c>
      <c r="S15" s="8">
        <f t="shared" si="2"/>
        <v>0.14182987430575844</v>
      </c>
      <c r="T15" s="787" t="s">
        <v>331</v>
      </c>
      <c r="V15"/>
      <c r="AB15" s="732">
        <f t="shared" si="4"/>
        <v>923.00306828600014</v>
      </c>
      <c r="AC15" s="733">
        <f>+O15-AB15</f>
        <v>1737921.9269317139</v>
      </c>
    </row>
    <row r="16" spans="1:31" ht="15.75" x14ac:dyDescent="0.25">
      <c r="B16" s="761"/>
      <c r="C16" s="225">
        <f>_xll.BDP(H16&amp;" EQUITY",$C$2)/1000000000</f>
        <v>12.122228951909999</v>
      </c>
      <c r="E16" s="25">
        <f t="shared" si="0"/>
        <v>1.2131374731823132E-2</v>
      </c>
      <c r="F16" s="783" t="s">
        <v>734</v>
      </c>
      <c r="G16" s="788">
        <v>18</v>
      </c>
      <c r="H16" s="3" t="s">
        <v>735</v>
      </c>
      <c r="I16" s="854">
        <v>2939</v>
      </c>
      <c r="J16" s="9">
        <f>_xll.BDP(H16&amp;" EQUITY",$L$1)</f>
        <v>380.99</v>
      </c>
      <c r="K16" s="112">
        <f>_xll.BDP(H16&amp;" EQUITY",$N$1)</f>
        <v>-10.5</v>
      </c>
      <c r="L16" s="127">
        <f>_xll.BDP(H16&amp;" EQUITY",$O$1)*0.01</f>
        <v>-2.6820610000000002E-2</v>
      </c>
      <c r="M16" s="161">
        <f t="shared" si="1"/>
        <v>-30859.5</v>
      </c>
      <c r="O16" s="778">
        <f t="shared" si="3"/>
        <v>1119729.6100000001</v>
      </c>
      <c r="P16" s="778"/>
      <c r="Q16" s="779">
        <f>_xll.BDP(H16&amp;" EQUITY",$AD$1)</f>
        <v>17.518607001745842</v>
      </c>
      <c r="R16" s="332">
        <v>374.26</v>
      </c>
      <c r="S16" s="8">
        <f t="shared" si="2"/>
        <v>1.7982151445519179E-2</v>
      </c>
      <c r="T16" s="787" t="s">
        <v>276</v>
      </c>
      <c r="V16"/>
      <c r="AB16" s="732">
        <f t="shared" si="4"/>
        <v>0</v>
      </c>
      <c r="AC16" s="733">
        <f>+O16-AB16</f>
        <v>1119729.6100000001</v>
      </c>
    </row>
    <row r="17" spans="1:29" ht="15.75" x14ac:dyDescent="0.25">
      <c r="A17" s="760">
        <f>+B17*E17</f>
        <v>4.7042097141269693E-5</v>
      </c>
      <c r="B17" s="761">
        <f>_xll.BDP(H17&amp;" EQUITY",$B$3)*0.01</f>
        <v>2.6576660376857048E-3</v>
      </c>
      <c r="C17" s="225">
        <f>_xll.BDP(H17&amp;" EQUITY",$C$2)/1000000000</f>
        <v>17.683275601070001</v>
      </c>
      <c r="D17" s="85">
        <v>2.3999999999999998E-3</v>
      </c>
      <c r="E17" s="25">
        <f t="shared" si="0"/>
        <v>1.7700529891345546E-2</v>
      </c>
      <c r="F17" s="783" t="s">
        <v>616</v>
      </c>
      <c r="G17" s="788">
        <v>35</v>
      </c>
      <c r="H17" s="3" t="s">
        <v>617</v>
      </c>
      <c r="I17" s="854">
        <v>4342</v>
      </c>
      <c r="J17" s="9">
        <f>_xll.BDP(H17&amp;" EQUITY",$L$1)</f>
        <v>376.27</v>
      </c>
      <c r="K17" s="112">
        <f>_xll.BDP(H17&amp;" EQUITY",$N$1)</f>
        <v>-4.51</v>
      </c>
      <c r="L17" s="127">
        <f>_xll.BDP(H17&amp;" EQUITY",$O$1)*0.01</f>
        <v>-1.1844110000000001E-2</v>
      </c>
      <c r="M17" s="161">
        <f t="shared" si="1"/>
        <v>-19582.419999999998</v>
      </c>
      <c r="O17" s="778">
        <f t="shared" si="3"/>
        <v>1633764.3399999999</v>
      </c>
      <c r="P17" s="778"/>
      <c r="Q17" s="779">
        <f>_xll.BDP(H17&amp;" EQUITY",$AD$1)</f>
        <v>23.342798988466043</v>
      </c>
      <c r="R17" s="332">
        <v>215.43</v>
      </c>
      <c r="S17" s="8">
        <f t="shared" si="2"/>
        <v>0.74659982360859667</v>
      </c>
      <c r="T17" s="787" t="s">
        <v>275</v>
      </c>
      <c r="V17"/>
      <c r="AB17" s="732">
        <f t="shared" si="4"/>
        <v>221520.73638863998</v>
      </c>
      <c r="AC17" s="28"/>
    </row>
    <row r="18" spans="1:29" ht="15.75" x14ac:dyDescent="0.25">
      <c r="A18" s="760">
        <f>+B18*E18</f>
        <v>2.6401862396029509E-4</v>
      </c>
      <c r="B18" s="761">
        <f>_xll.BDP(H18&amp;" EQUITY",$B$3)*0.01</f>
        <v>1.926782273603083E-2</v>
      </c>
      <c r="C18" s="225">
        <f>_xll.BDP(H18&amp;" EQUITY",$C$2)/1000000000</f>
        <v>5.4804426243000002</v>
      </c>
      <c r="E18" s="25">
        <f t="shared" si="0"/>
        <v>1.3702566583539313E-2</v>
      </c>
      <c r="F18" s="783" t="s">
        <v>702</v>
      </c>
      <c r="G18" s="788">
        <v>16</v>
      </c>
      <c r="H18" s="3" t="s">
        <v>703</v>
      </c>
      <c r="I18" s="854">
        <v>24369</v>
      </c>
      <c r="J18" s="9">
        <f>_xll.BDP(H18&amp;" EQUITY",$L$1)</f>
        <v>51.9</v>
      </c>
      <c r="K18" s="112">
        <f>_xll.BDP(H18&amp;" EQUITY",$N$1)</f>
        <v>-0.54</v>
      </c>
      <c r="L18" s="127">
        <f>_xll.BDP(H18&amp;" EQUITY",$O$1)*0.01</f>
        <v>-1.0297480000000001E-2</v>
      </c>
      <c r="M18" s="161">
        <f t="shared" si="1"/>
        <v>-13159.26</v>
      </c>
      <c r="O18" s="778">
        <f t="shared" si="3"/>
        <v>1264751.0999999999</v>
      </c>
      <c r="P18" s="778"/>
      <c r="Q18" s="779">
        <f>_xll.BDP(H18&amp;" EQUITY",$AD$1)</f>
        <v>28.664101154480484</v>
      </c>
      <c r="R18" s="332">
        <v>53.33</v>
      </c>
      <c r="S18" s="8">
        <f t="shared" si="2"/>
        <v>-2.6814175885992886E-2</v>
      </c>
      <c r="T18" s="787" t="s">
        <v>276</v>
      </c>
      <c r="V18"/>
      <c r="AB18" s="732">
        <f t="shared" si="4"/>
        <v>0</v>
      </c>
      <c r="AC18" s="733">
        <f>+O18-AB18</f>
        <v>1264751.0999999999</v>
      </c>
    </row>
    <row r="19" spans="1:29" ht="15.75" x14ac:dyDescent="0.25">
      <c r="A19" s="760"/>
      <c r="B19" s="761"/>
      <c r="C19" s="225">
        <f>_xll.BDP(H19&amp;" EQUITY",$C$2)/1000000000</f>
        <v>13.148116302229999</v>
      </c>
      <c r="D19" s="25">
        <v>4.0000000000000002E-4</v>
      </c>
      <c r="E19" s="25">
        <f t="shared" si="0"/>
        <v>0</v>
      </c>
      <c r="F19" s="783" t="s">
        <v>590</v>
      </c>
      <c r="G19" s="788">
        <v>45</v>
      </c>
      <c r="H19" s="855" t="s">
        <v>591</v>
      </c>
      <c r="I19" s="101">
        <v>0</v>
      </c>
      <c r="J19" s="9">
        <f>_xll.BDP(H19&amp;" EQUITY",$L$1)</f>
        <v>56.41</v>
      </c>
      <c r="K19" s="112">
        <f>_xll.BDP(H19&amp;" EQUITY",$N$1)</f>
        <v>-3.36</v>
      </c>
      <c r="L19" s="127">
        <f>_xll.BDP(H19&amp;" EQUITY",$O$1)*0.01</f>
        <v>-5.621549E-2</v>
      </c>
      <c r="M19" s="161">
        <f t="shared" si="1"/>
        <v>0</v>
      </c>
      <c r="O19" s="778">
        <f t="shared" si="3"/>
        <v>0</v>
      </c>
      <c r="P19" s="778"/>
      <c r="Q19" s="779">
        <f>_xll.BDP(H19&amp;" EQUITY",$AD$1)</f>
        <v>51.998149861239597</v>
      </c>
      <c r="R19" s="332">
        <v>54.52</v>
      </c>
      <c r="S19" s="8">
        <f t="shared" si="2"/>
        <v>3.4666177549522947E-2</v>
      </c>
      <c r="T19" s="787" t="s">
        <v>302</v>
      </c>
      <c r="V19"/>
      <c r="AB19" s="732">
        <f t="shared" si="4"/>
        <v>36920.122731440002</v>
      </c>
      <c r="AC19" s="28"/>
    </row>
    <row r="20" spans="1:29" ht="15.75" x14ac:dyDescent="0.25">
      <c r="A20" s="760">
        <f>+B20*E20</f>
        <v>2.6180628595993223E-4</v>
      </c>
      <c r="B20" s="761">
        <f>_xll.BDP(H20&amp;" EQUITY",$B$3)*0.01</f>
        <v>2.5442350499406918E-2</v>
      </c>
      <c r="C20" s="225">
        <f>_xll.BDP(H20&amp;" EQUITY",$C$2)/1000000000</f>
        <v>1.5792601069549999</v>
      </c>
      <c r="E20" s="25">
        <f t="shared" si="0"/>
        <v>1.0290176843764303E-2</v>
      </c>
      <c r="F20" s="783" t="s">
        <v>640</v>
      </c>
      <c r="G20" s="788">
        <v>20</v>
      </c>
      <c r="H20" s="3" t="s">
        <v>641</v>
      </c>
      <c r="I20" s="854">
        <v>21968</v>
      </c>
      <c r="J20" s="9">
        <f>_xll.BDP(H20&amp;" EQUITY",$L$1)</f>
        <v>43.234999999999999</v>
      </c>
      <c r="K20" s="112">
        <f>_xll.BDP(H20&amp;" EQUITY",$N$1)</f>
        <v>-0.95499999999999996</v>
      </c>
      <c r="L20" s="127">
        <f>_xll.BDP(H20&amp;" EQUITY",$O$1)*0.01</f>
        <v>-2.1611220000000004E-2</v>
      </c>
      <c r="M20" s="161">
        <f t="shared" si="1"/>
        <v>-20979.439999999999</v>
      </c>
      <c r="O20" s="778">
        <f t="shared" si="3"/>
        <v>949786.48</v>
      </c>
      <c r="P20" s="778"/>
      <c r="Q20" s="779">
        <f>_xll.BDP(H20&amp;" EQUITY",$AD$1)</f>
        <v>10.227913533834586</v>
      </c>
      <c r="R20" s="332">
        <v>52.32</v>
      </c>
      <c r="S20" s="8">
        <f t="shared" si="2"/>
        <v>-0.1736429663608563</v>
      </c>
      <c r="T20" s="787" t="s">
        <v>275</v>
      </c>
      <c r="V20"/>
      <c r="AB20" s="732">
        <f t="shared" si="4"/>
        <v>0</v>
      </c>
      <c r="AC20" s="733">
        <f>+O20-AB20</f>
        <v>949786.48</v>
      </c>
    </row>
    <row r="21" spans="1:29" ht="15.75" x14ac:dyDescent="0.25">
      <c r="B21" s="761"/>
      <c r="C21" s="225">
        <f>_xll.BDP(H21&amp;" EQUITY",$C$2)/1000000000</f>
        <v>6.9916000000000009</v>
      </c>
      <c r="E21" s="25">
        <f t="shared" si="0"/>
        <v>1.0303497709558209E-2</v>
      </c>
      <c r="F21" s="783" t="s">
        <v>634</v>
      </c>
      <c r="G21" s="788">
        <v>7</v>
      </c>
      <c r="H21" s="824" t="s">
        <v>635</v>
      </c>
      <c r="I21" s="854">
        <v>21614</v>
      </c>
      <c r="J21" s="9">
        <f>_xll.BDP(H21&amp;" EQUITY",$L$1)</f>
        <v>44</v>
      </c>
      <c r="K21" s="112">
        <f>_xll.BDP(H21&amp;" EQUITY",$N$1)</f>
        <v>-0.1</v>
      </c>
      <c r="L21" s="127">
        <f>_xll.BDP(H21&amp;" EQUITY",$O$1)*0.01</f>
        <v>-2.2675740000000001E-3</v>
      </c>
      <c r="M21" s="161">
        <f t="shared" si="1"/>
        <v>-2161.4</v>
      </c>
      <c r="O21" s="778">
        <f t="shared" si="3"/>
        <v>951016</v>
      </c>
      <c r="P21" s="778"/>
      <c r="Q21" s="779">
        <f>_xll.BDP(H21&amp;" EQUITY",$AD$1)</f>
        <v>117.82841823056302</v>
      </c>
      <c r="R21" s="332">
        <v>62.96</v>
      </c>
      <c r="S21" s="8">
        <f t="shared" si="2"/>
        <v>-0.30114358322744605</v>
      </c>
      <c r="T21" s="787" t="s">
        <v>300</v>
      </c>
      <c r="V21"/>
      <c r="AB21" s="732">
        <f t="shared" si="4"/>
        <v>0</v>
      </c>
      <c r="AC21" s="28"/>
    </row>
    <row r="22" spans="1:29" ht="15.75" x14ac:dyDescent="0.25">
      <c r="A22" s="760"/>
      <c r="B22" s="761"/>
      <c r="C22" s="225">
        <f>_xll.BDP(H22&amp;" EQUITY",$C$2)/1000000000</f>
        <v>6.3930979616399997</v>
      </c>
      <c r="D22" s="85">
        <v>3.5299999999999998E-2</v>
      </c>
      <c r="E22" s="25">
        <f t="shared" si="0"/>
        <v>1.2192475287105927E-2</v>
      </c>
      <c r="F22" s="783" t="s">
        <v>560</v>
      </c>
      <c r="G22" s="788">
        <v>13</v>
      </c>
      <c r="H22" s="3" t="s">
        <v>561</v>
      </c>
      <c r="I22" s="854">
        <v>16331</v>
      </c>
      <c r="J22" s="9">
        <f>_xll.BDP(H22&amp;" EQUITY",$L$1)</f>
        <v>68.91</v>
      </c>
      <c r="K22" s="112">
        <f>_xll.BDP(H22&amp;" EQUITY",$N$1)</f>
        <v>0.11</v>
      </c>
      <c r="L22" s="127">
        <f>_xll.BDP(H22&amp;" EQUITY",$O$1)*0.01</f>
        <v>1.5988369999999999E-3</v>
      </c>
      <c r="M22" s="161">
        <f t="shared" si="1"/>
        <v>1796.41</v>
      </c>
      <c r="O22" s="778">
        <f t="shared" si="3"/>
        <v>1125369.21</v>
      </c>
      <c r="P22" s="778"/>
      <c r="Q22" s="779">
        <f>_xll.BDP(H22&amp;" EQUITY",$AD$1)</f>
        <v>19.696535929000859</v>
      </c>
      <c r="R22" s="332">
        <v>77.760000000000005</v>
      </c>
      <c r="S22" s="8">
        <f t="shared" si="2"/>
        <v>-0.11381172839506182</v>
      </c>
      <c r="T22" s="787" t="s">
        <v>258</v>
      </c>
      <c r="V22"/>
      <c r="AB22" s="732">
        <f t="shared" si="4"/>
        <v>3258200.8310495801</v>
      </c>
      <c r="AC22" s="28"/>
    </row>
    <row r="23" spans="1:29" ht="15.75" x14ac:dyDescent="0.25">
      <c r="B23" s="761"/>
      <c r="C23" s="225">
        <f>_xll.BDP(H23&amp;" EQUITY",$C$2)/1000000000</f>
        <v>8.535357714109999</v>
      </c>
      <c r="E23" s="25">
        <f t="shared" si="0"/>
        <v>1.4507316562734228E-2</v>
      </c>
      <c r="F23" s="783" t="s">
        <v>692</v>
      </c>
      <c r="G23" s="788">
        <v>31</v>
      </c>
      <c r="H23" s="3" t="s">
        <v>693</v>
      </c>
      <c r="I23" s="854">
        <v>16666</v>
      </c>
      <c r="J23" s="9">
        <f>_xll.BDP(H23&amp;" EQUITY",$L$1)</f>
        <v>80.344999999999999</v>
      </c>
      <c r="K23" s="112">
        <f>_xll.BDP(H23&amp;" EQUITY",$N$1)</f>
        <v>0.85499999999999998</v>
      </c>
      <c r="L23" s="127">
        <f>_xll.BDP(H23&amp;" EQUITY",$O$1)*0.01</f>
        <v>1.075607E-2</v>
      </c>
      <c r="M23" s="161">
        <f t="shared" si="1"/>
        <v>14249.43</v>
      </c>
      <c r="O23" s="778">
        <f t="shared" si="3"/>
        <v>1339029.77</v>
      </c>
      <c r="P23" s="778"/>
      <c r="Q23" s="779">
        <f>_xll.BDP(H23&amp;" EQUITY",$AD$1)</f>
        <v>27.28382502543235</v>
      </c>
      <c r="R23" s="332">
        <v>62.71</v>
      </c>
      <c r="S23" s="8">
        <f t="shared" si="2"/>
        <v>0.28121511720618719</v>
      </c>
      <c r="T23" s="787" t="s">
        <v>275</v>
      </c>
      <c r="V23"/>
      <c r="AB23" s="732">
        <f t="shared" si="4"/>
        <v>0</v>
      </c>
      <c r="AC23" s="28"/>
    </row>
    <row r="24" spans="1:29" ht="15.75" x14ac:dyDescent="0.25">
      <c r="B24" s="761"/>
      <c r="C24" s="225">
        <f>_xll.BDP(H24&amp;" EQUITY",$C$2)/1000000000</f>
        <v>7.6469024908499996</v>
      </c>
      <c r="E24" s="25">
        <f t="shared" si="0"/>
        <v>1.4822822339481836E-2</v>
      </c>
      <c r="F24" s="783" t="s">
        <v>666</v>
      </c>
      <c r="G24" s="788">
        <v>19</v>
      </c>
      <c r="H24" s="3" t="s">
        <v>667</v>
      </c>
      <c r="I24" s="854">
        <v>12901</v>
      </c>
      <c r="J24" s="9">
        <f>_xll.BDP(H24&amp;" EQUITY",$L$1)</f>
        <v>106.05</v>
      </c>
      <c r="K24" s="112">
        <f>_xll.BDP(H24&amp;" EQUITY",$N$1)</f>
        <v>-0.4</v>
      </c>
      <c r="L24" s="127">
        <f>_xll.BDP(H24&amp;" EQUITY",$O$1)*0.01</f>
        <v>-3.7576330000000002E-3</v>
      </c>
      <c r="M24" s="161">
        <f t="shared" si="1"/>
        <v>-5160.4000000000005</v>
      </c>
      <c r="O24" s="778">
        <f t="shared" si="3"/>
        <v>1368151.05</v>
      </c>
      <c r="P24" s="778"/>
      <c r="Q24" s="779">
        <f>_xll.BDP(H24&amp;" EQUITY",$AD$1)</f>
        <v>41.167315175097279</v>
      </c>
      <c r="R24" s="332">
        <v>92.95</v>
      </c>
      <c r="S24" s="8">
        <f t="shared" si="2"/>
        <v>0.14093598708983324</v>
      </c>
      <c r="T24" s="787" t="s">
        <v>300</v>
      </c>
      <c r="V24"/>
      <c r="AB24" s="732">
        <f t="shared" si="4"/>
        <v>0</v>
      </c>
      <c r="AC24" s="28"/>
    </row>
    <row r="25" spans="1:29" ht="15.75" x14ac:dyDescent="0.25">
      <c r="A25" s="760"/>
      <c r="B25" s="761"/>
      <c r="C25" s="225">
        <f>_xll.BDP(H25&amp;" EQUITY",$C$2)/1000000000</f>
        <v>3.4514000367</v>
      </c>
      <c r="D25" s="85">
        <v>8.8000000000000005E-3</v>
      </c>
      <c r="E25" s="25">
        <f t="shared" si="0"/>
        <v>0</v>
      </c>
      <c r="F25" s="783" t="s">
        <v>570</v>
      </c>
      <c r="G25" s="788">
        <v>15</v>
      </c>
      <c r="H25" s="855" t="s">
        <v>571</v>
      </c>
      <c r="I25" s="101">
        <v>0</v>
      </c>
      <c r="J25" s="9">
        <f>_xll.BDP(H25&amp;" EQUITY",$L$1)</f>
        <v>67.650000000000006</v>
      </c>
      <c r="K25" s="112">
        <f>_xll.BDP(H25&amp;" EQUITY",$N$1)</f>
        <v>-7.0000000000000007E-2</v>
      </c>
      <c r="L25" s="127">
        <f>_xll.BDP(H25&amp;" EQUITY",$O$1)*0.01</f>
        <v>-1.033668E-3</v>
      </c>
      <c r="M25" s="161">
        <f t="shared" si="1"/>
        <v>0</v>
      </c>
      <c r="O25" s="778">
        <f t="shared" si="3"/>
        <v>0</v>
      </c>
      <c r="P25" s="778"/>
      <c r="Q25" s="779">
        <f>_xll.BDP(H25&amp;" EQUITY",$AD$1)</f>
        <v>3224.0476190476188</v>
      </c>
      <c r="R25" s="332">
        <v>62.23</v>
      </c>
      <c r="S25" s="8">
        <f t="shared" si="2"/>
        <v>8.7096255825164892E-2</v>
      </c>
      <c r="T25" s="787" t="s">
        <v>258</v>
      </c>
      <c r="V25"/>
      <c r="AB25" s="732">
        <f t="shared" si="4"/>
        <v>812242.70009168005</v>
      </c>
      <c r="AC25" s="28"/>
    </row>
    <row r="26" spans="1:29" ht="19.5" customHeight="1" x14ac:dyDescent="0.25">
      <c r="A26" s="760">
        <f>+B26*E26</f>
        <v>1.3342318040418725E-4</v>
      </c>
      <c r="B26" s="761">
        <f>_xll.BDP(H26&amp;" EQUITY",$B$3)*0.01</f>
        <v>7.0183649999047606E-3</v>
      </c>
      <c r="C26" s="225">
        <f>_xll.BDP(H26&amp;" EQUITY",$C$2)/1000000000</f>
        <v>8.6082779111000001</v>
      </c>
      <c r="D26" s="85">
        <v>5.7999999999999996E-3</v>
      </c>
      <c r="E26" s="25">
        <f t="shared" si="0"/>
        <v>1.901057873251075E-2</v>
      </c>
      <c r="F26" s="783" t="s">
        <v>618</v>
      </c>
      <c r="G26" s="788">
        <v>28</v>
      </c>
      <c r="H26" s="3" t="s">
        <v>619</v>
      </c>
      <c r="I26" s="854">
        <v>20525</v>
      </c>
      <c r="J26" s="9">
        <f>_xll.BDP(H26&amp;" EQUITY",$L$1)</f>
        <v>85.49</v>
      </c>
      <c r="K26" s="112">
        <f>_xll.BDP(H26&amp;" EQUITY",$N$1)</f>
        <v>0.14000000000000001</v>
      </c>
      <c r="L26" s="127">
        <f>_xll.BDP(H26&amp;" EQUITY",$O$1)*0.01</f>
        <v>1.6403049999999999E-3</v>
      </c>
      <c r="M26" s="161">
        <f t="shared" si="1"/>
        <v>2873.5000000000005</v>
      </c>
      <c r="O26" s="778">
        <f t="shared" si="3"/>
        <v>1754682.25</v>
      </c>
      <c r="P26" s="778"/>
      <c r="Q26" s="779">
        <f>_xll.BDP(H26&amp;" EQUITY",$AD$1)</f>
        <v>20.731528895391367</v>
      </c>
      <c r="R26" s="332">
        <v>66.72</v>
      </c>
      <c r="S26" s="8">
        <f t="shared" si="2"/>
        <v>0.2813249400479616</v>
      </c>
      <c r="T26" s="787" t="s">
        <v>258</v>
      </c>
      <c r="V26"/>
      <c r="AB26" s="732">
        <f t="shared" si="4"/>
        <v>535341.77960588003</v>
      </c>
      <c r="AC26" s="28"/>
    </row>
    <row r="27" spans="1:29" ht="15.75" x14ac:dyDescent="0.25">
      <c r="A27" s="760"/>
      <c r="B27" s="761"/>
      <c r="C27" s="225">
        <f>_xll.BDP(H27&amp;" EQUITY",$C$2)/1000000000</f>
        <v>5.8160526406099988</v>
      </c>
      <c r="D27" s="85">
        <v>4.4000000000000003E-3</v>
      </c>
      <c r="E27" s="25">
        <f t="shared" si="0"/>
        <v>1.4474505729227208E-2</v>
      </c>
      <c r="F27" s="783" t="s">
        <v>584</v>
      </c>
      <c r="G27" s="788">
        <v>25</v>
      </c>
      <c r="H27" s="3" t="s">
        <v>585</v>
      </c>
      <c r="I27" s="854">
        <v>13348</v>
      </c>
      <c r="J27" s="9">
        <f>_xll.BDP(H27&amp;" EQUITY",$L$1)</f>
        <v>100.09</v>
      </c>
      <c r="K27" s="112">
        <f>_xll.BDP(H27&amp;" EQUITY",$N$1)</f>
        <v>0.06</v>
      </c>
      <c r="L27" s="127">
        <f>_xll.BDP(H27&amp;" EQUITY",$O$1)*0.01</f>
        <v>5.9982010000000007E-4</v>
      </c>
      <c r="M27" s="161">
        <f t="shared" si="1"/>
        <v>800.88</v>
      </c>
      <c r="O27" s="778">
        <f t="shared" si="3"/>
        <v>1336001.32</v>
      </c>
      <c r="P27" s="778"/>
      <c r="Q27" s="779">
        <f>_xll.BDP(H27&amp;" EQUITY",$AD$1)</f>
        <v>125.16290726817041</v>
      </c>
      <c r="R27" s="332">
        <v>85.46</v>
      </c>
      <c r="S27" s="8">
        <f t="shared" si="2"/>
        <v>0.17119120056166648</v>
      </c>
      <c r="T27" s="787" t="s">
        <v>275</v>
      </c>
      <c r="V27"/>
      <c r="AB27" s="732">
        <f t="shared" si="4"/>
        <v>406121.35004584002</v>
      </c>
      <c r="AC27" s="733">
        <f>+O27-AB27</f>
        <v>929879.96995416004</v>
      </c>
    </row>
    <row r="28" spans="1:29" ht="15.75" x14ac:dyDescent="0.25">
      <c r="A28" s="760"/>
      <c r="B28" s="761"/>
      <c r="C28" s="225">
        <f>_xll.BDP(H28&amp;" EQUITY",$C$2)/1000000000</f>
        <v>6.71361358395</v>
      </c>
      <c r="D28" s="85">
        <v>1.0500000000000001E-2</v>
      </c>
      <c r="E28" s="25">
        <f t="shared" si="0"/>
        <v>1.3044984804177416E-2</v>
      </c>
      <c r="F28" s="783" t="s">
        <v>568</v>
      </c>
      <c r="G28" s="788">
        <v>33</v>
      </c>
      <c r="H28" s="3" t="s">
        <v>569</v>
      </c>
      <c r="I28" s="854">
        <v>22318</v>
      </c>
      <c r="J28" s="9">
        <f>_xll.BDP(H28&amp;" EQUITY",$L$1)</f>
        <v>53.95</v>
      </c>
      <c r="K28" s="112">
        <f>_xll.BDP(H28&amp;" EQUITY",$N$1)</f>
        <v>0</v>
      </c>
      <c r="L28" s="127">
        <f>_xll.BDP(H28&amp;" EQUITY",$O$1)*0.01</f>
        <v>0</v>
      </c>
      <c r="M28" s="161">
        <f t="shared" si="1"/>
        <v>0</v>
      </c>
      <c r="O28" s="778">
        <f t="shared" si="3"/>
        <v>1204056.1000000001</v>
      </c>
      <c r="P28" s="778"/>
      <c r="Q28" s="779">
        <f>_xll.BDP(H28&amp;" EQUITY",$AD$1)</f>
        <v>21.854479124442641</v>
      </c>
      <c r="R28" s="332">
        <v>45.47</v>
      </c>
      <c r="S28" s="8">
        <f t="shared" si="2"/>
        <v>0.18649659115900596</v>
      </c>
      <c r="T28" s="787" t="s">
        <v>191</v>
      </c>
      <c r="V28"/>
      <c r="AB28" s="732">
        <f t="shared" si="4"/>
        <v>969153.22170030011</v>
      </c>
      <c r="AC28" s="733">
        <f>+O28-AB28</f>
        <v>234902.87829969998</v>
      </c>
    </row>
    <row r="29" spans="1:29" ht="15.75" x14ac:dyDescent="0.25">
      <c r="B29" s="761"/>
      <c r="C29" s="225">
        <f>_xll.BDP(H29&amp;" EQUITY",$C$2)/1000000000</f>
        <v>10.651714547579997</v>
      </c>
      <c r="E29" s="25">
        <f t="shared" si="0"/>
        <v>1.903557182385858E-2</v>
      </c>
      <c r="F29" s="783" t="s">
        <v>690</v>
      </c>
      <c r="G29" s="788">
        <v>26</v>
      </c>
      <c r="H29" s="3" t="s">
        <v>691</v>
      </c>
      <c r="I29" s="854">
        <v>8128</v>
      </c>
      <c r="J29" s="9">
        <f>_xll.BDP(H29&amp;" EQUITY",$L$1)</f>
        <v>216.16499999999999</v>
      </c>
      <c r="K29" s="112">
        <f>_xll.BDP(H29&amp;" EQUITY",$N$1)</f>
        <v>2.7650000000000001</v>
      </c>
      <c r="L29" s="127">
        <f>_xll.BDP(H29&amp;" EQUITY",$O$1)*0.01</f>
        <v>1.295689E-2</v>
      </c>
      <c r="M29" s="161">
        <f t="shared" si="1"/>
        <v>22473.920000000002</v>
      </c>
      <c r="O29" s="778">
        <f t="shared" si="3"/>
        <v>1756989.1199999999</v>
      </c>
      <c r="P29" s="778"/>
      <c r="Q29" s="779">
        <f>_xll.BDP(H29&amp;" EQUITY",$AD$1)</f>
        <v>43.222511516122566</v>
      </c>
      <c r="R29" s="332">
        <v>152.9</v>
      </c>
      <c r="S29" s="8">
        <f t="shared" si="2"/>
        <v>0.41376716808371472</v>
      </c>
      <c r="T29" s="787" t="s">
        <v>300</v>
      </c>
      <c r="V29"/>
      <c r="AB29" s="732">
        <f t="shared" si="4"/>
        <v>0</v>
      </c>
      <c r="AC29" s="28"/>
    </row>
    <row r="30" spans="1:29" ht="15.75" x14ac:dyDescent="0.25">
      <c r="A30" s="760"/>
      <c r="B30" s="761"/>
      <c r="C30" s="225">
        <f>_xll.BDP(H30&amp;" EQUITY",$C$2)/1000000000</f>
        <v>7.9358655944999992</v>
      </c>
      <c r="D30" s="85">
        <v>3.8999999999999998E-3</v>
      </c>
      <c r="E30" s="25">
        <f t="shared" si="0"/>
        <v>1.3940649486565926E-2</v>
      </c>
      <c r="F30" s="783" t="s">
        <v>564</v>
      </c>
      <c r="G30" s="788">
        <v>17</v>
      </c>
      <c r="H30" s="3" t="s">
        <v>565</v>
      </c>
      <c r="I30" s="854">
        <v>13463</v>
      </c>
      <c r="J30" s="9">
        <f>_xll.BDP(H30&amp;" EQUITY",$L$1)</f>
        <v>95.575000000000003</v>
      </c>
      <c r="K30" s="112">
        <f>_xll.BDP(H30&amp;" EQUITY",$N$1)</f>
        <v>-0.45500000000000002</v>
      </c>
      <c r="L30" s="127">
        <f>_xll.BDP(H30&amp;" EQUITY",$O$1)*0.01</f>
        <v>-4.7381030000000005E-3</v>
      </c>
      <c r="M30" s="161">
        <f t="shared" si="1"/>
        <v>-6125.665</v>
      </c>
      <c r="O30" s="778">
        <f t="shared" si="3"/>
        <v>1286726.2250000001</v>
      </c>
      <c r="P30" s="778"/>
      <c r="Q30" s="779">
        <f>_xll.BDP(H30&amp;" EQUITY",$AD$1)</f>
        <v>76.708099438652766</v>
      </c>
      <c r="R30" s="332">
        <v>84.15</v>
      </c>
      <c r="S30" s="8">
        <f t="shared" si="2"/>
        <v>0.13576945929887096</v>
      </c>
      <c r="T30" s="787" t="s">
        <v>300</v>
      </c>
      <c r="V30"/>
      <c r="AB30" s="732">
        <f t="shared" si="4"/>
        <v>359971.19663154002</v>
      </c>
      <c r="AC30" s="28"/>
    </row>
    <row r="31" spans="1:29" ht="15.75" x14ac:dyDescent="0.25">
      <c r="B31" s="761"/>
      <c r="C31" s="225">
        <f>_xll.BDP(H31&amp;" EQUITY",$C$2)/1000000000</f>
        <v>8.729483526200001</v>
      </c>
      <c r="E31" s="25">
        <f t="shared" si="0"/>
        <v>1.3104277998187731E-2</v>
      </c>
      <c r="F31" s="783" t="s">
        <v>746</v>
      </c>
      <c r="G31" s="788">
        <v>40</v>
      </c>
      <c r="H31" s="3" t="s">
        <v>747</v>
      </c>
      <c r="I31" s="854">
        <v>10136</v>
      </c>
      <c r="J31" s="9">
        <f>_xll.BDP(H31&amp;" EQUITY",$L$1)</f>
        <v>119.33</v>
      </c>
      <c r="K31" s="112">
        <f>_xll.BDP(H31&amp;" EQUITY",$N$1)</f>
        <v>-0.93</v>
      </c>
      <c r="L31" s="127">
        <f>_xll.BDP(H31&amp;" EQUITY",$O$1)*0.01</f>
        <v>-7.7332449999999997E-3</v>
      </c>
      <c r="M31" s="161">
        <f t="shared" si="1"/>
        <v>-9426.4800000000014</v>
      </c>
      <c r="O31" s="778">
        <f t="shared" si="3"/>
        <v>1209528.8799999999</v>
      </c>
      <c r="P31" s="778"/>
      <c r="Q31" s="779">
        <f>_xll.BDP(H31&amp;" EQUITY",$AD$1)</f>
        <v>16.317259228987876</v>
      </c>
      <c r="R31" s="332">
        <v>97.83</v>
      </c>
      <c r="S31" s="8">
        <f t="shared" si="2"/>
        <v>0.21976898701829706</v>
      </c>
      <c r="T31" s="787" t="s">
        <v>189</v>
      </c>
      <c r="V31"/>
      <c r="AB31" s="732">
        <f t="shared" si="4"/>
        <v>0</v>
      </c>
      <c r="AC31" s="733">
        <f>+O31-AB31</f>
        <v>1209528.8799999999</v>
      </c>
    </row>
    <row r="32" spans="1:29" ht="15.75" x14ac:dyDescent="0.25">
      <c r="A32" s="760">
        <f>+B32*E32</f>
        <v>9.947876051357628E-5</v>
      </c>
      <c r="B32" s="761">
        <f>_xll.BDP(H32&amp;" EQUITY",$B$3)*0.01</f>
        <v>7.8141500479064745E-3</v>
      </c>
      <c r="C32" s="225">
        <f>_xll.BDP(H32&amp;" EQUITY",$C$2)/1000000000</f>
        <v>7.3113356597999992</v>
      </c>
      <c r="D32" s="85">
        <v>1.12E-2</v>
      </c>
      <c r="E32" s="25">
        <f t="shared" si="0"/>
        <v>1.2730592566523355E-2</v>
      </c>
      <c r="F32" s="783" t="s">
        <v>566</v>
      </c>
      <c r="G32" s="788">
        <v>30</v>
      </c>
      <c r="H32" s="3" t="s">
        <v>567</v>
      </c>
      <c r="I32" s="854">
        <v>6204</v>
      </c>
      <c r="J32" s="9">
        <f>_xll.BDP(H32&amp;" EQUITY",$L$1)</f>
        <v>189.4</v>
      </c>
      <c r="K32" s="112">
        <f>_xll.BDP(H32&amp;" EQUITY",$N$1)</f>
        <v>-1.26</v>
      </c>
      <c r="L32" s="127">
        <f>_xll.BDP(H32&amp;" EQUITY",$O$1)*0.01</f>
        <v>-6.6086230000000001E-3</v>
      </c>
      <c r="M32" s="161">
        <f t="shared" si="1"/>
        <v>-7817.04</v>
      </c>
      <c r="O32" s="778">
        <f t="shared" si="3"/>
        <v>1175037.6000000001</v>
      </c>
      <c r="P32" s="778"/>
      <c r="Q32" s="779">
        <f>_xll.BDP(H32&amp;" EQUITY",$AD$1)</f>
        <v>19.74882751433038</v>
      </c>
      <c r="R32" s="332">
        <v>172.69</v>
      </c>
      <c r="S32" s="8">
        <f t="shared" si="2"/>
        <v>9.6762985696913661E-2</v>
      </c>
      <c r="T32" s="787" t="s">
        <v>275</v>
      </c>
      <c r="V32"/>
      <c r="AB32" s="732">
        <f t="shared" si="4"/>
        <v>1033763.4364803201</v>
      </c>
      <c r="AC32" s="733">
        <f>+O32-AB32</f>
        <v>141274.16351968003</v>
      </c>
    </row>
    <row r="33" spans="1:29" ht="15.75" x14ac:dyDescent="0.25">
      <c r="A33" s="760"/>
      <c r="B33" s="761"/>
      <c r="C33" s="225">
        <f>_xll.BDP(H33&amp;" EQUITY",$C$2)/1000000000</f>
        <v>6.491857439505063</v>
      </c>
      <c r="D33" s="25">
        <v>2.5999999999999999E-3</v>
      </c>
      <c r="E33" s="25">
        <f t="shared" si="0"/>
        <v>1.2132640058061068E-2</v>
      </c>
      <c r="F33" s="783" t="s">
        <v>588</v>
      </c>
      <c r="G33" s="788">
        <v>43</v>
      </c>
      <c r="H33" s="3" t="s">
        <v>589</v>
      </c>
      <c r="I33" s="854">
        <v>20480</v>
      </c>
      <c r="J33" s="9">
        <f>_xll.BDP(H33&amp;" EQUITY",$L$1)</f>
        <v>54.68</v>
      </c>
      <c r="K33" s="112">
        <f>_xll.BDP(H33&amp;" EQUITY",$N$1)</f>
        <v>1.3</v>
      </c>
      <c r="L33" s="127">
        <f>_xll.BDP(H33&amp;" EQUITY",$O$1)*0.01</f>
        <v>2.4353690000000001E-2</v>
      </c>
      <c r="M33" s="161">
        <f t="shared" si="1"/>
        <v>26624</v>
      </c>
      <c r="O33" s="778">
        <f t="shared" si="3"/>
        <v>1119846.3999999999</v>
      </c>
      <c r="P33" s="778"/>
      <c r="Q33" s="779">
        <f>_xll.BDP(H33&amp;" EQUITY",$AD$1)</f>
        <v>16.784615384615385</v>
      </c>
      <c r="R33" s="332">
        <v>29.28</v>
      </c>
      <c r="S33" s="8">
        <f t="shared" si="2"/>
        <v>0.86748633879781423</v>
      </c>
      <c r="T33" s="787" t="s">
        <v>300</v>
      </c>
      <c r="V33"/>
      <c r="AB33" s="732">
        <f t="shared" si="4"/>
        <v>239980.79775436001</v>
      </c>
      <c r="AC33" s="733">
        <f>+O33-AB33</f>
        <v>879865.60224563989</v>
      </c>
    </row>
    <row r="34" spans="1:29" ht="15.75" x14ac:dyDescent="0.25">
      <c r="B34" s="761"/>
      <c r="C34" s="225">
        <f>_xll.BDP(H34&amp;" EQUITY",$C$2)/1000000000</f>
        <v>11.191371547425</v>
      </c>
      <c r="E34" s="25">
        <f t="shared" si="0"/>
        <v>1.5153388792057762E-2</v>
      </c>
      <c r="F34" s="783" t="s">
        <v>638</v>
      </c>
      <c r="G34" s="788">
        <v>23</v>
      </c>
      <c r="H34" s="188" t="s">
        <v>639</v>
      </c>
      <c r="I34" s="854">
        <v>10331</v>
      </c>
      <c r="J34" s="9">
        <f>_xll.BDP(H34&amp;" EQUITY",$L$1)</f>
        <v>135.38499999999999</v>
      </c>
      <c r="K34" s="112">
        <f>_xll.BDP(H34&amp;" EQUITY",$N$1)</f>
        <v>0.245</v>
      </c>
      <c r="L34" s="127">
        <f>_xll.BDP(H34&amp;" EQUITY",$O$1)*0.01</f>
        <v>1.8129349999999999E-3</v>
      </c>
      <c r="M34" s="161">
        <f t="shared" si="1"/>
        <v>2531.0949999999998</v>
      </c>
      <c r="O34" s="778">
        <f t="shared" si="3"/>
        <v>1398662.4349999998</v>
      </c>
      <c r="P34" s="778"/>
      <c r="Q34" s="779">
        <f>_xll.BDP(H34&amp;" EQUITY",$AD$1)</f>
        <v>106.38801261829653</v>
      </c>
      <c r="R34" s="332">
        <v>109.04</v>
      </c>
      <c r="S34" s="8">
        <f t="shared" si="2"/>
        <v>0.24160858400586926</v>
      </c>
      <c r="T34" s="787" t="s">
        <v>300</v>
      </c>
      <c r="V34"/>
      <c r="AB34" s="732">
        <f t="shared" si="4"/>
        <v>0</v>
      </c>
      <c r="AC34" s="28"/>
    </row>
    <row r="35" spans="1:29" ht="15.75" x14ac:dyDescent="0.25">
      <c r="B35" s="761"/>
      <c r="C35" s="225">
        <f>_xll.BDP(H35&amp;" EQUITY",$C$2)/1000000000</f>
        <v>5.87944427457</v>
      </c>
      <c r="E35" s="25">
        <f t="shared" si="0"/>
        <v>1.1440781469567052E-2</v>
      </c>
      <c r="F35" s="783" t="s">
        <v>724</v>
      </c>
      <c r="G35" s="788">
        <v>36</v>
      </c>
      <c r="H35" s="3" t="s">
        <v>725</v>
      </c>
      <c r="I35" s="854">
        <v>18996</v>
      </c>
      <c r="J35" s="9">
        <f>_xll.BDP(H35&amp;" EQUITY",$L$1)</f>
        <v>55.59</v>
      </c>
      <c r="K35" s="112">
        <f>_xll.BDP(H35&amp;" EQUITY",$N$1)</f>
        <v>-1.08</v>
      </c>
      <c r="L35" s="127">
        <f>_xll.BDP(H35&amp;" EQUITY",$O$1)*0.01</f>
        <v>-1.90577E-2</v>
      </c>
      <c r="M35" s="161">
        <f t="shared" si="1"/>
        <v>-20515.68</v>
      </c>
      <c r="O35" s="778">
        <f t="shared" si="3"/>
        <v>1055987.6400000001</v>
      </c>
      <c r="P35" s="778"/>
      <c r="Q35" s="779">
        <f>_xll.BDP(H35&amp;" EQUITY",$AD$1)</f>
        <v>6.9763365468886942</v>
      </c>
      <c r="R35" s="332">
        <v>53.35</v>
      </c>
      <c r="S35" s="8">
        <f t="shared" si="2"/>
        <v>4.1986879100281094E-2</v>
      </c>
      <c r="T35" s="787" t="s">
        <v>276</v>
      </c>
      <c r="V35"/>
      <c r="AB35" s="732">
        <f t="shared" si="4"/>
        <v>0</v>
      </c>
      <c r="AC35" s="28"/>
    </row>
    <row r="36" spans="1:29" ht="15.75" x14ac:dyDescent="0.25">
      <c r="A36" s="760">
        <f>+B36*E36</f>
        <v>9.9761191779693521E-5</v>
      </c>
      <c r="B36" s="761">
        <f>_xll.BDP(H36&amp;" EQUITY",$B$3)*0.01</f>
        <v>7.8678207309296703E-3</v>
      </c>
      <c r="C36" s="225">
        <f>_xll.BDP(H36&amp;" EQUITY",$C$2)/1000000000</f>
        <v>10.953204082925</v>
      </c>
      <c r="E36" s="25">
        <f t="shared" ref="E36:E67" si="5">+O36/$O$105</f>
        <v>1.2679647286257579E-2</v>
      </c>
      <c r="F36" s="783" t="s">
        <v>726</v>
      </c>
      <c r="G36" s="788">
        <v>47</v>
      </c>
      <c r="H36" s="3" t="s">
        <v>727</v>
      </c>
      <c r="I36" s="854">
        <v>46049</v>
      </c>
      <c r="J36" s="9">
        <f>_xll.BDP(H36&amp;" EQUITY",$L$1)</f>
        <v>25.414999999999999</v>
      </c>
      <c r="K36" s="112">
        <f>_xll.BDP(H36&amp;" EQUITY",$N$1)</f>
        <v>-0.14499999999999999</v>
      </c>
      <c r="L36" s="127">
        <f>_xll.BDP(H36&amp;" EQUITY",$O$1)*0.01</f>
        <v>-5.6729260000000009E-3</v>
      </c>
      <c r="M36" s="161">
        <f t="shared" si="1"/>
        <v>-6677.1049999999996</v>
      </c>
      <c r="O36" s="778">
        <f t="shared" ref="O36:O67" si="6">+J36*I36</f>
        <v>1170335.335</v>
      </c>
      <c r="P36" s="778"/>
      <c r="Q36" s="779">
        <f>_xll.BDP(H36&amp;" EQUITY",$AD$1)</f>
        <v>21.162790697674421</v>
      </c>
      <c r="R36" s="332">
        <v>20.14</v>
      </c>
      <c r="S36" s="8">
        <f t="shared" ref="S36:S67" si="7">+J36/R36-1</f>
        <v>0.26191658391261163</v>
      </c>
      <c r="T36" s="787" t="s">
        <v>189</v>
      </c>
      <c r="V36"/>
      <c r="AB36" s="732">
        <f t="shared" si="4"/>
        <v>0</v>
      </c>
      <c r="AC36" s="733">
        <f>+O36-AB36</f>
        <v>1170335.335</v>
      </c>
    </row>
    <row r="37" spans="1:29" ht="15.75" x14ac:dyDescent="0.25">
      <c r="A37" s="760">
        <f>+B37*E37</f>
        <v>1.0268872013860881E-4</v>
      </c>
      <c r="B37" s="761">
        <f>_xll.BDP(H37&amp;" EQUITY",$B$3)*0.01</f>
        <v>9.5785444419198267E-3</v>
      </c>
      <c r="C37" s="225">
        <f>_xll.BDP(H37&amp;" EQUITY",$C$2)/1000000000</f>
        <v>5.2062835104000005</v>
      </c>
      <c r="E37" s="25">
        <f t="shared" si="5"/>
        <v>1.0720701956468338E-2</v>
      </c>
      <c r="F37" s="783" t="s">
        <v>650</v>
      </c>
      <c r="G37" s="788">
        <v>32</v>
      </c>
      <c r="H37" s="3" t="s">
        <v>651</v>
      </c>
      <c r="I37" s="101">
        <v>15797</v>
      </c>
      <c r="J37" s="9">
        <f>_xll.BDP(H37&amp;" EQUITY",$L$1)</f>
        <v>62.64</v>
      </c>
      <c r="K37" s="112">
        <f>_xll.BDP(H37&amp;" EQUITY",$N$1)</f>
        <v>-1.01</v>
      </c>
      <c r="L37" s="127">
        <f>_xll.BDP(H37&amp;" EQUITY",$O$1)*0.01</f>
        <v>-1.5868029999999998E-2</v>
      </c>
      <c r="M37" s="161">
        <f t="shared" si="1"/>
        <v>-15954.97</v>
      </c>
      <c r="O37" s="778">
        <f t="shared" si="6"/>
        <v>989524.08</v>
      </c>
      <c r="P37" s="778"/>
      <c r="Q37" s="779">
        <f>_xll.BDP(H37&amp;" EQUITY",$AD$1)</f>
        <v>28.158836689038033</v>
      </c>
      <c r="R37" s="332">
        <v>73.75</v>
      </c>
      <c r="S37" s="8">
        <f t="shared" si="7"/>
        <v>-0.15064406779661021</v>
      </c>
      <c r="T37" s="787" t="s">
        <v>275</v>
      </c>
      <c r="V37"/>
      <c r="AB37" s="732">
        <f t="shared" ref="AB37:AB68" si="8">+D37*$O$105</f>
        <v>0</v>
      </c>
      <c r="AC37" s="733">
        <f>+O37-AB37</f>
        <v>989524.08</v>
      </c>
    </row>
    <row r="38" spans="1:29" ht="15.75" x14ac:dyDescent="0.25">
      <c r="C38" s="225"/>
      <c r="E38" s="25">
        <f t="shared" si="5"/>
        <v>1.7114786009687642E-4</v>
      </c>
      <c r="F38" s="784"/>
      <c r="G38" s="788">
        <v>22</v>
      </c>
      <c r="H38" s="447" t="s">
        <v>752</v>
      </c>
      <c r="I38" s="101">
        <v>15797</v>
      </c>
      <c r="J38" s="9">
        <v>1</v>
      </c>
      <c r="K38" s="112"/>
      <c r="L38" s="127"/>
      <c r="M38" s="161"/>
      <c r="O38" s="778">
        <f t="shared" si="6"/>
        <v>15797</v>
      </c>
      <c r="P38" s="778"/>
      <c r="R38" s="332">
        <v>1</v>
      </c>
      <c r="S38" s="8">
        <f t="shared" si="7"/>
        <v>0</v>
      </c>
      <c r="T38" s="787" t="s">
        <v>753</v>
      </c>
      <c r="V38"/>
      <c r="AB38" s="732">
        <f t="shared" si="8"/>
        <v>0</v>
      </c>
      <c r="AC38" s="733">
        <f>+O38-AB38</f>
        <v>15797</v>
      </c>
    </row>
    <row r="39" spans="1:29" ht="15.75" x14ac:dyDescent="0.25">
      <c r="A39" s="760">
        <f>+B39*E39</f>
        <v>2.213704502316229E-4</v>
      </c>
      <c r="B39" s="761">
        <f>_xll.BDP(H39&amp;" EQUITY",$B$3)*0.01</f>
        <v>1.4167513759445255E-2</v>
      </c>
      <c r="C39" s="225">
        <f>_xll.BDP(H39&amp;" EQUITY",$C$2)/1000000000</f>
        <v>11.503017457325001</v>
      </c>
      <c r="E39" s="25">
        <f t="shared" si="5"/>
        <v>1.5625215121745605E-2</v>
      </c>
      <c r="F39" s="783" t="s">
        <v>730</v>
      </c>
      <c r="G39" s="788">
        <v>39</v>
      </c>
      <c r="H39" s="188" t="s">
        <v>731</v>
      </c>
      <c r="I39" s="854">
        <v>8374</v>
      </c>
      <c r="J39" s="9">
        <f>_xll.BDP(H39&amp;" EQUITY",$L$1)</f>
        <v>172.22499999999999</v>
      </c>
      <c r="K39" s="112">
        <f>_xll.BDP(H39&amp;" EQUITY",$N$1)</f>
        <v>1.365</v>
      </c>
      <c r="L39" s="127">
        <f>_xll.BDP(H39&amp;" EQUITY",$O$1)*0.01</f>
        <v>7.9889969999999994E-3</v>
      </c>
      <c r="M39" s="161">
        <f t="shared" ref="M39:M82" si="9">+K39*I39</f>
        <v>11430.51</v>
      </c>
      <c r="O39" s="778">
        <f t="shared" si="6"/>
        <v>1442212.15</v>
      </c>
      <c r="P39" s="778"/>
      <c r="Q39" s="779">
        <f>_xll.BDP(H39&amp;" EQUITY",$AD$1)</f>
        <v>28.801473049882826</v>
      </c>
      <c r="R39" s="332">
        <v>122.23</v>
      </c>
      <c r="S39" s="8">
        <f t="shared" si="7"/>
        <v>0.40902397120183243</v>
      </c>
      <c r="T39" s="787" t="s">
        <v>276</v>
      </c>
      <c r="V39"/>
      <c r="AB39" s="732">
        <f t="shared" si="8"/>
        <v>0</v>
      </c>
      <c r="AC39" s="28"/>
    </row>
    <row r="40" spans="1:29" ht="15.75" x14ac:dyDescent="0.25">
      <c r="A40" s="760">
        <f>+B40*E40</f>
        <v>0</v>
      </c>
      <c r="B40" s="761">
        <f>_xll.BDP(H40&amp;" EQUITY",$B$3)*0.01</f>
        <v>1.1202850171976755E-3</v>
      </c>
      <c r="C40" s="225">
        <f>_xll.BDP(H40&amp;" EQUITY",$C$2)/1000000000</f>
        <v>33.415156574581005</v>
      </c>
      <c r="E40" s="25">
        <f t="shared" si="5"/>
        <v>0</v>
      </c>
      <c r="F40" s="783" t="s">
        <v>744</v>
      </c>
      <c r="G40" s="788">
        <v>57</v>
      </c>
      <c r="H40" s="855" t="s">
        <v>745</v>
      </c>
      <c r="I40" s="101">
        <v>0</v>
      </c>
      <c r="J40" s="9">
        <f>_xll.BDP(H40&amp;" EQUITY",$L$1)</f>
        <v>89.263000000000005</v>
      </c>
      <c r="K40" s="112">
        <f>_xll.BDP(H40&amp;" EQUITY",$N$1)</f>
        <v>0.123</v>
      </c>
      <c r="L40" s="127">
        <f>_xll.BDP(H40&amp;" EQUITY",$O$1)*0.01</f>
        <v>1.379852E-3</v>
      </c>
      <c r="M40" s="161">
        <f t="shared" si="9"/>
        <v>0</v>
      </c>
      <c r="O40" s="778">
        <f t="shared" si="6"/>
        <v>0</v>
      </c>
      <c r="P40" s="778"/>
      <c r="Q40" s="779">
        <f>_xll.BDP(H40&amp;" EQUITY",$AD$1)</f>
        <v>37.401343408900082</v>
      </c>
      <c r="R40" s="332">
        <v>48.03</v>
      </c>
      <c r="S40" s="8">
        <f t="shared" si="7"/>
        <v>0.85848428065792226</v>
      </c>
      <c r="T40" s="787" t="s">
        <v>275</v>
      </c>
      <c r="V40"/>
      <c r="AB40" s="732">
        <f t="shared" si="8"/>
        <v>0</v>
      </c>
      <c r="AC40" s="28"/>
    </row>
    <row r="41" spans="1:29" ht="15.75" x14ac:dyDescent="0.25">
      <c r="A41" s="760">
        <f>+B41*E41</f>
        <v>4.3163452515373283E-5</v>
      </c>
      <c r="B41" s="761">
        <f>_xll.BDP(H41&amp;" EQUITY",$B$3)*0.01</f>
        <v>3.3399435637975435E-3</v>
      </c>
      <c r="C41" s="225">
        <f>_xll.BDP(H41&amp;" EQUITY",$C$2)/1000000000</f>
        <v>5.7892637760099994</v>
      </c>
      <c r="D41" s="25">
        <v>4.0000000000000002E-4</v>
      </c>
      <c r="E41" s="25">
        <f t="shared" si="5"/>
        <v>1.2923407743541655E-2</v>
      </c>
      <c r="F41" s="783" t="s">
        <v>622</v>
      </c>
      <c r="G41" s="788">
        <v>48</v>
      </c>
      <c r="H41" s="3" t="s">
        <v>623</v>
      </c>
      <c r="I41" s="854">
        <v>12450</v>
      </c>
      <c r="J41" s="9">
        <f>_xll.BDP(H41&amp;" EQUITY",$L$1)</f>
        <v>95.81</v>
      </c>
      <c r="K41" s="112">
        <f>_xll.BDP(H41&amp;" EQUITY",$N$1)</f>
        <v>-0.65</v>
      </c>
      <c r="L41" s="127">
        <f>_xll.BDP(H41&amp;" EQUITY",$O$1)*0.01</f>
        <v>-6.738544E-3</v>
      </c>
      <c r="M41" s="161">
        <f t="shared" si="9"/>
        <v>-8092.5</v>
      </c>
      <c r="O41" s="778">
        <f t="shared" si="6"/>
        <v>1192834.5</v>
      </c>
      <c r="P41" s="778"/>
      <c r="Q41" s="779">
        <f>_xll.BDP(H41&amp;" EQUITY",$AD$1)</f>
        <v>19.3943661971831</v>
      </c>
      <c r="R41" s="332">
        <v>86.62</v>
      </c>
      <c r="S41" s="8">
        <f t="shared" si="7"/>
        <v>0.10609558993304091</v>
      </c>
      <c r="T41" s="787" t="s">
        <v>275</v>
      </c>
      <c r="V41"/>
      <c r="AB41" s="732">
        <f t="shared" si="8"/>
        <v>36920.122731440002</v>
      </c>
      <c r="AC41" s="781">
        <f>+O41-AB41</f>
        <v>1155914.37726856</v>
      </c>
    </row>
    <row r="42" spans="1:29" ht="15.75" x14ac:dyDescent="0.25">
      <c r="A42" s="760">
        <f>+B42*E42</f>
        <v>4.4248605980217605E-5</v>
      </c>
      <c r="B42" s="761">
        <f>_xll.BDP(H42&amp;" EQUITY",$B$3)*0.01</f>
        <v>3.989527401164975E-3</v>
      </c>
      <c r="C42" s="225">
        <f>_xll.BDP(H42&amp;" EQUITY",$C$2)/1000000000</f>
        <v>6.5940064290099993</v>
      </c>
      <c r="D42" s="85">
        <v>6.7500000000000004E-2</v>
      </c>
      <c r="E42" s="25">
        <f t="shared" si="5"/>
        <v>1.1091189890636332E-2</v>
      </c>
      <c r="F42" s="783" t="s">
        <v>556</v>
      </c>
      <c r="G42" s="788">
        <v>46</v>
      </c>
      <c r="H42" s="3" t="s">
        <v>557</v>
      </c>
      <c r="I42" s="854">
        <v>12763</v>
      </c>
      <c r="J42" s="9">
        <f>_xll.BDP(H42&amp;" EQUITY",$L$1)</f>
        <v>80.209999999999994</v>
      </c>
      <c r="K42" s="112">
        <f>_xll.BDP(H42&amp;" EQUITY",$N$1)</f>
        <v>0.22</v>
      </c>
      <c r="L42" s="127">
        <f>_xll.BDP(H42&amp;" EQUITY",$O$1)*0.01</f>
        <v>2.7503440000000001E-3</v>
      </c>
      <c r="M42" s="161">
        <f t="shared" si="9"/>
        <v>2807.86</v>
      </c>
      <c r="O42" s="778">
        <f t="shared" si="6"/>
        <v>1023720.2299999999</v>
      </c>
      <c r="P42" s="778"/>
      <c r="Q42" s="779">
        <f>_xll.BDP(H42&amp;" EQUITY",$AD$1)</f>
        <v>36.822302810516774</v>
      </c>
      <c r="R42" s="332">
        <v>73.87</v>
      </c>
      <c r="S42" s="8">
        <f t="shared" si="7"/>
        <v>8.5826451874915222E-2</v>
      </c>
      <c r="T42" s="787" t="s">
        <v>275</v>
      </c>
      <c r="V42"/>
      <c r="AB42" s="732">
        <f t="shared" si="8"/>
        <v>6230270.7109305011</v>
      </c>
    </row>
    <row r="43" spans="1:29" ht="15.75" x14ac:dyDescent="0.25">
      <c r="B43" s="761"/>
      <c r="C43" s="225">
        <f>_xll.BDP(H43&amp;" EQUITY",$C$2)/1000000000</f>
        <v>2.9740101065999998</v>
      </c>
      <c r="E43" s="25">
        <f t="shared" si="5"/>
        <v>5.63550239292189E-3</v>
      </c>
      <c r="F43" s="783" t="s">
        <v>720</v>
      </c>
      <c r="G43" s="788">
        <v>21</v>
      </c>
      <c r="H43" s="3" t="s">
        <v>721</v>
      </c>
      <c r="I43" s="854">
        <v>22229</v>
      </c>
      <c r="J43" s="9">
        <f>_xll.BDP(H43&amp;" EQUITY",$L$1)</f>
        <v>23.4</v>
      </c>
      <c r="K43" s="112">
        <f>_xll.BDP(H43&amp;" EQUITY",$N$1)</f>
        <v>-0.34</v>
      </c>
      <c r="L43" s="127">
        <f>_xll.BDP(H43&amp;" EQUITY",$O$1)*0.01</f>
        <v>-1.4321820000000001E-2</v>
      </c>
      <c r="M43" s="161">
        <f t="shared" si="9"/>
        <v>-7557.8600000000006</v>
      </c>
      <c r="O43" s="778">
        <f t="shared" si="6"/>
        <v>520158.6</v>
      </c>
      <c r="P43" s="778"/>
      <c r="Q43" s="779">
        <f>_xll.BDP(H43&amp;" EQUITY",$AD$1)</f>
        <v>23.39</v>
      </c>
      <c r="R43" s="332">
        <v>31.99</v>
      </c>
      <c r="S43" s="8">
        <f t="shared" si="7"/>
        <v>-0.26852141294154419</v>
      </c>
      <c r="T43" s="787" t="s">
        <v>258</v>
      </c>
      <c r="V43"/>
      <c r="AB43" s="732">
        <f t="shared" si="8"/>
        <v>0</v>
      </c>
    </row>
    <row r="44" spans="1:29" ht="15.75" x14ac:dyDescent="0.25">
      <c r="A44" s="760">
        <f>+B44*E44</f>
        <v>1.1268435081476051E-4</v>
      </c>
      <c r="B44" s="761">
        <f>_xll.BDP(H44&amp;" EQUITY",$B$3)*0.01</f>
        <v>8.1152364771853204E-3</v>
      </c>
      <c r="C44" s="225">
        <f>_xll.BDP(H44&amp;" EQUITY",$C$2)/1000000000</f>
        <v>4.8903830594399995</v>
      </c>
      <c r="D44" s="85">
        <v>1.1000000000000001E-3</v>
      </c>
      <c r="E44" s="25">
        <f t="shared" si="5"/>
        <v>1.388552892223836E-2</v>
      </c>
      <c r="F44" s="783" t="s">
        <v>582</v>
      </c>
      <c r="G44" s="788">
        <v>38</v>
      </c>
      <c r="H44" s="3" t="s">
        <v>583</v>
      </c>
      <c r="I44" s="854">
        <v>13001</v>
      </c>
      <c r="J44" s="9">
        <f>_xll.BDP(H44&amp;" EQUITY",$L$1)</f>
        <v>98.58</v>
      </c>
      <c r="K44" s="112">
        <f>_xll.BDP(H44&amp;" EQUITY",$N$1)</f>
        <v>0.12</v>
      </c>
      <c r="L44" s="127">
        <f>_xll.BDP(H44&amp;" EQUITY",$O$1)*0.01</f>
        <v>1.218769E-3</v>
      </c>
      <c r="M44" s="161">
        <f t="shared" si="9"/>
        <v>1560.12</v>
      </c>
      <c r="O44" s="778">
        <f t="shared" si="6"/>
        <v>1281638.58</v>
      </c>
      <c r="P44" s="778"/>
      <c r="Q44" s="779">
        <f>_xll.BDP(H44&amp;" EQUITY",$AD$1)</f>
        <v>22.372367826479891</v>
      </c>
      <c r="R44" s="332">
        <v>70.8</v>
      </c>
      <c r="S44" s="8">
        <f t="shared" si="7"/>
        <v>0.39237288135593218</v>
      </c>
      <c r="T44" s="787" t="s">
        <v>191</v>
      </c>
      <c r="V44"/>
      <c r="AB44" s="732">
        <f t="shared" si="8"/>
        <v>101530.33751146001</v>
      </c>
    </row>
    <row r="45" spans="1:29" ht="15.75" x14ac:dyDescent="0.25">
      <c r="A45" s="760">
        <f>+B45*E45</f>
        <v>4.3282629682029578E-5</v>
      </c>
      <c r="B45" s="761">
        <f>_xll.BDP(H45&amp;" EQUITY",$B$3)*0.01</f>
        <v>4.6650494495241645E-3</v>
      </c>
      <c r="C45" s="225">
        <f>_xll.BDP(H45&amp;" EQUITY",$C$2)/1000000000</f>
        <v>7.2577275688800009</v>
      </c>
      <c r="D45" s="117">
        <v>1E-3</v>
      </c>
      <c r="E45" s="25">
        <f t="shared" si="5"/>
        <v>9.2780644986398611E-3</v>
      </c>
      <c r="F45" s="783" t="s">
        <v>610</v>
      </c>
      <c r="G45" s="788">
        <v>44</v>
      </c>
      <c r="H45" s="3" t="s">
        <v>611</v>
      </c>
      <c r="I45" s="854">
        <v>3995</v>
      </c>
      <c r="J45" s="9">
        <f>_xll.BDP(H45&amp;" EQUITY",$L$1)</f>
        <v>214.36</v>
      </c>
      <c r="K45" s="112">
        <f>_xll.BDP(H45&amp;" EQUITY",$N$1)</f>
        <v>-3.04</v>
      </c>
      <c r="L45" s="127">
        <f>_xll.BDP(H45&amp;" EQUITY",$O$1)*0.01</f>
        <v>-1.398344E-2</v>
      </c>
      <c r="M45" s="161">
        <f t="shared" si="9"/>
        <v>-12144.8</v>
      </c>
      <c r="O45" s="778">
        <f t="shared" si="6"/>
        <v>856368.20000000007</v>
      </c>
      <c r="P45" s="778"/>
      <c r="Q45" s="779">
        <f>_xll.BDP(H45&amp;" EQUITY",$AD$1)</f>
        <v>13.770597322348095</v>
      </c>
      <c r="R45" s="332">
        <v>202.84</v>
      </c>
      <c r="S45" s="8">
        <f t="shared" si="7"/>
        <v>5.6793531847761924E-2</v>
      </c>
      <c r="T45" s="787" t="s">
        <v>191</v>
      </c>
      <c r="V45"/>
      <c r="AB45" s="732">
        <f t="shared" si="8"/>
        <v>92300.306828600005</v>
      </c>
    </row>
    <row r="46" spans="1:29" ht="15.75" x14ac:dyDescent="0.25">
      <c r="B46" s="761"/>
      <c r="C46" s="225">
        <f>_xll.BDP(H46&amp;" EQUITY",$C$2)/1000000000</f>
        <v>7.811259999209998</v>
      </c>
      <c r="E46" s="25">
        <f t="shared" si="5"/>
        <v>9.3035615969796325E-3</v>
      </c>
      <c r="F46" s="783" t="s">
        <v>664</v>
      </c>
      <c r="G46" s="788">
        <v>55</v>
      </c>
      <c r="H46" s="188" t="s">
        <v>665</v>
      </c>
      <c r="I46" s="854">
        <v>15121</v>
      </c>
      <c r="J46" s="9">
        <f>_xll.BDP(H46&amp;" EQUITY",$L$1)</f>
        <v>56.79</v>
      </c>
      <c r="K46" s="112">
        <f>_xll.BDP(H46&amp;" EQUITY",$N$1)</f>
        <v>0.14000000000000001</v>
      </c>
      <c r="L46" s="127">
        <f>_xll.BDP(H46&amp;" EQUITY",$O$1)*0.01</f>
        <v>2.471315E-3</v>
      </c>
      <c r="M46" s="161">
        <f t="shared" si="9"/>
        <v>2116.94</v>
      </c>
      <c r="O46" s="778">
        <f t="shared" si="6"/>
        <v>858721.59</v>
      </c>
      <c r="P46" s="778"/>
      <c r="Q46" s="779">
        <f>_xll.BDP(H46&amp;" EQUITY",$AD$1)</f>
        <v>47.686757215619693</v>
      </c>
      <c r="R46" s="332">
        <v>68.989999999999995</v>
      </c>
      <c r="S46" s="8">
        <f t="shared" si="7"/>
        <v>-0.17683722278591096</v>
      </c>
      <c r="T46" s="787" t="s">
        <v>300</v>
      </c>
      <c r="V46"/>
      <c r="AB46" s="732">
        <f t="shared" si="8"/>
        <v>0</v>
      </c>
      <c r="AC46" s="782">
        <f>+O46-AB46</f>
        <v>858721.59</v>
      </c>
    </row>
    <row r="47" spans="1:29" ht="15.75" x14ac:dyDescent="0.25">
      <c r="A47" s="760">
        <f>+B47*E47</f>
        <v>1.3684895123561677E-4</v>
      </c>
      <c r="B47" s="761">
        <f>_xll.BDP(H47&amp;" EQUITY",$B$3)*0.01</f>
        <v>1.3726836168856022E-2</v>
      </c>
      <c r="C47" s="225">
        <f>_xll.BDP(H47&amp;" EQUITY",$C$2)/1000000000</f>
        <v>7.2721929117199995</v>
      </c>
      <c r="E47" s="25">
        <f t="shared" si="5"/>
        <v>9.9694459489583602E-3</v>
      </c>
      <c r="F47" s="783" t="s">
        <v>668</v>
      </c>
      <c r="G47" s="788">
        <v>53</v>
      </c>
      <c r="H47" s="3" t="s">
        <v>669</v>
      </c>
      <c r="I47" s="854">
        <v>15789</v>
      </c>
      <c r="J47" s="9">
        <f>_xll.BDP(H47&amp;" EQUITY",$L$1)</f>
        <v>58.28</v>
      </c>
      <c r="K47" s="112">
        <f>_xll.BDP(H47&amp;" EQUITY",$N$1)</f>
        <v>-1</v>
      </c>
      <c r="L47" s="127">
        <f>_xll.BDP(H47&amp;" EQUITY",$O$1)*0.01</f>
        <v>-1.6869099999999998E-2</v>
      </c>
      <c r="M47" s="161">
        <f t="shared" si="9"/>
        <v>-15789</v>
      </c>
      <c r="O47" s="778">
        <f t="shared" si="6"/>
        <v>920182.92</v>
      </c>
      <c r="P47" s="778"/>
      <c r="Q47" s="779">
        <f>_xll.BDP(H47&amp;" EQUITY",$AD$1)</f>
        <v>7.463582928699207</v>
      </c>
      <c r="R47" s="332">
        <v>56.86</v>
      </c>
      <c r="S47" s="8">
        <f t="shared" si="7"/>
        <v>2.4973619416109871E-2</v>
      </c>
      <c r="T47" s="787" t="s">
        <v>189</v>
      </c>
      <c r="V47"/>
      <c r="AB47" s="732">
        <f t="shared" si="8"/>
        <v>0</v>
      </c>
      <c r="AC47" s="782">
        <f>+O47-AB47</f>
        <v>920182.92</v>
      </c>
    </row>
    <row r="48" spans="1:29" ht="15.75" x14ac:dyDescent="0.25">
      <c r="B48" s="761"/>
      <c r="C48" s="225">
        <f>_xll.BDP(H48&amp;" EQUITY",$C$2)/1000000000</f>
        <v>3.5113665158399998</v>
      </c>
      <c r="E48" s="25">
        <f t="shared" si="5"/>
        <v>6.9449576282597375E-3</v>
      </c>
      <c r="F48" s="783" t="s">
        <v>714</v>
      </c>
      <c r="G48" s="788">
        <v>51</v>
      </c>
      <c r="H48" s="188" t="s">
        <v>715</v>
      </c>
      <c r="I48" s="854">
        <v>5828</v>
      </c>
      <c r="J48" s="9">
        <f>_xll.BDP(H48&amp;" EQUITY",$L$1)</f>
        <v>109.99</v>
      </c>
      <c r="K48" s="112">
        <f>_xll.BDP(H48&amp;" EQUITY",$N$1)</f>
        <v>-1.32</v>
      </c>
      <c r="L48" s="127">
        <f>_xll.BDP(H48&amp;" EQUITY",$O$1)*0.01</f>
        <v>-1.1858770000000001E-2</v>
      </c>
      <c r="M48" s="161">
        <f t="shared" si="9"/>
        <v>-7692.96</v>
      </c>
      <c r="O48" s="778">
        <f t="shared" si="6"/>
        <v>641021.72</v>
      </c>
      <c r="P48" s="778"/>
      <c r="R48" s="332">
        <v>132.27000000000001</v>
      </c>
      <c r="S48" s="8">
        <f t="shared" si="7"/>
        <v>-0.16844333560142144</v>
      </c>
      <c r="T48" s="787" t="s">
        <v>300</v>
      </c>
      <c r="V48"/>
      <c r="AB48" s="732">
        <f t="shared" si="8"/>
        <v>0</v>
      </c>
      <c r="AC48" s="782">
        <f>+O48-AB48</f>
        <v>641021.72</v>
      </c>
    </row>
    <row r="49" spans="1:29" ht="15.75" x14ac:dyDescent="0.25">
      <c r="B49" s="761"/>
      <c r="C49" s="225">
        <f>_xll.BDP(H49&amp;" EQUITY",$C$2)/1000000000</f>
        <v>5.7754311672399998</v>
      </c>
      <c r="E49" s="25">
        <f t="shared" si="5"/>
        <v>7.0484650306537645E-3</v>
      </c>
      <c r="F49" s="783" t="s">
        <v>700</v>
      </c>
      <c r="G49" s="788">
        <v>27</v>
      </c>
      <c r="H49" s="3" t="s">
        <v>701</v>
      </c>
      <c r="I49" s="854">
        <v>12141</v>
      </c>
      <c r="J49" s="9">
        <f>_xll.BDP(H49&amp;" EQUITY",$L$1)</f>
        <v>53.585000000000001</v>
      </c>
      <c r="K49" s="112">
        <f>_xll.BDP(H49&amp;" EQUITY",$N$1)</f>
        <v>0.16500000000000001</v>
      </c>
      <c r="L49" s="127">
        <f>_xll.BDP(H49&amp;" EQUITY",$O$1)*0.01</f>
        <v>3.0887310000000004E-3</v>
      </c>
      <c r="M49" s="161">
        <f t="shared" si="9"/>
        <v>2003.2650000000001</v>
      </c>
      <c r="O49" s="778">
        <f t="shared" si="6"/>
        <v>650575.48499999999</v>
      </c>
      <c r="P49" s="778"/>
      <c r="Q49" s="779">
        <f>_xll.BDP(H49&amp;" EQUITY",$AD$1)</f>
        <v>26.786072144288578</v>
      </c>
      <c r="R49" s="332">
        <v>68.25</v>
      </c>
      <c r="S49" s="8">
        <f t="shared" si="7"/>
        <v>-0.21487179487179486</v>
      </c>
      <c r="T49" s="787" t="s">
        <v>300</v>
      </c>
      <c r="V49"/>
      <c r="AB49" s="732">
        <f t="shared" si="8"/>
        <v>0</v>
      </c>
      <c r="AC49" s="782">
        <f>+O49-AB49</f>
        <v>650575.48499999999</v>
      </c>
    </row>
    <row r="50" spans="1:29" ht="15.75" x14ac:dyDescent="0.25">
      <c r="B50" s="761"/>
      <c r="C50" s="225">
        <f>_xll.BDP(H50&amp;" EQUITY",$C$2)/1000000000</f>
        <v>5.9386467477</v>
      </c>
      <c r="E50" s="25">
        <f t="shared" si="5"/>
        <v>1.2857734614076804E-2</v>
      </c>
      <c r="F50" s="783" t="s">
        <v>684</v>
      </c>
      <c r="G50" s="788">
        <v>49</v>
      </c>
      <c r="H50" s="188" t="s">
        <v>685</v>
      </c>
      <c r="I50" s="854">
        <v>7173</v>
      </c>
      <c r="J50" s="9">
        <f>_xll.BDP(H50&amp;" EQUITY",$L$1)</f>
        <v>165.45</v>
      </c>
      <c r="K50" s="112">
        <f>_xll.BDP(H50&amp;" EQUITY",$N$1)</f>
        <v>-0.44</v>
      </c>
      <c r="L50" s="127">
        <f>_xll.BDP(H50&amp;" EQUITY",$O$1)*0.01</f>
        <v>-2.6523600000000003E-3</v>
      </c>
      <c r="M50" s="161">
        <f t="shared" si="9"/>
        <v>-3156.12</v>
      </c>
      <c r="O50" s="778">
        <f t="shared" si="6"/>
        <v>1186772.8499999999</v>
      </c>
      <c r="P50" s="778"/>
      <c r="Q50" s="779">
        <f>_xll.BDP(H50&amp;" EQUITY",$AD$1)</f>
        <v>50.811558561327999</v>
      </c>
      <c r="R50" s="332">
        <v>168.41</v>
      </c>
      <c r="S50" s="8">
        <f t="shared" si="7"/>
        <v>-1.7576153435069242E-2</v>
      </c>
      <c r="T50" s="787" t="s">
        <v>300</v>
      </c>
      <c r="V50"/>
      <c r="AB50" s="732">
        <f t="shared" si="8"/>
        <v>0</v>
      </c>
    </row>
    <row r="51" spans="1:29" ht="15.75" x14ac:dyDescent="0.25">
      <c r="B51" s="761"/>
      <c r="C51" s="225">
        <f>_xll.BDP(H51&amp;" EQUITY",$C$2)/1000000000</f>
        <v>4.8832201930499997</v>
      </c>
      <c r="E51" s="25">
        <f t="shared" si="5"/>
        <v>1.4717374152640227E-2</v>
      </c>
      <c r="F51" s="783" t="s">
        <v>676</v>
      </c>
      <c r="G51" s="788">
        <v>63</v>
      </c>
      <c r="H51" s="3" t="s">
        <v>677</v>
      </c>
      <c r="I51" s="854">
        <v>14555</v>
      </c>
      <c r="J51" s="9">
        <f>_xll.BDP(H51&amp;" EQUITY",$L$1)</f>
        <v>93.33</v>
      </c>
      <c r="K51" s="112">
        <f>_xll.BDP(H51&amp;" EQUITY",$N$1)</f>
        <v>-0.94</v>
      </c>
      <c r="L51" s="127">
        <f>_xll.BDP(H51&amp;" EQUITY",$O$1)*0.01</f>
        <v>-9.9713589999999991E-3</v>
      </c>
      <c r="M51" s="161">
        <f t="shared" si="9"/>
        <v>-13681.699999999999</v>
      </c>
      <c r="O51" s="778">
        <f t="shared" si="6"/>
        <v>1358418.15</v>
      </c>
      <c r="P51" s="778"/>
      <c r="Q51" s="779">
        <f>_xll.BDP(H51&amp;" EQUITY",$AD$1)</f>
        <v>25.025620280474648</v>
      </c>
      <c r="R51" s="332">
        <v>59.7</v>
      </c>
      <c r="S51" s="8">
        <f t="shared" si="7"/>
        <v>0.56331658291457276</v>
      </c>
      <c r="T51" s="787" t="s">
        <v>276</v>
      </c>
      <c r="V51"/>
      <c r="AB51" s="732">
        <f t="shared" si="8"/>
        <v>0</v>
      </c>
      <c r="AC51" s="782">
        <f>+O51-AB51</f>
        <v>1358418.15</v>
      </c>
    </row>
    <row r="52" spans="1:29" ht="15.75" x14ac:dyDescent="0.25">
      <c r="A52" s="760">
        <f>+B52*E52</f>
        <v>4.1946556742028691E-4</v>
      </c>
      <c r="B52" s="761">
        <f>_xll.BDP(H52&amp;" EQUITY",$B$3)*0.01</f>
        <v>4.2160738441155678E-2</v>
      </c>
      <c r="C52" s="225">
        <f>_xll.BDP(H52&amp;" EQUITY",$C$2)/1000000000</f>
        <v>3.8350495078500004</v>
      </c>
      <c r="E52" s="25">
        <f t="shared" si="5"/>
        <v>9.9491987789953155E-3</v>
      </c>
      <c r="F52" s="783" t="s">
        <v>682</v>
      </c>
      <c r="G52" s="788">
        <v>56</v>
      </c>
      <c r="H52" s="3" t="s">
        <v>683</v>
      </c>
      <c r="I52" s="854">
        <v>24198</v>
      </c>
      <c r="J52" s="9">
        <f>_xll.BDP(H52&amp;" EQUITY",$L$1)</f>
        <v>37.950000000000003</v>
      </c>
      <c r="K52" s="112">
        <f>_xll.BDP(H52&amp;" EQUITY",$N$1)</f>
        <v>-0.49</v>
      </c>
      <c r="L52" s="127">
        <f>_xll.BDP(H52&amp;" EQUITY",$O$1)*0.01</f>
        <v>-1.2747139999999999E-2</v>
      </c>
      <c r="M52" s="161">
        <f t="shared" si="9"/>
        <v>-11857.02</v>
      </c>
      <c r="O52" s="778">
        <f t="shared" si="6"/>
        <v>918314.10000000009</v>
      </c>
      <c r="P52" s="778"/>
      <c r="Q52" s="779">
        <f>_xll.BDP(H52&amp;" EQUITY",$AD$1)</f>
        <v>7.091112770724421</v>
      </c>
      <c r="R52" s="332">
        <v>37.07</v>
      </c>
      <c r="S52" s="8">
        <f t="shared" si="7"/>
        <v>2.3738872403560984E-2</v>
      </c>
      <c r="T52" s="787" t="s">
        <v>189</v>
      </c>
      <c r="V52"/>
      <c r="AB52" s="732">
        <f t="shared" si="8"/>
        <v>0</v>
      </c>
    </row>
    <row r="53" spans="1:29" ht="15.75" x14ac:dyDescent="0.25">
      <c r="A53" s="760" t="e">
        <f>+B53*E53</f>
        <v>#VALUE!</v>
      </c>
      <c r="B53" s="761" t="e">
        <f>_xll.BDP(H53&amp;" EQUITY",$B$3)*0.01</f>
        <v>#VALUE!</v>
      </c>
      <c r="C53" s="225">
        <f>_xll.BDP(H53&amp;" EQUITY",$C$2)/1000000000</f>
        <v>18.160683319410001</v>
      </c>
      <c r="E53" s="25">
        <f t="shared" si="5"/>
        <v>1.2238145178624576E-2</v>
      </c>
      <c r="F53" s="783" t="s">
        <v>732</v>
      </c>
      <c r="G53" s="788">
        <v>41</v>
      </c>
      <c r="H53" s="3" t="s">
        <v>733</v>
      </c>
      <c r="I53" s="101">
        <v>10593</v>
      </c>
      <c r="J53" s="9">
        <f>_xll.BDP(H53&amp;" EQUITY",$L$1)</f>
        <v>106.63500000000001</v>
      </c>
      <c r="K53" s="112">
        <f>_xll.BDP(H53&amp;" EQUITY",$N$1)</f>
        <v>-0.13500000000000001</v>
      </c>
      <c r="L53" s="127">
        <f>_xll.BDP(H53&amp;" EQUITY",$O$1)*0.01</f>
        <v>-1.2643999999999999E-3</v>
      </c>
      <c r="M53" s="161">
        <f t="shared" si="9"/>
        <v>-1430.0550000000001</v>
      </c>
      <c r="O53" s="778">
        <f t="shared" si="6"/>
        <v>1129584.5550000002</v>
      </c>
      <c r="P53" s="778"/>
      <c r="Q53" s="779">
        <f>_xll.BDP(H53&amp;" EQUITY",$AD$1)</f>
        <v>93.073555166374774</v>
      </c>
      <c r="R53" s="332">
        <v>81.58</v>
      </c>
      <c r="S53" s="8">
        <f t="shared" si="7"/>
        <v>0.30712184358911498</v>
      </c>
      <c r="T53" s="787" t="s">
        <v>255</v>
      </c>
      <c r="V53"/>
      <c r="AB53" s="732">
        <f t="shared" si="8"/>
        <v>0</v>
      </c>
    </row>
    <row r="54" spans="1:29" ht="15.75" x14ac:dyDescent="0.25">
      <c r="A54" s="760"/>
      <c r="B54" s="761"/>
      <c r="C54" s="225">
        <f>_xll.BDP(H54&amp;" EQUITY",$C$2)/1000000000</f>
        <v>6.2543973792999985</v>
      </c>
      <c r="D54" s="85">
        <v>7.4000000000000003E-3</v>
      </c>
      <c r="E54" s="25">
        <f t="shared" si="5"/>
        <v>9.6343796738545262E-3</v>
      </c>
      <c r="F54" s="783" t="s">
        <v>572</v>
      </c>
      <c r="G54" s="788">
        <v>61</v>
      </c>
      <c r="H54" s="188" t="s">
        <v>573</v>
      </c>
      <c r="I54" s="854">
        <v>20690</v>
      </c>
      <c r="J54" s="9">
        <f>_xll.BDP(H54&amp;" EQUITY",$L$1)</f>
        <v>42.98</v>
      </c>
      <c r="K54" s="112">
        <f>_xll.BDP(H54&amp;" EQUITY",$N$1)</f>
        <v>-1.97</v>
      </c>
      <c r="L54" s="127">
        <f>_xll.BDP(H54&amp;" EQUITY",$O$1)*0.01</f>
        <v>-4.3826470000000006E-2</v>
      </c>
      <c r="M54" s="161">
        <f t="shared" si="9"/>
        <v>-40759.300000000003</v>
      </c>
      <c r="O54" s="778">
        <f t="shared" si="6"/>
        <v>889256.2</v>
      </c>
      <c r="P54" s="778"/>
      <c r="Q54" s="779">
        <f>_xll.BDP(H54&amp;" EQUITY",$AD$1)</f>
        <v>36.712095400340722</v>
      </c>
      <c r="R54" s="332">
        <v>38.25</v>
      </c>
      <c r="S54" s="8">
        <f t="shared" si="7"/>
        <v>0.12366013071895421</v>
      </c>
      <c r="T54" s="787" t="s">
        <v>275</v>
      </c>
      <c r="V54"/>
      <c r="AB54" s="732">
        <f t="shared" si="8"/>
        <v>683022.27053164004</v>
      </c>
    </row>
    <row r="55" spans="1:29" ht="15.75" x14ac:dyDescent="0.25">
      <c r="A55" s="760"/>
      <c r="B55" s="761"/>
      <c r="C55" s="225">
        <f>_xll.BDP(H55&amp;" EQUITY",$C$2)/1000000000</f>
        <v>3.5122216896</v>
      </c>
      <c r="D55" s="85">
        <v>3.7000000000000002E-3</v>
      </c>
      <c r="E55" s="25">
        <f t="shared" si="5"/>
        <v>7.9124538703451396E-3</v>
      </c>
      <c r="F55" s="783" t="s">
        <v>580</v>
      </c>
      <c r="G55" s="788">
        <v>24</v>
      </c>
      <c r="H55" s="824" t="s">
        <v>581</v>
      </c>
      <c r="I55" s="854">
        <v>21132</v>
      </c>
      <c r="J55" s="9">
        <f>_xll.BDP(H55&amp;" EQUITY",$L$1)</f>
        <v>34.56</v>
      </c>
      <c r="K55" s="112">
        <f>_xll.BDP(H55&amp;" EQUITY",$N$1)</f>
        <v>-0.34</v>
      </c>
      <c r="L55" s="127">
        <f>_xll.BDP(H55&amp;" EQUITY",$O$1)*0.01</f>
        <v>-9.7421199999999999E-3</v>
      </c>
      <c r="M55" s="161">
        <f t="shared" si="9"/>
        <v>-7184.88</v>
      </c>
      <c r="O55" s="778">
        <f t="shared" si="6"/>
        <v>730321.92000000004</v>
      </c>
      <c r="P55" s="778"/>
      <c r="R55" s="332">
        <v>53.13</v>
      </c>
      <c r="S55" s="8">
        <f t="shared" si="7"/>
        <v>-0.34952004517221913</v>
      </c>
      <c r="T55" s="787" t="s">
        <v>300</v>
      </c>
      <c r="V55"/>
      <c r="AB55" s="732">
        <f t="shared" si="8"/>
        <v>341511.13526582002</v>
      </c>
    </row>
    <row r="56" spans="1:29" ht="15.75" x14ac:dyDescent="0.25">
      <c r="B56" s="761"/>
      <c r="C56" s="225">
        <f>_xll.BDP(H56&amp;" EQUITY",$C$2)/1000000000</f>
        <v>6.8502672254999988</v>
      </c>
      <c r="E56" s="25">
        <f t="shared" si="5"/>
        <v>9.884272234264229E-3</v>
      </c>
      <c r="F56" s="783" t="s">
        <v>718</v>
      </c>
      <c r="G56" s="788">
        <v>42</v>
      </c>
      <c r="H56" s="3" t="s">
        <v>719</v>
      </c>
      <c r="I56" s="854">
        <v>4932</v>
      </c>
      <c r="J56" s="9">
        <f>_xll.BDP(H56&amp;" EQUITY",$L$1)</f>
        <v>184.98</v>
      </c>
      <c r="K56" s="112">
        <f>_xll.BDP(H56&amp;" EQUITY",$N$1)</f>
        <v>-0.64</v>
      </c>
      <c r="L56" s="127">
        <f>_xll.BDP(H56&amp;" EQUITY",$O$1)*0.01</f>
        <v>-3.4479039999999999E-3</v>
      </c>
      <c r="M56" s="161">
        <f t="shared" si="9"/>
        <v>-3156.48</v>
      </c>
      <c r="O56" s="778">
        <f t="shared" si="6"/>
        <v>912321.36</v>
      </c>
      <c r="P56" s="778"/>
      <c r="Q56" s="779">
        <f>_xll.BDP(H56&amp;" EQUITY",$AD$1)</f>
        <v>55.844001199760044</v>
      </c>
      <c r="R56" s="332">
        <v>193.84</v>
      </c>
      <c r="S56" s="8">
        <f t="shared" si="7"/>
        <v>-4.5707800247626995E-2</v>
      </c>
      <c r="T56" s="787" t="s">
        <v>300</v>
      </c>
      <c r="V56"/>
      <c r="AB56" s="732">
        <f t="shared" si="8"/>
        <v>0</v>
      </c>
    </row>
    <row r="57" spans="1:29" ht="15.75" x14ac:dyDescent="0.25">
      <c r="B57" s="761"/>
      <c r="C57" s="225">
        <f>_xll.BDP(H57&amp;" EQUITY",$C$2)/1000000000</f>
        <v>1.8222200622999998</v>
      </c>
      <c r="E57" s="25">
        <f t="shared" si="5"/>
        <v>4.5547857254764085E-3</v>
      </c>
      <c r="F57" s="783" t="s">
        <v>716</v>
      </c>
      <c r="G57" s="788">
        <v>37</v>
      </c>
      <c r="H57" s="824" t="s">
        <v>717</v>
      </c>
      <c r="I57" s="854">
        <v>13044</v>
      </c>
      <c r="J57" s="9">
        <f>_xll.BDP(H57&amp;" EQUITY",$L$1)</f>
        <v>32.229999999999997</v>
      </c>
      <c r="K57" s="112">
        <f>_xll.BDP(H57&amp;" EQUITY",$N$1)</f>
        <v>0.02</v>
      </c>
      <c r="L57" s="127">
        <f>_xll.BDP(H57&amp;" EQUITY",$O$1)*0.01</f>
        <v>6.209252E-4</v>
      </c>
      <c r="M57" s="161">
        <f t="shared" si="9"/>
        <v>260.88</v>
      </c>
      <c r="O57" s="778">
        <f t="shared" si="6"/>
        <v>420408.11999999994</v>
      </c>
      <c r="P57" s="778"/>
      <c r="Q57" s="779">
        <f>_xll.BDP(H57&amp;" EQUITY",$AD$1)</f>
        <v>69.44086021505376</v>
      </c>
      <c r="R57" s="332">
        <v>61.44</v>
      </c>
      <c r="S57" s="8">
        <f t="shared" si="7"/>
        <v>-0.47542317708333337</v>
      </c>
      <c r="T57" s="787" t="s">
        <v>300</v>
      </c>
      <c r="V57"/>
      <c r="AB57" s="732">
        <f t="shared" si="8"/>
        <v>0</v>
      </c>
    </row>
    <row r="58" spans="1:29" ht="15.75" x14ac:dyDescent="0.25">
      <c r="A58" s="760">
        <f>+B58*E58</f>
        <v>1.0262652820343808E-4</v>
      </c>
      <c r="B58" s="761">
        <f>_xll.BDP(H58&amp;" EQUITY",$B$3)*0.01</f>
        <v>1.84991058765493E-2</v>
      </c>
      <c r="C58" s="225">
        <f>_xll.BDP(H58&amp;" EQUITY",$C$2)/1000000000</f>
        <v>5.8907624757299999</v>
      </c>
      <c r="E58" s="25">
        <f t="shared" si="5"/>
        <v>5.5476480262505179E-3</v>
      </c>
      <c r="F58" s="783" t="s">
        <v>674</v>
      </c>
      <c r="G58" s="788">
        <v>52</v>
      </c>
      <c r="H58" s="3" t="s">
        <v>675</v>
      </c>
      <c r="I58" s="854">
        <v>3157</v>
      </c>
      <c r="J58" s="9">
        <f>_xll.BDP(H58&amp;" EQUITY",$L$1)</f>
        <v>162.19499999999999</v>
      </c>
      <c r="K58" s="112">
        <f>_xll.BDP(H58&amp;" EQUITY",$N$1)</f>
        <v>-3.7450000000000001</v>
      </c>
      <c r="L58" s="127">
        <f>_xll.BDP(H58&amp;" EQUITY",$O$1)*0.01</f>
        <v>-2.2568399999999999E-2</v>
      </c>
      <c r="M58" s="161">
        <f t="shared" si="9"/>
        <v>-11822.965</v>
      </c>
      <c r="O58" s="778">
        <f t="shared" si="6"/>
        <v>512049.61499999999</v>
      </c>
      <c r="P58" s="778"/>
      <c r="Q58" s="779">
        <f>_xll.BDP(H58&amp;" EQUITY",$AD$1)</f>
        <v>8.0597236666171437</v>
      </c>
      <c r="R58" s="332">
        <v>174.2</v>
      </c>
      <c r="S58" s="8">
        <f t="shared" si="7"/>
        <v>-6.8915040183696874E-2</v>
      </c>
      <c r="T58" s="787" t="s">
        <v>276</v>
      </c>
      <c r="V58"/>
      <c r="AB58" s="732">
        <f t="shared" si="8"/>
        <v>0</v>
      </c>
    </row>
    <row r="59" spans="1:29" ht="15.75" x14ac:dyDescent="0.25">
      <c r="B59" s="761"/>
      <c r="C59" s="225">
        <f>_xll.BDP(H59&amp;" EQUITY",$C$2)/1000000000</f>
        <v>4.7901779016000017</v>
      </c>
      <c r="E59" s="25">
        <f t="shared" si="5"/>
        <v>1.0913106950668175E-2</v>
      </c>
      <c r="F59" s="783" t="s">
        <v>742</v>
      </c>
      <c r="G59" s="788">
        <v>50</v>
      </c>
      <c r="H59" s="188" t="s">
        <v>743</v>
      </c>
      <c r="I59" s="854">
        <v>23447</v>
      </c>
      <c r="J59" s="9">
        <f>_xll.BDP(H59&amp;" EQUITY",$L$1)</f>
        <v>42.96</v>
      </c>
      <c r="K59" s="112">
        <f>_xll.BDP(H59&amp;" EQUITY",$N$1)</f>
        <v>-0.36</v>
      </c>
      <c r="L59" s="127">
        <f>_xll.BDP(H59&amp;" EQUITY",$O$1)*0.01</f>
        <v>-8.3102490000000005E-3</v>
      </c>
      <c r="M59" s="161">
        <f t="shared" si="9"/>
        <v>-8440.92</v>
      </c>
      <c r="O59" s="778">
        <f t="shared" si="6"/>
        <v>1007283.12</v>
      </c>
      <c r="P59" s="778"/>
      <c r="Q59" s="779">
        <f>_xll.BDP(H59&amp;" EQUITY",$AD$1)</f>
        <v>290.67567567567573</v>
      </c>
      <c r="R59" s="332">
        <v>45.28</v>
      </c>
      <c r="S59" s="8">
        <f t="shared" si="7"/>
        <v>-5.1236749116607805E-2</v>
      </c>
      <c r="T59" s="787" t="s">
        <v>300</v>
      </c>
      <c r="V59"/>
      <c r="AB59" s="732">
        <f t="shared" si="8"/>
        <v>0</v>
      </c>
    </row>
    <row r="60" spans="1:29" ht="15.75" x14ac:dyDescent="0.25">
      <c r="A60" s="760"/>
      <c r="B60" s="761"/>
      <c r="C60" s="225">
        <f>_xll.BDP(H60&amp;" EQUITY",$C$2)/1000000000</f>
        <v>3.2005676958299993</v>
      </c>
      <c r="D60" s="25">
        <v>4.1999999999999997E-3</v>
      </c>
      <c r="E60" s="25">
        <f t="shared" si="5"/>
        <v>4.9233093108114493E-3</v>
      </c>
      <c r="F60" s="783" t="s">
        <v>606</v>
      </c>
      <c r="G60" s="788">
        <v>34</v>
      </c>
      <c r="H60" s="824" t="s">
        <v>607</v>
      </c>
      <c r="I60" s="854">
        <v>24392</v>
      </c>
      <c r="J60" s="9">
        <f>_xll.BDP(H60&amp;" EQUITY",$L$1)</f>
        <v>18.63</v>
      </c>
      <c r="K60" s="112">
        <f>_xll.BDP(H60&amp;" EQUITY",$N$1)</f>
        <v>-0.42</v>
      </c>
      <c r="L60" s="127">
        <f>_xll.BDP(H60&amp;" EQUITY",$O$1)*0.01</f>
        <v>-2.2047240000000003E-2</v>
      </c>
      <c r="M60" s="161">
        <f t="shared" si="9"/>
        <v>-10244.64</v>
      </c>
      <c r="O60" s="778">
        <f t="shared" si="6"/>
        <v>454422.95999999996</v>
      </c>
      <c r="P60" s="778"/>
      <c r="Q60" s="779">
        <f>_xll.BDP(H60&amp;" EQUITY",$AD$1)</f>
        <v>36.328125</v>
      </c>
      <c r="R60" s="332">
        <v>36.78</v>
      </c>
      <c r="S60" s="8">
        <f t="shared" si="7"/>
        <v>-0.49347471451876024</v>
      </c>
      <c r="T60" s="787" t="s">
        <v>300</v>
      </c>
      <c r="V60"/>
      <c r="AB60" s="732">
        <f t="shared" si="8"/>
        <v>387661.28868012002</v>
      </c>
    </row>
    <row r="61" spans="1:29" ht="15.75" x14ac:dyDescent="0.25">
      <c r="B61" s="761"/>
      <c r="C61" s="225">
        <f>_xll.BDP(H61&amp;" EQUITY",$C$2)/1000000000</f>
        <v>3.6049660639999996</v>
      </c>
      <c r="E61" s="25">
        <f t="shared" si="5"/>
        <v>1.0434989688480204E-2</v>
      </c>
      <c r="F61" s="783" t="s">
        <v>658</v>
      </c>
      <c r="G61" s="788">
        <v>67</v>
      </c>
      <c r="H61" s="188" t="s">
        <v>659</v>
      </c>
      <c r="I61" s="854">
        <v>28967</v>
      </c>
      <c r="J61" s="9">
        <f>_xll.BDP(H61&amp;" EQUITY",$L$1)</f>
        <v>33.25</v>
      </c>
      <c r="K61" s="112">
        <f>_xll.BDP(H61&amp;" EQUITY",$N$1)</f>
        <v>-0.53</v>
      </c>
      <c r="L61" s="127">
        <f>_xll.BDP(H61&amp;" EQUITY",$O$1)*0.01</f>
        <v>-1.5689760000000001E-2</v>
      </c>
      <c r="M61" s="161">
        <f t="shared" si="9"/>
        <v>-15352.51</v>
      </c>
      <c r="O61" s="778">
        <f t="shared" si="6"/>
        <v>963152.75</v>
      </c>
      <c r="P61" s="778"/>
      <c r="Q61" s="779">
        <f>_xll.BDP(H61&amp;" EQUITY",$AD$1)</f>
        <v>55.149253731343286</v>
      </c>
      <c r="R61" s="332">
        <v>34.61</v>
      </c>
      <c r="S61" s="8">
        <f t="shared" si="7"/>
        <v>-3.9295001444669131E-2</v>
      </c>
      <c r="T61" s="787" t="s">
        <v>300</v>
      </c>
      <c r="V61"/>
      <c r="AB61" s="732">
        <f t="shared" si="8"/>
        <v>0</v>
      </c>
    </row>
    <row r="62" spans="1:29" ht="15.75" x14ac:dyDescent="0.25">
      <c r="B62" s="761"/>
      <c r="C62" s="225">
        <f>_xll.BDP(H62&amp;" EQUITY",$C$2)/1000000000</f>
        <v>3.7420652078800001</v>
      </c>
      <c r="E62" s="25">
        <f t="shared" si="5"/>
        <v>7.416457902693443E-3</v>
      </c>
      <c r="F62" s="783" t="s">
        <v>710</v>
      </c>
      <c r="G62" s="788">
        <v>74</v>
      </c>
      <c r="H62" s="188" t="s">
        <v>711</v>
      </c>
      <c r="I62" s="854">
        <v>7763</v>
      </c>
      <c r="J62" s="9">
        <f>_xll.BDP(H62&amp;" EQUITY",$L$1)</f>
        <v>88.18</v>
      </c>
      <c r="K62" s="112">
        <f>_xll.BDP(H62&amp;" EQUITY",$N$1)</f>
        <v>-0.08</v>
      </c>
      <c r="L62" s="127">
        <f>_xll.BDP(H62&amp;" EQUITY",$O$1)*0.01</f>
        <v>-9.0641289999999998E-4</v>
      </c>
      <c r="M62" s="161">
        <f t="shared" si="9"/>
        <v>-621.04</v>
      </c>
      <c r="O62" s="778">
        <f t="shared" si="6"/>
        <v>684541.34000000008</v>
      </c>
      <c r="P62" s="778"/>
      <c r="Q62" s="779">
        <f>_xll.BDP(H62&amp;" EQUITY",$AD$1)</f>
        <v>120.05449591280654</v>
      </c>
      <c r="R62" s="332">
        <v>74.12</v>
      </c>
      <c r="S62" s="8">
        <f t="shared" si="7"/>
        <v>0.18969239071775501</v>
      </c>
      <c r="T62" s="787" t="s">
        <v>276</v>
      </c>
      <c r="V62"/>
      <c r="AB62" s="732">
        <f t="shared" si="8"/>
        <v>0</v>
      </c>
    </row>
    <row r="63" spans="1:29" ht="15.75" x14ac:dyDescent="0.25">
      <c r="B63" s="761"/>
      <c r="C63" s="225">
        <f>_xll.BDP(H63&amp;" EQUITY",$C$2)/1000000000</f>
        <v>5.6157251929649998</v>
      </c>
      <c r="E63" s="25">
        <f t="shared" si="5"/>
        <v>1.0755668254099324E-2</v>
      </c>
      <c r="F63" s="783" t="s">
        <v>636</v>
      </c>
      <c r="G63" s="788">
        <v>58</v>
      </c>
      <c r="H63" s="188" t="s">
        <v>637</v>
      </c>
      <c r="I63" s="854">
        <v>8904</v>
      </c>
      <c r="J63" s="9">
        <f>_xll.BDP(H63&amp;" EQUITY",$L$1)</f>
        <v>111.495</v>
      </c>
      <c r="K63" s="112">
        <f>_xll.BDP(H63&amp;" EQUITY",$N$1)</f>
        <v>-0.48499999999999999</v>
      </c>
      <c r="L63" s="127">
        <f>_xll.BDP(H63&amp;" EQUITY",$O$1)*0.01</f>
        <v>-4.3311310000000002E-3</v>
      </c>
      <c r="M63" s="161">
        <f t="shared" si="9"/>
        <v>-4318.4399999999996</v>
      </c>
      <c r="O63" s="778">
        <f t="shared" si="6"/>
        <v>992751.4800000001</v>
      </c>
      <c r="P63" s="778"/>
      <c r="R63" s="332">
        <v>79.489999999999995</v>
      </c>
      <c r="S63" s="8">
        <f t="shared" si="7"/>
        <v>0.40262926154233258</v>
      </c>
      <c r="T63" s="787" t="s">
        <v>258</v>
      </c>
      <c r="V63"/>
      <c r="AB63" s="732">
        <f t="shared" si="8"/>
        <v>0</v>
      </c>
      <c r="AC63" s="782">
        <f>+O63-AB63</f>
        <v>992751.4800000001</v>
      </c>
    </row>
    <row r="64" spans="1:29" ht="15.75" x14ac:dyDescent="0.25">
      <c r="B64" s="761"/>
      <c r="C64" s="225">
        <f>_xll.BDP(H64&amp;" EQUITY",$C$2)/1000000000</f>
        <v>4.2628843665000007</v>
      </c>
      <c r="E64" s="25">
        <f t="shared" si="5"/>
        <v>1.0385965474417702E-2</v>
      </c>
      <c r="F64" s="783" t="s">
        <v>698</v>
      </c>
      <c r="G64" s="788">
        <v>72</v>
      </c>
      <c r="H64" s="3" t="s">
        <v>699</v>
      </c>
      <c r="I64" s="854">
        <v>16614</v>
      </c>
      <c r="J64" s="9">
        <f>_xll.BDP(H64&amp;" EQUITY",$L$1)</f>
        <v>57.7</v>
      </c>
      <c r="K64" s="112">
        <f>_xll.BDP(H64&amp;" EQUITY",$N$1)</f>
        <v>-0.38</v>
      </c>
      <c r="L64" s="127">
        <f>_xll.BDP(H64&amp;" EQUITY",$O$1)*0.01</f>
        <v>-6.5427000000000003E-3</v>
      </c>
      <c r="M64" s="161">
        <f t="shared" si="9"/>
        <v>-6313.32</v>
      </c>
      <c r="O64" s="778">
        <f t="shared" si="6"/>
        <v>958627.8</v>
      </c>
      <c r="P64" s="778"/>
      <c r="Q64" s="779">
        <f>_xll.BDP(H64&amp;" EQUITY",$AD$1)</f>
        <v>91.693037974683548</v>
      </c>
      <c r="R64" s="332">
        <v>34.770000000000003</v>
      </c>
      <c r="S64" s="8">
        <f t="shared" si="7"/>
        <v>0.65947656025309165</v>
      </c>
      <c r="T64" s="787" t="s">
        <v>258</v>
      </c>
      <c r="V64"/>
      <c r="AB64" s="732">
        <f t="shared" si="8"/>
        <v>0</v>
      </c>
      <c r="AC64" s="782">
        <f>+O64-AB64</f>
        <v>958627.8</v>
      </c>
    </row>
    <row r="65" spans="1:29" ht="15.75" x14ac:dyDescent="0.25">
      <c r="B65" s="761"/>
      <c r="C65" s="225">
        <f>_xll.BDP(H65&amp;" EQUITY",$C$2)/1000000000</f>
        <v>12.567700684499998</v>
      </c>
      <c r="E65" s="25">
        <f t="shared" si="5"/>
        <v>9.1539132320435368E-3</v>
      </c>
      <c r="F65" s="783" t="s">
        <v>712</v>
      </c>
      <c r="G65" s="788">
        <v>76</v>
      </c>
      <c r="H65" s="3" t="s">
        <v>713</v>
      </c>
      <c r="I65" s="854">
        <v>2524</v>
      </c>
      <c r="J65" s="9">
        <f>_xll.BDP(H65&amp;" EQUITY",$L$1)</f>
        <v>334.75</v>
      </c>
      <c r="K65" s="112" t="str">
        <f>_xll.BDP(H65&amp;" EQUITY",$N$1)</f>
        <v>#N/A N/A</v>
      </c>
      <c r="L65" s="127" t="e">
        <f>_xll.BDP(H65&amp;" EQUITY",$O$1)*0.01</f>
        <v>#VALUE!</v>
      </c>
      <c r="M65" s="161" t="e">
        <f t="shared" si="9"/>
        <v>#VALUE!</v>
      </c>
      <c r="O65" s="778">
        <f t="shared" si="6"/>
        <v>844909</v>
      </c>
      <c r="P65" s="778"/>
      <c r="Q65" s="779">
        <f>_xll.BDP(H65&amp;" EQUITY",$AD$1)</f>
        <v>65</v>
      </c>
      <c r="R65" s="332">
        <v>190.56</v>
      </c>
      <c r="S65" s="8">
        <f t="shared" si="7"/>
        <v>0.75666456759026035</v>
      </c>
      <c r="T65" s="787" t="s">
        <v>258</v>
      </c>
      <c r="V65"/>
      <c r="AB65" s="732">
        <f t="shared" si="8"/>
        <v>0</v>
      </c>
      <c r="AC65" s="782">
        <f>+O65-AB65</f>
        <v>844909</v>
      </c>
    </row>
    <row r="66" spans="1:29" ht="15.75" x14ac:dyDescent="0.25">
      <c r="A66" s="760"/>
      <c r="B66" s="761"/>
      <c r="C66" s="225">
        <f>_xll.BDP(H66&amp;" EQUITY",$C$2)/1000000000</f>
        <v>7.3955969136000004</v>
      </c>
      <c r="D66" s="85">
        <v>2.8E-3</v>
      </c>
      <c r="E66" s="25">
        <f t="shared" si="5"/>
        <v>8.2291514091115282E-3</v>
      </c>
      <c r="F66" s="783" t="s">
        <v>576</v>
      </c>
      <c r="G66" s="788">
        <v>60</v>
      </c>
      <c r="H66" s="3" t="s">
        <v>577</v>
      </c>
      <c r="I66" s="854">
        <v>13396</v>
      </c>
      <c r="J66" s="9">
        <f>_xll.BDP(H66&amp;" EQUITY",$L$1)</f>
        <v>56.7</v>
      </c>
      <c r="K66" s="112">
        <f>_xll.BDP(H66&amp;" EQUITY",$N$1)</f>
        <v>-0.64</v>
      </c>
      <c r="L66" s="127">
        <f>_xll.BDP(H66&amp;" EQUITY",$O$1)*0.01</f>
        <v>-1.1161490000000001E-2</v>
      </c>
      <c r="M66" s="161">
        <f t="shared" si="9"/>
        <v>-8573.44</v>
      </c>
      <c r="O66" s="778">
        <f t="shared" si="6"/>
        <v>759553.20000000007</v>
      </c>
      <c r="P66" s="778"/>
      <c r="Q66" s="779">
        <f>_xll.BDP(H66&amp;" EQUITY",$AD$1)</f>
        <v>31.661129568106311</v>
      </c>
      <c r="R66" s="332">
        <v>55.43</v>
      </c>
      <c r="S66" s="8">
        <f t="shared" si="7"/>
        <v>2.2911780624210731E-2</v>
      </c>
      <c r="T66" s="787" t="s">
        <v>302</v>
      </c>
      <c r="V66"/>
      <c r="AB66" s="732">
        <f t="shared" si="8"/>
        <v>258440.85912008001</v>
      </c>
    </row>
    <row r="67" spans="1:29" ht="15.75" x14ac:dyDescent="0.25">
      <c r="A67" s="760">
        <f>+B67*E67</f>
        <v>5.6913355862350318E-5</v>
      </c>
      <c r="B67" s="761">
        <f>_xll.BDP(H67&amp;" EQUITY",$B$3)*0.01</f>
        <v>5.7823586824539922E-3</v>
      </c>
      <c r="C67" s="225">
        <f>_xll.BDP(H67&amp;" EQUITY",$C$2)/1000000000</f>
        <v>5.4900139207500009</v>
      </c>
      <c r="D67" s="85">
        <v>5.3E-3</v>
      </c>
      <c r="E67" s="25">
        <f t="shared" si="5"/>
        <v>9.8425848322153363E-3</v>
      </c>
      <c r="F67" s="783" t="s">
        <v>574</v>
      </c>
      <c r="G67" s="788">
        <v>62</v>
      </c>
      <c r="H67" s="3" t="s">
        <v>575</v>
      </c>
      <c r="I67" s="101">
        <v>4864</v>
      </c>
      <c r="J67" s="9">
        <f>_xll.BDP(H67&amp;" EQUITY",$L$1)</f>
        <v>186.77500000000001</v>
      </c>
      <c r="K67" s="112">
        <f>_xll.BDP(H67&amp;" EQUITY",$N$1)</f>
        <v>-0.28499999999999998</v>
      </c>
      <c r="L67" s="127">
        <f>_xll.BDP(H67&amp;" EQUITY",$O$1)*0.01</f>
        <v>-1.5235750000000001E-3</v>
      </c>
      <c r="M67" s="161">
        <f t="shared" si="9"/>
        <v>-1386.2399999999998</v>
      </c>
      <c r="O67" s="778">
        <f t="shared" si="6"/>
        <v>908473.6</v>
      </c>
      <c r="P67" s="778"/>
      <c r="Q67" s="779">
        <f>_xll.BDP(H67&amp;" EQUITY",$AD$1)</f>
        <v>45.086580086580085</v>
      </c>
      <c r="R67" s="332">
        <v>154.37</v>
      </c>
      <c r="S67" s="8">
        <f t="shared" si="7"/>
        <v>0.20991773012891102</v>
      </c>
      <c r="T67" s="787" t="s">
        <v>300</v>
      </c>
      <c r="V67"/>
      <c r="AB67" s="732">
        <f t="shared" si="8"/>
        <v>489191.62619158003</v>
      </c>
    </row>
    <row r="68" spans="1:29" ht="15.75" x14ac:dyDescent="0.25">
      <c r="B68" s="761"/>
      <c r="C68" s="225">
        <f>_xll.BDP(H68&amp;" EQUITY",$C$2)/1000000000</f>
        <v>3.4303611752999998</v>
      </c>
      <c r="E68" s="25">
        <f t="shared" ref="E68:E103" si="10">+O68/$O$105</f>
        <v>7.3544674262086222E-3</v>
      </c>
      <c r="F68" s="783" t="s">
        <v>722</v>
      </c>
      <c r="G68" s="788">
        <v>54</v>
      </c>
      <c r="H68" s="3" t="s">
        <v>723</v>
      </c>
      <c r="I68" s="101">
        <v>7816</v>
      </c>
      <c r="J68" s="9">
        <f>_xll.BDP(H68&amp;" EQUITY",$L$1)</f>
        <v>86.85</v>
      </c>
      <c r="K68" s="112">
        <f>_xll.BDP(H68&amp;" EQUITY",$N$1)</f>
        <v>-0.74</v>
      </c>
      <c r="L68" s="127">
        <f>_xll.BDP(H68&amp;" EQUITY",$O$1)*0.01</f>
        <v>-8.4484529999999999E-3</v>
      </c>
      <c r="M68" s="161">
        <f t="shared" si="9"/>
        <v>-5783.84</v>
      </c>
      <c r="O68" s="778">
        <f t="shared" ref="O68:O103" si="11">+J68*I68</f>
        <v>678819.6</v>
      </c>
      <c r="P68" s="778"/>
      <c r="Q68" s="779">
        <f>_xll.BDP(H68&amp;" EQUITY",$AD$1)</f>
        <v>39.924242424242422</v>
      </c>
      <c r="R68" s="332">
        <v>114.08</v>
      </c>
      <c r="S68" s="8">
        <f t="shared" ref="S68:S98" si="12">+J68/R68-1</f>
        <v>-0.23869214586255261</v>
      </c>
      <c r="T68" s="787" t="s">
        <v>300</v>
      </c>
      <c r="V68"/>
      <c r="AB68" s="732">
        <f t="shared" si="8"/>
        <v>0</v>
      </c>
    </row>
    <row r="69" spans="1:29" ht="15.75" x14ac:dyDescent="0.25">
      <c r="B69" s="761"/>
      <c r="C69" s="225">
        <f>_xll.BDP(H69&amp;" EQUITY",$C$2)/1000000000</f>
        <v>7.4453372679649998</v>
      </c>
      <c r="E69" s="25">
        <f t="shared" si="10"/>
        <v>6.4165774779037458E-3</v>
      </c>
      <c r="F69" s="783" t="s">
        <v>680</v>
      </c>
      <c r="G69" s="788">
        <v>73</v>
      </c>
      <c r="H69" s="3" t="s">
        <v>681</v>
      </c>
      <c r="I69" s="854">
        <v>11546</v>
      </c>
      <c r="J69" s="9">
        <f>_xll.BDP(H69&amp;" EQUITY",$L$1)</f>
        <v>51.295000000000002</v>
      </c>
      <c r="K69" s="112">
        <f>_xll.BDP(H69&amp;" EQUITY",$N$1)</f>
        <v>-0.53500000000000003</v>
      </c>
      <c r="L69" s="127">
        <f>_xll.BDP(H69&amp;" EQUITY",$O$1)*0.01</f>
        <v>-1.032221E-2</v>
      </c>
      <c r="M69" s="161">
        <f t="shared" si="9"/>
        <v>-6177.1100000000006</v>
      </c>
      <c r="O69" s="778">
        <f t="shared" si="11"/>
        <v>592252.07000000007</v>
      </c>
      <c r="P69" s="778"/>
      <c r="Q69" s="779">
        <f>_xll.BDP(H69&amp;" EQUITY",$AD$1)</f>
        <v>16.630789302022176</v>
      </c>
      <c r="R69" s="332">
        <v>46.85</v>
      </c>
      <c r="S69" s="8">
        <f t="shared" si="12"/>
        <v>9.4877267876200655E-2</v>
      </c>
      <c r="T69" s="787" t="s">
        <v>275</v>
      </c>
      <c r="V69"/>
      <c r="AB69" s="732">
        <f t="shared" ref="AB69:AB103" si="13">+D69*$O$105</f>
        <v>0</v>
      </c>
    </row>
    <row r="70" spans="1:29" ht="15.75" x14ac:dyDescent="0.25">
      <c r="B70" s="761"/>
      <c r="C70" s="225">
        <f>_xll.BDP(H70&amp;" EQUITY",$C$2)/1000000000</f>
        <v>4.8076618119599992</v>
      </c>
      <c r="E70" s="25">
        <f t="shared" si="10"/>
        <v>8.6298519189015981E-3</v>
      </c>
      <c r="F70" s="783" t="s">
        <v>672</v>
      </c>
      <c r="G70" s="788">
        <v>59</v>
      </c>
      <c r="H70" s="3" t="s">
        <v>673</v>
      </c>
      <c r="I70" s="854">
        <v>9627</v>
      </c>
      <c r="J70" s="9">
        <f>_xll.BDP(H70&amp;" EQUITY",$L$1)</f>
        <v>82.74</v>
      </c>
      <c r="K70" s="112">
        <f>_xll.BDP(H70&amp;" EQUITY",$N$1)</f>
        <v>-0.7</v>
      </c>
      <c r="L70" s="127">
        <f>_xll.BDP(H70&amp;" EQUITY",$O$1)*0.01</f>
        <v>-8.3892619999999998E-3</v>
      </c>
      <c r="M70" s="161">
        <f t="shared" si="9"/>
        <v>-6738.9</v>
      </c>
      <c r="O70" s="778">
        <f t="shared" si="11"/>
        <v>796537.98</v>
      </c>
      <c r="P70" s="778"/>
      <c r="Q70" s="779">
        <f>_xll.BDP(H70&amp;" EQUITY",$AD$1)</f>
        <v>25.007503001200483</v>
      </c>
      <c r="R70" s="332">
        <v>75.959999999999994</v>
      </c>
      <c r="S70" s="8">
        <f t="shared" si="12"/>
        <v>8.9257503949447203E-2</v>
      </c>
      <c r="T70" s="787" t="s">
        <v>258</v>
      </c>
      <c r="V70"/>
      <c r="AB70" s="732">
        <f t="shared" si="13"/>
        <v>0</v>
      </c>
    </row>
    <row r="71" spans="1:29" ht="15.75" x14ac:dyDescent="0.25">
      <c r="B71" s="761"/>
      <c r="C71" s="225">
        <f>_xll.BDP(H71&amp;" EQUITY",$C$2)/1000000000</f>
        <v>4.2627361786799991</v>
      </c>
      <c r="E71" s="25">
        <f t="shared" si="10"/>
        <v>7.4224210464674065E-3</v>
      </c>
      <c r="F71" s="783" t="s">
        <v>642</v>
      </c>
      <c r="G71" s="788">
        <v>66</v>
      </c>
      <c r="H71" s="3" t="s">
        <v>643</v>
      </c>
      <c r="I71" s="101">
        <v>8189</v>
      </c>
      <c r="J71" s="9">
        <f>_xll.BDP(H71&amp;" EQUITY",$L$1)</f>
        <v>83.66</v>
      </c>
      <c r="K71" s="112">
        <f>_xll.BDP(H71&amp;" EQUITY",$N$1)</f>
        <v>-2.0699999999999998</v>
      </c>
      <c r="L71" s="127">
        <f>_xll.BDP(H71&amp;" EQUITY",$O$1)*0.01</f>
        <v>-2.4145569999999998E-2</v>
      </c>
      <c r="M71" s="161">
        <f t="shared" si="9"/>
        <v>-16951.23</v>
      </c>
      <c r="O71" s="778">
        <f t="shared" si="11"/>
        <v>685091.74</v>
      </c>
      <c r="P71" s="778"/>
      <c r="Q71" s="779">
        <f>_xll.BDP(H71&amp;" EQUITY",$AD$1)</f>
        <v>18.738638882731102</v>
      </c>
      <c r="R71" s="332">
        <v>85.51</v>
      </c>
      <c r="S71" s="8">
        <f t="shared" si="12"/>
        <v>-2.1634896503333056E-2</v>
      </c>
      <c r="T71" s="787" t="s">
        <v>258</v>
      </c>
      <c r="V71"/>
      <c r="AB71" s="732">
        <f t="shared" si="13"/>
        <v>0</v>
      </c>
      <c r="AC71" s="782">
        <f>+O71-AB71</f>
        <v>685091.74</v>
      </c>
    </row>
    <row r="72" spans="1:29" ht="15.75" x14ac:dyDescent="0.25">
      <c r="B72" s="761"/>
      <c r="C72" s="225">
        <f>_xll.BDP(H72&amp;" EQUITY",$C$2)/1000000000</f>
        <v>6.0098854802399986</v>
      </c>
      <c r="E72" s="25">
        <f t="shared" si="10"/>
        <v>9.8625835739684677E-3</v>
      </c>
      <c r="F72" s="783" t="s">
        <v>686</v>
      </c>
      <c r="G72" s="788">
        <v>65</v>
      </c>
      <c r="H72" s="3" t="s">
        <v>687</v>
      </c>
      <c r="I72" s="854">
        <v>9271</v>
      </c>
      <c r="J72" s="9">
        <f>_xll.BDP(H72&amp;" EQUITY",$L$1)</f>
        <v>98.19</v>
      </c>
      <c r="K72" s="112">
        <f>_xll.BDP(H72&amp;" EQUITY",$N$1)</f>
        <v>0.37</v>
      </c>
      <c r="L72" s="127">
        <f>_xll.BDP(H72&amp;" EQUITY",$O$1)*0.01</f>
        <v>3.7824580000000003E-3</v>
      </c>
      <c r="M72" s="161">
        <f t="shared" si="9"/>
        <v>3430.27</v>
      </c>
      <c r="O72" s="778">
        <f t="shared" si="11"/>
        <v>910319.49</v>
      </c>
      <c r="P72" s="778"/>
      <c r="Q72" s="779">
        <f>_xll.BDP(H72&amp;" EQUITY",$AD$1)</f>
        <v>29.929512718357341</v>
      </c>
      <c r="R72" s="332">
        <v>75.89</v>
      </c>
      <c r="S72" s="8">
        <f t="shared" si="12"/>
        <v>0.29384635656871794</v>
      </c>
      <c r="T72" s="787" t="s">
        <v>276</v>
      </c>
      <c r="V72"/>
      <c r="AB72" s="732">
        <f t="shared" si="13"/>
        <v>0</v>
      </c>
    </row>
    <row r="73" spans="1:29" ht="15.75" x14ac:dyDescent="0.25">
      <c r="A73" s="760"/>
      <c r="B73" s="761"/>
      <c r="C73" s="225">
        <f>_xll.BDP(H73&amp;" EQUITY",$C$2)/1000000000</f>
        <v>2.0207501723799997</v>
      </c>
      <c r="D73" s="24"/>
      <c r="E73" s="25">
        <f t="shared" si="10"/>
        <v>4.9587199189914345E-3</v>
      </c>
      <c r="F73" s="783" t="s">
        <v>630</v>
      </c>
      <c r="G73" s="788">
        <v>71</v>
      </c>
      <c r="H73" s="188" t="s">
        <v>631</v>
      </c>
      <c r="I73" s="101">
        <v>28131</v>
      </c>
      <c r="J73" s="9">
        <f>_xll.BDP(H73&amp;" EQUITY",$L$1)</f>
        <v>16.27</v>
      </c>
      <c r="K73" s="112">
        <f>_xll.BDP(H73&amp;" EQUITY",$N$1)</f>
        <v>-0.08</v>
      </c>
      <c r="L73" s="127">
        <f>_xll.BDP(H73&amp;" EQUITY",$O$1)*0.01</f>
        <v>-4.8929660000000003E-3</v>
      </c>
      <c r="M73" s="161">
        <f t="shared" si="9"/>
        <v>-2250.48</v>
      </c>
      <c r="O73" s="778">
        <f t="shared" si="11"/>
        <v>457691.37</v>
      </c>
      <c r="P73" s="778"/>
      <c r="Q73" s="779">
        <f>_xll.BDP(H73&amp;" EQUITY",$AD$1)</f>
        <v>90.666666666666671</v>
      </c>
      <c r="R73" s="332">
        <v>23.15</v>
      </c>
      <c r="S73" s="8">
        <f t="shared" si="12"/>
        <v>-0.29719222462203021</v>
      </c>
      <c r="T73" s="787" t="s">
        <v>331</v>
      </c>
      <c r="V73"/>
      <c r="AB73" s="732">
        <f t="shared" si="13"/>
        <v>0</v>
      </c>
    </row>
    <row r="74" spans="1:29" ht="15.75" x14ac:dyDescent="0.25">
      <c r="B74" s="761"/>
      <c r="C74" s="225">
        <f>_xll.BDP(H74&amp;" EQUITY",$C$2)/1000000000</f>
        <v>6.8123889964799993</v>
      </c>
      <c r="E74" s="25">
        <f t="shared" si="10"/>
        <v>7.8012689745131343E-3</v>
      </c>
      <c r="F74" s="783" t="s">
        <v>706</v>
      </c>
      <c r="G74" s="788">
        <v>64</v>
      </c>
      <c r="H74" s="3" t="s">
        <v>707</v>
      </c>
      <c r="I74" s="854">
        <v>5906</v>
      </c>
      <c r="J74" s="9">
        <f>_xll.BDP(H74&amp;" EQUITY",$L$1)</f>
        <v>121.92</v>
      </c>
      <c r="K74" s="112">
        <f>_xll.BDP(H74&amp;" EQUITY",$N$1)</f>
        <v>-1.73</v>
      </c>
      <c r="L74" s="127">
        <f>_xll.BDP(H74&amp;" EQUITY",$O$1)*0.01</f>
        <v>-1.3991100000000001E-2</v>
      </c>
      <c r="M74" s="161">
        <f t="shared" si="9"/>
        <v>-10217.379999999999</v>
      </c>
      <c r="O74" s="778">
        <f t="shared" si="11"/>
        <v>720059.52</v>
      </c>
      <c r="P74" s="778"/>
      <c r="Q74" s="779">
        <f>_xll.BDP(H74&amp;" EQUITY",$AD$1)</f>
        <v>84.025394646533968</v>
      </c>
      <c r="R74" s="332">
        <v>179.8</v>
      </c>
      <c r="S74" s="8">
        <f t="shared" si="12"/>
        <v>-0.32191323692992213</v>
      </c>
      <c r="T74" s="787" t="s">
        <v>258</v>
      </c>
      <c r="V74"/>
      <c r="AB74" s="732">
        <f t="shared" si="13"/>
        <v>0</v>
      </c>
      <c r="AC74" s="77"/>
    </row>
    <row r="75" spans="1:29" ht="15.75" x14ac:dyDescent="0.25">
      <c r="B75" s="761"/>
      <c r="C75" s="225">
        <f>_xll.BDP(H75&amp;" EQUITY",$C$2)/1000000000</f>
        <v>7.8785235543749996</v>
      </c>
      <c r="E75" s="25">
        <f t="shared" si="10"/>
        <v>7.3977950178213603E-3</v>
      </c>
      <c r="F75" s="783" t="s">
        <v>656</v>
      </c>
      <c r="G75" s="788">
        <v>69</v>
      </c>
      <c r="H75" s="3" t="s">
        <v>657</v>
      </c>
      <c r="I75" s="101">
        <v>9150</v>
      </c>
      <c r="J75" s="9">
        <f>_xll.BDP(H75&amp;" EQUITY",$L$1)</f>
        <v>74.625</v>
      </c>
      <c r="K75" s="112">
        <f>_xll.BDP(H75&amp;" EQUITY",$N$1)</f>
        <v>-0.94499999999999995</v>
      </c>
      <c r="L75" s="127">
        <f>_xll.BDP(H75&amp;" EQUITY",$O$1)*0.01</f>
        <v>-1.2504960000000001E-2</v>
      </c>
      <c r="M75" s="161">
        <f t="shared" si="9"/>
        <v>-8646.75</v>
      </c>
      <c r="O75" s="778">
        <f t="shared" si="11"/>
        <v>682818.75</v>
      </c>
      <c r="P75" s="778"/>
      <c r="R75" s="332">
        <v>71.62</v>
      </c>
      <c r="S75" s="8">
        <f t="shared" si="12"/>
        <v>4.1957553755934018E-2</v>
      </c>
      <c r="T75" s="787" t="s">
        <v>258</v>
      </c>
      <c r="V75"/>
      <c r="AB75" s="732">
        <f t="shared" si="13"/>
        <v>0</v>
      </c>
    </row>
    <row r="76" spans="1:29" ht="15.75" x14ac:dyDescent="0.25">
      <c r="B76" s="761"/>
      <c r="C76" s="225">
        <f>_xll.BDP(H76&amp;" EQUITY",$C$2)/1000000000</f>
        <v>7.2510250176000017</v>
      </c>
      <c r="E76" s="25">
        <f t="shared" si="10"/>
        <v>1.148177326179398E-2</v>
      </c>
      <c r="F76" s="783" t="s">
        <v>648</v>
      </c>
      <c r="G76" s="788">
        <v>77</v>
      </c>
      <c r="H76" s="3" t="s">
        <v>649</v>
      </c>
      <c r="I76" s="854">
        <v>12717</v>
      </c>
      <c r="J76" s="9">
        <f>_xll.BDP(H76&amp;" EQUITY",$L$1)</f>
        <v>83.334999999999994</v>
      </c>
      <c r="K76" s="112">
        <f>_xll.BDP(H76&amp;" EQUITY",$N$1)</f>
        <v>0.61499999999999999</v>
      </c>
      <c r="L76" s="127">
        <f>_xll.BDP(H76&amp;" EQUITY",$O$1)*0.01</f>
        <v>7.4347200000000006E-3</v>
      </c>
      <c r="M76" s="161">
        <f t="shared" si="9"/>
        <v>7820.9549999999999</v>
      </c>
      <c r="O76" s="778">
        <f t="shared" si="11"/>
        <v>1059771.1949999998</v>
      </c>
      <c r="P76" s="778"/>
      <c r="Q76" s="779">
        <f>_xll.BDP(H76&amp;" EQUITY",$AD$1)</f>
        <v>27.635607321131449</v>
      </c>
      <c r="R76" s="332">
        <v>66.3</v>
      </c>
      <c r="S76" s="8">
        <f t="shared" si="12"/>
        <v>0.25693815987933633</v>
      </c>
      <c r="T76" s="787" t="s">
        <v>258</v>
      </c>
      <c r="V76"/>
      <c r="AB76" s="732">
        <f t="shared" si="13"/>
        <v>0</v>
      </c>
    </row>
    <row r="77" spans="1:29" ht="15.75" x14ac:dyDescent="0.25">
      <c r="A77" s="760"/>
      <c r="B77" s="761"/>
      <c r="C77" s="225">
        <f>_xll.BDP(H77&amp;" EQUITY",$C$2)/1000000000</f>
        <v>1.63319796892</v>
      </c>
      <c r="D77" s="25">
        <v>3.7199999999999997E-2</v>
      </c>
      <c r="E77" s="25">
        <f t="shared" si="10"/>
        <v>4.6546948191387343E-3</v>
      </c>
      <c r="F77" s="783" t="s">
        <v>620</v>
      </c>
      <c r="G77" s="788">
        <v>29</v>
      </c>
      <c r="H77" s="188" t="s">
        <v>621</v>
      </c>
      <c r="I77" s="101">
        <v>15192</v>
      </c>
      <c r="J77" s="9">
        <f>_xll.BDP(H77&amp;" EQUITY",$L$1)</f>
        <v>28.28</v>
      </c>
      <c r="K77" s="112">
        <f>_xll.BDP(H77&amp;" EQUITY",$N$1)</f>
        <v>-0.03</v>
      </c>
      <c r="L77" s="127">
        <f>_xll.BDP(H77&amp;" EQUITY",$O$1)*0.01</f>
        <v>-1.0596959999999999E-3</v>
      </c>
      <c r="M77" s="161">
        <f t="shared" si="9"/>
        <v>-455.76</v>
      </c>
      <c r="O77" s="778">
        <f t="shared" si="11"/>
        <v>429629.76</v>
      </c>
      <c r="P77" s="778"/>
      <c r="Q77" s="779">
        <f>_xll.BDP(H77&amp;" EQUITY",$AD$1)</f>
        <v>19.692567168776669</v>
      </c>
      <c r="R77" s="332">
        <v>77.849999999999994</v>
      </c>
      <c r="S77" s="8">
        <f t="shared" si="12"/>
        <v>-0.63673731535003208</v>
      </c>
      <c r="T77" s="787" t="s">
        <v>300</v>
      </c>
      <c r="V77"/>
      <c r="AB77" s="732">
        <f t="shared" si="13"/>
        <v>3433571.41402392</v>
      </c>
    </row>
    <row r="78" spans="1:29" ht="15.75" x14ac:dyDescent="0.25">
      <c r="A78" s="760"/>
      <c r="B78" s="761"/>
      <c r="C78" s="225">
        <f>_xll.BDP(H78&amp;" EQUITY",$C$2)/1000000000</f>
        <v>6.1617123216000014</v>
      </c>
      <c r="D78" s="85">
        <v>1.0000000000000001E-5</v>
      </c>
      <c r="E78" s="25">
        <f t="shared" si="10"/>
        <v>4.7515783540613846E-3</v>
      </c>
      <c r="F78" s="783" t="s">
        <v>604</v>
      </c>
      <c r="G78" s="788">
        <v>68</v>
      </c>
      <c r="H78" s="3" t="s">
        <v>605</v>
      </c>
      <c r="I78" s="854">
        <v>8161</v>
      </c>
      <c r="J78" s="9">
        <f>_xll.BDP(H78&amp;" EQUITY",$L$1)</f>
        <v>53.74</v>
      </c>
      <c r="K78" s="112">
        <f>_xll.BDP(H78&amp;" EQUITY",$N$1)</f>
        <v>-0.16</v>
      </c>
      <c r="L78" s="127">
        <f>_xll.BDP(H78&amp;" EQUITY",$O$1)*0.01</f>
        <v>-2.96846E-3</v>
      </c>
      <c r="M78" s="161">
        <f t="shared" si="9"/>
        <v>-1305.76</v>
      </c>
      <c r="O78" s="778">
        <f t="shared" si="11"/>
        <v>438572.14</v>
      </c>
      <c r="P78" s="778"/>
      <c r="R78" s="332">
        <v>83.49</v>
      </c>
      <c r="S78" s="8">
        <f t="shared" si="12"/>
        <v>-0.35633009941310334</v>
      </c>
      <c r="T78" s="787" t="s">
        <v>258</v>
      </c>
      <c r="V78"/>
      <c r="AB78" s="732">
        <f t="shared" si="13"/>
        <v>923.00306828600014</v>
      </c>
      <c r="AC78" s="782">
        <f>+O78-AB78</f>
        <v>437649.13693171402</v>
      </c>
    </row>
    <row r="79" spans="1:29" ht="15.75" x14ac:dyDescent="0.25">
      <c r="A79" s="760">
        <f>+B79*E79</f>
        <v>1.4403419136285248E-4</v>
      </c>
      <c r="B79" s="761">
        <f>_xll.BDP(H79&amp;" EQUITY",$B$3)*0.01</f>
        <v>1.9694039120245678E-2</v>
      </c>
      <c r="C79" s="225">
        <f>_xll.BDP(H79&amp;" EQUITY",$C$2)/1000000000</f>
        <v>6.0664991401299995</v>
      </c>
      <c r="D79" s="85">
        <v>3.5999999999999999E-3</v>
      </c>
      <c r="E79" s="25">
        <f t="shared" si="10"/>
        <v>7.313593239224544E-3</v>
      </c>
      <c r="F79" s="783" t="s">
        <v>624</v>
      </c>
      <c r="G79" s="788">
        <v>78</v>
      </c>
      <c r="H79" s="3" t="s">
        <v>625</v>
      </c>
      <c r="I79" s="854">
        <v>11870</v>
      </c>
      <c r="J79" s="9">
        <f>_xll.BDP(H79&amp;" EQUITY",$L$1)</f>
        <v>56.87</v>
      </c>
      <c r="K79" s="112">
        <f>_xll.BDP(H79&amp;" EQUITY",$N$1)</f>
        <v>-0.47</v>
      </c>
      <c r="L79" s="127">
        <f>_xll.BDP(H79&amp;" EQUITY",$O$1)*0.01</f>
        <v>-8.1967210000000006E-3</v>
      </c>
      <c r="M79" s="161">
        <f t="shared" si="9"/>
        <v>-5578.9</v>
      </c>
      <c r="O79" s="778">
        <f t="shared" si="11"/>
        <v>675046.9</v>
      </c>
      <c r="P79" s="778"/>
      <c r="Q79" s="779">
        <f>_xll.BDP(H79&amp;" EQUITY",$AD$1)</f>
        <v>8.4861090476897925</v>
      </c>
      <c r="R79" s="332">
        <v>52.74</v>
      </c>
      <c r="S79" s="8">
        <f t="shared" si="12"/>
        <v>7.8308684110731885E-2</v>
      </c>
      <c r="T79" s="787" t="s">
        <v>331</v>
      </c>
      <c r="V79"/>
      <c r="AB79" s="732">
        <f t="shared" si="13"/>
        <v>332281.10458296002</v>
      </c>
    </row>
    <row r="80" spans="1:29" ht="15.75" x14ac:dyDescent="0.25">
      <c r="B80" s="761"/>
      <c r="C80" s="225">
        <f>_xll.BDP(H80&amp;" EQUITY",$C$2)/1000000000</f>
        <v>3.9375226661399996</v>
      </c>
      <c r="E80" s="25">
        <f t="shared" si="10"/>
        <v>5.0981915030231693E-3</v>
      </c>
      <c r="F80" s="783" t="s">
        <v>750</v>
      </c>
      <c r="G80" s="788">
        <v>70</v>
      </c>
      <c r="H80" s="3" t="s">
        <v>751</v>
      </c>
      <c r="I80" s="101">
        <v>6552</v>
      </c>
      <c r="J80" s="9">
        <f>_xll.BDP(H80&amp;" EQUITY",$L$1)</f>
        <v>71.819999999999993</v>
      </c>
      <c r="K80" s="112">
        <f>_xll.BDP(H80&amp;" EQUITY",$N$1)</f>
        <v>-0.49</v>
      </c>
      <c r="L80" s="127">
        <f>_xll.BDP(H80&amp;" EQUITY",$O$1)*0.01</f>
        <v>-6.7763789999999999E-3</v>
      </c>
      <c r="M80" s="161">
        <f t="shared" si="9"/>
        <v>-3210.48</v>
      </c>
      <c r="O80" s="778">
        <f t="shared" si="11"/>
        <v>470564.63999999996</v>
      </c>
      <c r="P80" s="778"/>
      <c r="Q80" s="779">
        <f>_xll.BDP(H80&amp;" EQUITY",$AD$1)</f>
        <v>72.19</v>
      </c>
      <c r="R80" s="332">
        <v>101.53</v>
      </c>
      <c r="S80" s="8">
        <f t="shared" si="12"/>
        <v>-0.29262287008765886</v>
      </c>
      <c r="T80" s="787" t="s">
        <v>300</v>
      </c>
      <c r="V80"/>
      <c r="AB80" s="732">
        <f t="shared" si="13"/>
        <v>0</v>
      </c>
    </row>
    <row r="81" spans="1:29" ht="15.75" x14ac:dyDescent="0.25">
      <c r="B81" s="761"/>
      <c r="C81" s="225">
        <f>_xll.BDP(H81&amp;" EQUITY",$C$2)/1000000000</f>
        <v>9.0219749826199997</v>
      </c>
      <c r="E81" s="25">
        <f t="shared" si="10"/>
        <v>1.2152916697048578E-2</v>
      </c>
      <c r="F81" s="783" t="s">
        <v>652</v>
      </c>
      <c r="G81" s="788">
        <v>84</v>
      </c>
      <c r="H81" s="3" t="s">
        <v>653</v>
      </c>
      <c r="I81" s="854">
        <v>37254</v>
      </c>
      <c r="J81" s="9">
        <f>_xll.BDP(H81&amp;" EQUITY",$L$1)</f>
        <v>30.11</v>
      </c>
      <c r="K81" s="112">
        <f>_xll.BDP(H81&amp;" EQUITY",$N$1)</f>
        <v>-0.12</v>
      </c>
      <c r="L81" s="127">
        <f>_xll.BDP(H81&amp;" EQUITY",$O$1)*0.01</f>
        <v>-3.9695670000000002E-3</v>
      </c>
      <c r="M81" s="161">
        <f t="shared" si="9"/>
        <v>-4470.4799999999996</v>
      </c>
      <c r="O81" s="778">
        <f t="shared" si="11"/>
        <v>1121717.94</v>
      </c>
      <c r="P81" s="778"/>
      <c r="Q81" s="779">
        <f>_xll.BDP(H81&amp;" EQUITY",$AD$1)</f>
        <v>27.13518352730528</v>
      </c>
      <c r="R81" s="332">
        <v>28.39</v>
      </c>
      <c r="S81" s="8">
        <f t="shared" si="12"/>
        <v>6.0584712927086892E-2</v>
      </c>
      <c r="T81" s="787" t="s">
        <v>300</v>
      </c>
      <c r="V81"/>
      <c r="AB81" s="732">
        <f t="shared" si="13"/>
        <v>0</v>
      </c>
      <c r="AC81" s="782">
        <f>+O81-AB81</f>
        <v>1121717.94</v>
      </c>
    </row>
    <row r="82" spans="1:29" ht="15.75" x14ac:dyDescent="0.25">
      <c r="B82" s="761"/>
      <c r="C82" s="225">
        <f>_xll.BDP(H82&amp;" EQUITY",$C$2)/1000000000</f>
        <v>8.1215228030399995</v>
      </c>
      <c r="E82" s="25">
        <f t="shared" si="10"/>
        <v>4.4508038392859061E-3</v>
      </c>
      <c r="F82" s="783" t="s">
        <v>738</v>
      </c>
      <c r="G82" s="788">
        <v>87</v>
      </c>
      <c r="H82" s="188" t="s">
        <v>739</v>
      </c>
      <c r="I82" s="854">
        <v>5498</v>
      </c>
      <c r="J82" s="9">
        <f>_xll.BDP(H82&amp;" EQUITY",$L$1)</f>
        <v>74.72</v>
      </c>
      <c r="K82" s="112">
        <f>_xll.BDP(H82&amp;" EQUITY",$N$1)</f>
        <v>-4.21</v>
      </c>
      <c r="L82" s="127">
        <f>_xll.BDP(H82&amp;" EQUITY",$O$1)*0.01</f>
        <v>-5.3338400000000008E-2</v>
      </c>
      <c r="M82" s="161">
        <f t="shared" si="9"/>
        <v>-23146.579999999998</v>
      </c>
      <c r="O82" s="778">
        <f t="shared" si="11"/>
        <v>410810.56</v>
      </c>
      <c r="P82" s="778"/>
      <c r="Q82" s="779">
        <f>_xll.BDP(H82&amp;" EQUITY",$AD$1)</f>
        <v>33.43708314806581</v>
      </c>
      <c r="R82" s="332">
        <v>82.79</v>
      </c>
      <c r="S82" s="8">
        <f t="shared" si="12"/>
        <v>-9.747554052421803E-2</v>
      </c>
      <c r="T82" s="787" t="s">
        <v>275</v>
      </c>
      <c r="V82"/>
      <c r="AB82" s="732">
        <f t="shared" si="13"/>
        <v>0</v>
      </c>
    </row>
    <row r="83" spans="1:29" ht="15.75" x14ac:dyDescent="0.25">
      <c r="A83" s="760"/>
      <c r="B83" s="761"/>
      <c r="C83" s="225">
        <f>_xll.BDP(H83&amp;" EQUITY",$C$2)/1000000000</f>
        <v>5.2941676522499996</v>
      </c>
      <c r="D83" s="85">
        <v>5.1999999999999998E-3</v>
      </c>
      <c r="E83" s="25">
        <f t="shared" si="10"/>
        <v>5.7148434076121123E-3</v>
      </c>
      <c r="F83" s="783" t="s">
        <v>562</v>
      </c>
      <c r="G83" s="788">
        <v>80</v>
      </c>
      <c r="H83" s="3" t="s">
        <v>563</v>
      </c>
      <c r="I83" s="101">
        <v>19304</v>
      </c>
      <c r="J83" s="9">
        <f>_xll.BDP(H83&amp;" EQUITY",$L$1)</f>
        <v>27.324999999999999</v>
      </c>
      <c r="K83" s="112">
        <f>_xll.BDP(H83&amp;" EQUITY",$N$1)</f>
        <v>7.4999999999999997E-2</v>
      </c>
      <c r="L83" s="127">
        <f>_xll.BDP(H83&amp;" EQUITY",$O$1)*0.01</f>
        <v>2.7522940000000002E-3</v>
      </c>
      <c r="M83" s="161">
        <f t="shared" ref="M83:M103" si="14">+K83*I83</f>
        <v>1447.8</v>
      </c>
      <c r="O83" s="778">
        <f t="shared" si="11"/>
        <v>527481.79999999993</v>
      </c>
      <c r="P83" s="778"/>
      <c r="Q83" s="779">
        <f>_xll.BDP(H83&amp;" EQUITY",$AD$1)</f>
        <v>62.511520737327189</v>
      </c>
      <c r="R83" s="332">
        <v>30.27</v>
      </c>
      <c r="S83" s="8">
        <f t="shared" si="12"/>
        <v>-9.7291047241493289E-2</v>
      </c>
      <c r="T83" s="787" t="s">
        <v>300</v>
      </c>
      <c r="V83"/>
      <c r="AB83" s="732">
        <f t="shared" si="13"/>
        <v>479961.59550872003</v>
      </c>
    </row>
    <row r="84" spans="1:29" ht="15.75" x14ac:dyDescent="0.25">
      <c r="B84" s="761"/>
      <c r="C84" s="225">
        <f>_xll.BDP(H84&amp;" EQUITY",$C$2)/1000000000</f>
        <v>5.2368967211449995</v>
      </c>
      <c r="E84" s="25">
        <f t="shared" si="10"/>
        <v>1.0740707307083576E-2</v>
      </c>
      <c r="F84" s="783" t="s">
        <v>678</v>
      </c>
      <c r="G84" s="788">
        <v>85</v>
      </c>
      <c r="H84" s="188" t="s">
        <v>679</v>
      </c>
      <c r="I84" s="854">
        <v>12252</v>
      </c>
      <c r="J84" s="9">
        <f>_xll.BDP(H84&amp;" EQUITY",$L$1)</f>
        <v>80.915000000000006</v>
      </c>
      <c r="K84" s="112">
        <f>_xll.BDP(H84&amp;" EQUITY",$N$1)</f>
        <v>-0.85499999999999998</v>
      </c>
      <c r="L84" s="127">
        <f>_xll.BDP(H84&amp;" EQUITY",$O$1)*0.01</f>
        <v>-1.0456160000000001E-2</v>
      </c>
      <c r="M84" s="161">
        <f t="shared" si="14"/>
        <v>-10475.459999999999</v>
      </c>
      <c r="O84" s="778">
        <f t="shared" si="11"/>
        <v>991370.58000000007</v>
      </c>
      <c r="P84" s="778"/>
      <c r="Q84" s="779">
        <f>_xll.BDP(H84&amp;" EQUITY",$AD$1)</f>
        <v>8.4267120462046208</v>
      </c>
      <c r="R84" s="332">
        <v>65.12</v>
      </c>
      <c r="S84" s="8">
        <f t="shared" si="12"/>
        <v>0.24255221130221138</v>
      </c>
      <c r="T84" s="787" t="s">
        <v>331</v>
      </c>
      <c r="V84"/>
      <c r="AB84" s="732">
        <f t="shared" si="13"/>
        <v>0</v>
      </c>
    </row>
    <row r="85" spans="1:29" ht="15.75" x14ac:dyDescent="0.25">
      <c r="A85" s="760"/>
      <c r="B85" s="761"/>
      <c r="C85" s="225">
        <f>_xll.BDP(H85&amp;" EQUITY",$C$2)/1000000000</f>
        <v>2.3636428713699997</v>
      </c>
      <c r="D85" s="85">
        <v>7.3300000000000004E-2</v>
      </c>
      <c r="E85" s="25">
        <f t="shared" si="10"/>
        <v>2.9414176325996289E-3</v>
      </c>
      <c r="F85" s="783" t="s">
        <v>553</v>
      </c>
      <c r="G85" s="788">
        <v>75</v>
      </c>
      <c r="H85" s="3" t="s">
        <v>554</v>
      </c>
      <c r="I85" s="101">
        <v>13750</v>
      </c>
      <c r="J85" s="9">
        <f>_xll.BDP(H85&amp;" EQUITY",$L$1)</f>
        <v>19.745000000000001</v>
      </c>
      <c r="K85" s="112">
        <f>_xll.BDP(H85&amp;" EQUITY",$N$1)</f>
        <v>-0.13500000000000001</v>
      </c>
      <c r="L85" s="127">
        <f>_xll.BDP(H85&amp;" EQUITY",$O$1)*0.01</f>
        <v>-6.7907439999999996E-3</v>
      </c>
      <c r="M85" s="161">
        <f t="shared" si="14"/>
        <v>-1856.2500000000002</v>
      </c>
      <c r="O85" s="778">
        <f t="shared" si="11"/>
        <v>271493.75</v>
      </c>
      <c r="P85" s="778"/>
      <c r="R85" s="332">
        <v>55.96</v>
      </c>
      <c r="S85" s="8">
        <f t="shared" si="12"/>
        <v>-0.64715868477483918</v>
      </c>
      <c r="T85" s="787" t="s">
        <v>258</v>
      </c>
      <c r="V85"/>
      <c r="AB85" s="732">
        <f t="shared" si="13"/>
        <v>6765612.4905363806</v>
      </c>
      <c r="AC85" s="782">
        <f>+O85-AB85</f>
        <v>-6494118.7405363806</v>
      </c>
    </row>
    <row r="86" spans="1:29" ht="15.75" x14ac:dyDescent="0.25">
      <c r="A86" s="760"/>
      <c r="B86" s="761"/>
      <c r="C86" s="225">
        <f>_xll.BDP(H86&amp;" EQUITY",$C$2)/1000000000</f>
        <v>4.8184583221900006</v>
      </c>
      <c r="D86" s="85">
        <v>5.9999999999999995E-4</v>
      </c>
      <c r="E86" s="25">
        <f t="shared" si="10"/>
        <v>9.2917044316287931E-3</v>
      </c>
      <c r="F86" s="783" t="s">
        <v>598</v>
      </c>
      <c r="G86" s="788">
        <v>83</v>
      </c>
      <c r="H86" s="3" t="s">
        <v>599</v>
      </c>
      <c r="I86" s="854">
        <v>29401</v>
      </c>
      <c r="J86" s="9">
        <f>_xll.BDP(H86&amp;" EQUITY",$L$1)</f>
        <v>29.17</v>
      </c>
      <c r="K86" s="112">
        <f>_xll.BDP(H86&amp;" EQUITY",$N$1)</f>
        <v>1.88</v>
      </c>
      <c r="L86" s="127">
        <f>_xll.BDP(H86&amp;" EQUITY",$O$1)*0.01</f>
        <v>6.8889699999999998E-2</v>
      </c>
      <c r="M86" s="161">
        <f t="shared" si="14"/>
        <v>55273.88</v>
      </c>
      <c r="O86" s="778">
        <f t="shared" si="11"/>
        <v>857627.17</v>
      </c>
      <c r="P86" s="778"/>
      <c r="Q86" s="779">
        <f>_xll.BDP(H86&amp;" EQUITY",$AD$1)</f>
        <v>85.131964809384158</v>
      </c>
      <c r="R86" s="332">
        <v>19.47</v>
      </c>
      <c r="S86" s="8">
        <f t="shared" si="12"/>
        <v>0.49820236260914252</v>
      </c>
      <c r="T86" s="787" t="s">
        <v>300</v>
      </c>
      <c r="V86"/>
      <c r="AB86" s="732">
        <f t="shared" si="13"/>
        <v>55380.184097159996</v>
      </c>
    </row>
    <row r="87" spans="1:29" ht="15.75" x14ac:dyDescent="0.25">
      <c r="B87" s="761"/>
      <c r="C87" s="225">
        <f>_xll.BDP(H87&amp;" EQUITY",$C$2)/1000000000</f>
        <v>2.4909731980799998</v>
      </c>
      <c r="E87" s="25">
        <f t="shared" si="10"/>
        <v>3.7834093081453822E-3</v>
      </c>
      <c r="F87" s="783" t="s">
        <v>696</v>
      </c>
      <c r="G87" s="788">
        <v>79</v>
      </c>
      <c r="H87" s="3" t="s">
        <v>697</v>
      </c>
      <c r="I87" s="101">
        <v>13349</v>
      </c>
      <c r="J87" s="9">
        <f>_xll.BDP(H87&amp;" EQUITY",$L$1)</f>
        <v>26.16</v>
      </c>
      <c r="K87" s="112">
        <f>_xll.BDP(H87&amp;" EQUITY",$N$1)</f>
        <v>0.04</v>
      </c>
      <c r="L87" s="127">
        <f>_xll.BDP(H87&amp;" EQUITY",$O$1)*0.01</f>
        <v>1.5313940000000002E-3</v>
      </c>
      <c r="M87" s="161">
        <f t="shared" si="14"/>
        <v>533.96</v>
      </c>
      <c r="O87" s="778">
        <f t="shared" si="11"/>
        <v>349209.84</v>
      </c>
      <c r="P87" s="778"/>
      <c r="Q87" s="779">
        <f>_xll.BDP(H87&amp;" EQUITY",$AD$1)</f>
        <v>17.313333333333333</v>
      </c>
      <c r="R87" s="332">
        <v>37.18</v>
      </c>
      <c r="S87" s="8">
        <f t="shared" si="12"/>
        <v>-0.29639591178052715</v>
      </c>
      <c r="T87" s="787" t="s">
        <v>258</v>
      </c>
      <c r="V87"/>
      <c r="AB87" s="732">
        <f t="shared" si="13"/>
        <v>0</v>
      </c>
    </row>
    <row r="88" spans="1:29" ht="15.75" x14ac:dyDescent="0.25">
      <c r="A88" s="760">
        <f>+B88*E88</f>
        <v>1.2532309088559947E-4</v>
      </c>
      <c r="B88" s="761">
        <f>_xll.BDP(H88&amp;" EQUITY",$B$3)*0.01</f>
        <v>1.1962616555044584E-2</v>
      </c>
      <c r="C88" s="225">
        <f>_xll.BDP(H88&amp;" EQUITY",$C$2)/1000000000</f>
        <v>6.4733246270000002</v>
      </c>
      <c r="D88" s="85">
        <v>1.0000000000000001E-5</v>
      </c>
      <c r="E88" s="25">
        <f t="shared" si="10"/>
        <v>1.047622736288001E-2</v>
      </c>
      <c r="F88" s="783" t="s">
        <v>612</v>
      </c>
      <c r="G88" s="788">
        <v>86</v>
      </c>
      <c r="H88" s="3" t="s">
        <v>613</v>
      </c>
      <c r="I88" s="854">
        <v>36148</v>
      </c>
      <c r="J88" s="9">
        <f>_xll.BDP(H88&amp;" EQUITY",$L$1)</f>
        <v>26.75</v>
      </c>
      <c r="K88" s="112">
        <f>_xll.BDP(H88&amp;" EQUITY",$N$1)</f>
        <v>-0.12</v>
      </c>
      <c r="L88" s="127">
        <f>_xll.BDP(H88&amp;" EQUITY",$O$1)*0.01</f>
        <v>-4.4659470000000005E-3</v>
      </c>
      <c r="M88" s="161">
        <f t="shared" si="14"/>
        <v>-4337.76</v>
      </c>
      <c r="O88" s="778">
        <f t="shared" si="11"/>
        <v>966959</v>
      </c>
      <c r="P88" s="778"/>
      <c r="Q88" s="779">
        <f>_xll.BDP(H88&amp;" EQUITY",$AD$1)</f>
        <v>18.893587033121914</v>
      </c>
      <c r="R88" s="332">
        <v>23.14</v>
      </c>
      <c r="S88" s="8">
        <f t="shared" si="12"/>
        <v>0.15600691443388071</v>
      </c>
      <c r="T88" s="787" t="s">
        <v>191</v>
      </c>
      <c r="V88"/>
      <c r="AB88" s="732">
        <f t="shared" si="13"/>
        <v>923.00306828600014</v>
      </c>
      <c r="AC88" s="782">
        <f>+O88-AB88</f>
        <v>966035.99693171401</v>
      </c>
    </row>
    <row r="89" spans="1:29" ht="15.75" x14ac:dyDescent="0.25">
      <c r="A89" s="760"/>
      <c r="B89" s="761"/>
      <c r="C89" s="225">
        <f>_xll.BDP(H89&amp;" EQUITY",$C$2)/1000000000</f>
        <v>10.458099389594999</v>
      </c>
      <c r="D89" s="85">
        <v>5.9999999999999995E-4</v>
      </c>
      <c r="E89" s="25">
        <f t="shared" si="10"/>
        <v>6.8065618803049557E-3</v>
      </c>
      <c r="F89" s="783" t="s">
        <v>586</v>
      </c>
      <c r="G89" s="788">
        <v>95</v>
      </c>
      <c r="H89" s="188" t="s">
        <v>587</v>
      </c>
      <c r="I89" s="854">
        <v>6850</v>
      </c>
      <c r="J89" s="9">
        <f>_xll.BDP(H89&amp;" EQUITY",$L$1)</f>
        <v>91.715000000000003</v>
      </c>
      <c r="K89" s="112">
        <f>_xll.BDP(H89&amp;" EQUITY",$N$1)</f>
        <v>0.81499999999999995</v>
      </c>
      <c r="L89" s="127">
        <f>_xll.BDP(H89&amp;" EQUITY",$O$1)*0.01</f>
        <v>8.9658970000000004E-3</v>
      </c>
      <c r="M89" s="161">
        <f t="shared" si="14"/>
        <v>5582.75</v>
      </c>
      <c r="O89" s="778">
        <f t="shared" si="11"/>
        <v>628247.75</v>
      </c>
      <c r="P89" s="778"/>
      <c r="Q89" s="779">
        <f>_xll.BDP(H89&amp;" EQUITY",$AD$1)</f>
        <v>261.41210374639763</v>
      </c>
      <c r="R89" s="332">
        <v>42.98</v>
      </c>
      <c r="S89" s="8">
        <f t="shared" si="12"/>
        <v>1.1338994881340159</v>
      </c>
      <c r="T89" s="787" t="s">
        <v>276</v>
      </c>
      <c r="V89"/>
      <c r="AB89" s="732">
        <f t="shared" si="13"/>
        <v>55380.184097159996</v>
      </c>
    </row>
    <row r="90" spans="1:29" ht="15.75" x14ac:dyDescent="0.25">
      <c r="A90" s="760">
        <f>+B90*E90</f>
        <v>1.4048923673207677E-4</v>
      </c>
      <c r="B90" s="761">
        <f>_xll.BDP(H90&amp;" EQUITY",$B$3)*0.01</f>
        <v>3.0690536271377394E-2</v>
      </c>
      <c r="C90" s="225">
        <f>_xll.BDP(H90&amp;" EQUITY",$C$2)/1000000000</f>
        <v>5.6716955822999999</v>
      </c>
      <c r="E90" s="25">
        <f t="shared" si="10"/>
        <v>4.5776077514520282E-3</v>
      </c>
      <c r="F90" s="783" t="s">
        <v>728</v>
      </c>
      <c r="G90" s="788">
        <v>89</v>
      </c>
      <c r="H90" s="3" t="s">
        <v>729</v>
      </c>
      <c r="I90" s="854">
        <v>7204</v>
      </c>
      <c r="J90" s="9">
        <f>_xll.BDP(H90&amp;" EQUITY",$L$1)</f>
        <v>58.65</v>
      </c>
      <c r="K90" s="112">
        <f>_xll.BDP(H90&amp;" EQUITY",$N$1)</f>
        <v>-0.23</v>
      </c>
      <c r="L90" s="127">
        <f>_xll.BDP(H90&amp;" EQUITY",$O$1)*0.01</f>
        <v>-3.90625E-3</v>
      </c>
      <c r="M90" s="161">
        <f t="shared" si="14"/>
        <v>-1656.92</v>
      </c>
      <c r="O90" s="778">
        <f t="shared" si="11"/>
        <v>422514.6</v>
      </c>
      <c r="P90" s="778"/>
      <c r="Q90" s="779">
        <f>_xll.BDP(H90&amp;" EQUITY",$AD$1)</f>
        <v>35.432546884452513</v>
      </c>
      <c r="R90" s="332">
        <v>62.67</v>
      </c>
      <c r="S90" s="8">
        <f t="shared" si="12"/>
        <v>-6.4145524174246127E-2</v>
      </c>
      <c r="T90" s="787" t="s">
        <v>192</v>
      </c>
      <c r="V90"/>
      <c r="AB90" s="732">
        <f t="shared" si="13"/>
        <v>0</v>
      </c>
    </row>
    <row r="91" spans="1:29" ht="15.75" x14ac:dyDescent="0.25">
      <c r="B91" s="761"/>
      <c r="C91" s="225">
        <f>_xll.BDP(H91&amp;" EQUITY",$C$2)/1000000000</f>
        <v>1.9985732504999998</v>
      </c>
      <c r="E91" s="25">
        <f t="shared" si="10"/>
        <v>4.356981724305496E-3</v>
      </c>
      <c r="F91" s="783" t="s">
        <v>694</v>
      </c>
      <c r="G91" s="788">
        <v>82</v>
      </c>
      <c r="H91" s="3" t="s">
        <v>695</v>
      </c>
      <c r="I91" s="101">
        <v>24009</v>
      </c>
      <c r="J91" s="9">
        <f>_xll.BDP(H91&amp;" EQUITY",$L$1)</f>
        <v>16.75</v>
      </c>
      <c r="K91" s="112">
        <f>_xll.BDP(H91&amp;" EQUITY",$N$1)</f>
        <v>-0.11</v>
      </c>
      <c r="L91" s="127">
        <f>_xll.BDP(H91&amp;" EQUITY",$O$1)*0.01</f>
        <v>-6.5243180000000003E-3</v>
      </c>
      <c r="M91" s="161">
        <f t="shared" si="14"/>
        <v>-2640.9900000000002</v>
      </c>
      <c r="O91" s="778">
        <f t="shared" si="11"/>
        <v>402150.75</v>
      </c>
      <c r="P91" s="778"/>
      <c r="Q91" s="779">
        <f>_xll.BDP(H91&amp;" EQUITY",$AD$1)</f>
        <v>28.617747440273039</v>
      </c>
      <c r="R91" s="332">
        <v>23.03</v>
      </c>
      <c r="S91" s="8">
        <f t="shared" si="12"/>
        <v>-0.27268779852366487</v>
      </c>
      <c r="T91" s="787" t="s">
        <v>258</v>
      </c>
      <c r="V91"/>
      <c r="AB91" s="732">
        <f t="shared" si="13"/>
        <v>0</v>
      </c>
    </row>
    <row r="92" spans="1:29" ht="15.75" x14ac:dyDescent="0.25">
      <c r="B92" s="761"/>
      <c r="C92" s="225">
        <f>_xll.BDP(H92&amp;" EQUITY",$C$2)/1000000000</f>
        <v>6.6379754699999998</v>
      </c>
      <c r="E92" s="25">
        <f t="shared" si="10"/>
        <v>5.8669942019326411E-3</v>
      </c>
      <c r="F92" s="783" t="s">
        <v>644</v>
      </c>
      <c r="G92" s="788">
        <v>93</v>
      </c>
      <c r="H92" s="3" t="s">
        <v>645</v>
      </c>
      <c r="I92" s="854">
        <v>10383</v>
      </c>
      <c r="J92" s="9">
        <f>_xll.BDP(H92&amp;" EQUITY",$L$1)</f>
        <v>52.155000000000001</v>
      </c>
      <c r="K92" s="112">
        <f>_xll.BDP(H92&amp;" EQUITY",$N$1)</f>
        <v>9.5000000000000001E-2</v>
      </c>
      <c r="L92" s="127">
        <f>_xll.BDP(H92&amp;" EQUITY",$O$1)*0.01</f>
        <v>1.824818E-3</v>
      </c>
      <c r="M92" s="161">
        <f t="shared" si="14"/>
        <v>986.38499999999999</v>
      </c>
      <c r="O92" s="778">
        <f t="shared" si="11"/>
        <v>541525.36499999999</v>
      </c>
      <c r="P92" s="778"/>
      <c r="Q92" s="779">
        <f>_xll.BDP(H92&amp;" EQUITY",$AD$1)</f>
        <v>14.023405972558514</v>
      </c>
      <c r="R92" s="332">
        <v>36.96</v>
      </c>
      <c r="S92" s="8">
        <f t="shared" si="12"/>
        <v>0.41112012987012991</v>
      </c>
      <c r="T92" s="787" t="s">
        <v>258</v>
      </c>
      <c r="V92"/>
      <c r="AB92" s="732">
        <f t="shared" si="13"/>
        <v>0</v>
      </c>
      <c r="AC92" s="77"/>
    </row>
    <row r="93" spans="1:29" ht="15.75" x14ac:dyDescent="0.25">
      <c r="A93" s="760"/>
      <c r="B93" s="761"/>
      <c r="C93" s="225">
        <f>_xll.BDP(H93&amp;" EQUITY",$C$2)/1000000000</f>
        <v>2.4962578820400001</v>
      </c>
      <c r="D93" s="25">
        <v>2.1399999999999999E-2</v>
      </c>
      <c r="E93" s="25">
        <f t="shared" si="10"/>
        <v>2.023953835244618E-3</v>
      </c>
      <c r="F93" s="783" t="s">
        <v>628</v>
      </c>
      <c r="G93" s="788">
        <v>92</v>
      </c>
      <c r="H93" s="3" t="s">
        <v>629</v>
      </c>
      <c r="I93" s="854">
        <v>8697</v>
      </c>
      <c r="J93" s="9">
        <f>_xll.BDP(H93&amp;" EQUITY",$L$1)</f>
        <v>21.48</v>
      </c>
      <c r="K93" s="112">
        <f>_xll.BDP(H93&amp;" EQUITY",$N$1)</f>
        <v>-0.56000000000000005</v>
      </c>
      <c r="L93" s="127">
        <f>_xll.BDP(H93&amp;" EQUITY",$O$1)*0.01</f>
        <v>-2.540835E-2</v>
      </c>
      <c r="M93" s="161">
        <f t="shared" si="14"/>
        <v>-4870.3200000000006</v>
      </c>
      <c r="O93" s="778">
        <f t="shared" si="11"/>
        <v>186811.56</v>
      </c>
      <c r="P93" s="778"/>
      <c r="Q93" s="779">
        <f>_xll.BDP(H93&amp;" EQUITY",$AD$1)</f>
        <v>17.396166134185304</v>
      </c>
      <c r="R93" s="332">
        <v>33.03</v>
      </c>
      <c r="S93" s="8">
        <f t="shared" si="12"/>
        <v>-0.34968210717529524</v>
      </c>
      <c r="T93" s="787" t="s">
        <v>258</v>
      </c>
      <c r="V93"/>
      <c r="AB93" s="732">
        <f t="shared" si="13"/>
        <v>1975226.56613204</v>
      </c>
      <c r="AC93" s="782">
        <f>+O93-AB93</f>
        <v>-1788415.0061320399</v>
      </c>
    </row>
    <row r="94" spans="1:29" ht="15.75" x14ac:dyDescent="0.25">
      <c r="A94" s="760"/>
      <c r="B94" s="761"/>
      <c r="C94" s="225">
        <f>_xll.BDP(H94&amp;" EQUITY",$C$2)/1000000000</f>
        <v>2.5413598621599998</v>
      </c>
      <c r="D94" s="85">
        <f>0.0219+0.0186</f>
        <v>4.0499999999999994E-2</v>
      </c>
      <c r="E94" s="25">
        <f t="shared" si="10"/>
        <v>4.9654755303368868E-3</v>
      </c>
      <c r="F94" s="783" t="s">
        <v>558</v>
      </c>
      <c r="G94" s="788">
        <v>91</v>
      </c>
      <c r="H94" s="3" t="s">
        <v>559</v>
      </c>
      <c r="I94" s="101">
        <v>6389</v>
      </c>
      <c r="J94" s="9">
        <f>_xll.BDP(H94&amp;" EQUITY",$L$1)</f>
        <v>71.734999999999999</v>
      </c>
      <c r="K94" s="112">
        <f>_xll.BDP(H94&amp;" EQUITY",$N$1)</f>
        <v>2.5000000000000001E-2</v>
      </c>
      <c r="L94" s="127">
        <f>_xll.BDP(H94&amp;" EQUITY",$O$1)*0.01</f>
        <v>3.4862640000000002E-4</v>
      </c>
      <c r="M94" s="161">
        <f t="shared" si="14"/>
        <v>159.72500000000002</v>
      </c>
      <c r="O94" s="778">
        <f t="shared" si="11"/>
        <v>458314.91499999998</v>
      </c>
      <c r="P94" s="778"/>
      <c r="Q94" s="779">
        <f>_xll.BDP(H94&amp;" EQUITY",$AD$1)</f>
        <v>21.732688237072878</v>
      </c>
      <c r="R94" s="332">
        <v>62.4</v>
      </c>
      <c r="S94" s="8">
        <f t="shared" si="12"/>
        <v>0.14959935897435894</v>
      </c>
      <c r="T94" s="787" t="s">
        <v>275</v>
      </c>
      <c r="V94"/>
      <c r="AB94" s="732">
        <f t="shared" si="13"/>
        <v>3738162.4265582995</v>
      </c>
      <c r="AC94" s="782">
        <f>+O94-AB94</f>
        <v>-3279847.5115582994</v>
      </c>
    </row>
    <row r="95" spans="1:29" ht="15.75" x14ac:dyDescent="0.25">
      <c r="B95" s="761"/>
      <c r="C95" s="225">
        <f>_xll.BDP(H95&amp;" EQUITY",$C$2)/1000000000</f>
        <v>5.4150459375000004</v>
      </c>
      <c r="E95" s="25">
        <f t="shared" si="10"/>
        <v>3.400923147340325E-3</v>
      </c>
      <c r="F95" s="783" t="s">
        <v>662</v>
      </c>
      <c r="G95" s="788">
        <v>94</v>
      </c>
      <c r="H95" s="3" t="s">
        <v>663</v>
      </c>
      <c r="I95" s="854">
        <v>4018</v>
      </c>
      <c r="J95" s="9">
        <f>_xll.BDP(H95&amp;" EQUITY",$L$1)</f>
        <v>78.125</v>
      </c>
      <c r="K95" s="112">
        <f>_xll.BDP(H95&amp;" EQUITY",$N$1)</f>
        <v>-0.82499999999999996</v>
      </c>
      <c r="L95" s="127">
        <f>_xll.BDP(H95&amp;" EQUITY",$O$1)*0.01</f>
        <v>-1.044965E-2</v>
      </c>
      <c r="M95" s="161">
        <f t="shared" si="14"/>
        <v>-3314.85</v>
      </c>
      <c r="O95" s="778">
        <f t="shared" si="11"/>
        <v>313906.25</v>
      </c>
      <c r="P95" s="778"/>
      <c r="Q95" s="779">
        <f>_xll.BDP(H95&amp;" EQUITY",$AD$1)</f>
        <v>11.236605229318473</v>
      </c>
      <c r="R95" s="332">
        <v>62</v>
      </c>
      <c r="S95" s="8">
        <f t="shared" si="12"/>
        <v>0.26008064516129026</v>
      </c>
      <c r="T95" s="787" t="s">
        <v>258</v>
      </c>
      <c r="V95"/>
      <c r="AB95" s="732">
        <f t="shared" si="13"/>
        <v>0</v>
      </c>
    </row>
    <row r="96" spans="1:29" ht="15.75" x14ac:dyDescent="0.25">
      <c r="B96" s="761"/>
      <c r="C96" s="225">
        <f>_xll.BDP(H96&amp;" EQUITY",$C$2)/1000000000</f>
        <v>4.5687323281599994</v>
      </c>
      <c r="E96" s="25">
        <f t="shared" si="10"/>
        <v>1.0214612522911594E-2</v>
      </c>
      <c r="F96" s="783" t="s">
        <v>736</v>
      </c>
      <c r="G96" s="788">
        <v>88</v>
      </c>
      <c r="H96" s="3" t="s">
        <v>737</v>
      </c>
      <c r="I96" s="854">
        <v>6797</v>
      </c>
      <c r="J96" s="9">
        <f>_xll.BDP(H96&amp;" EQUITY",$L$1)</f>
        <v>138.71</v>
      </c>
      <c r="K96" s="112">
        <f>_xll.BDP(H96&amp;" EQUITY",$N$1)</f>
        <v>-1.8</v>
      </c>
      <c r="L96" s="127">
        <f>_xll.BDP(H96&amp;" EQUITY",$O$1)*0.01</f>
        <v>-1.2810479999999999E-2</v>
      </c>
      <c r="M96" s="161">
        <f t="shared" si="14"/>
        <v>-12234.6</v>
      </c>
      <c r="O96" s="778">
        <f t="shared" si="11"/>
        <v>942811.87000000011</v>
      </c>
      <c r="P96" s="778"/>
      <c r="R96" s="332">
        <v>78.930000000000007</v>
      </c>
      <c r="S96" s="8">
        <f t="shared" si="12"/>
        <v>0.75737995692385662</v>
      </c>
      <c r="T96" s="787" t="s">
        <v>258</v>
      </c>
      <c r="V96"/>
      <c r="AB96" s="732">
        <f t="shared" si="13"/>
        <v>0</v>
      </c>
    </row>
    <row r="97" spans="1:29" ht="15.75" x14ac:dyDescent="0.25">
      <c r="A97" s="760"/>
      <c r="B97" s="761"/>
      <c r="C97" s="225">
        <f>_xll.BDP(H97&amp;" EQUITY",$C$2)/1000000000</f>
        <v>3.6605456125</v>
      </c>
      <c r="D97" s="24"/>
      <c r="E97" s="25">
        <f t="shared" si="10"/>
        <v>2.4551678947375092E-3</v>
      </c>
      <c r="F97" s="783" t="s">
        <v>632</v>
      </c>
      <c r="G97" s="788">
        <v>90</v>
      </c>
      <c r="H97" s="3" t="s">
        <v>633</v>
      </c>
      <c r="I97" s="101">
        <v>18499</v>
      </c>
      <c r="J97" s="9">
        <f>_xll.BDP(H97&amp;" EQUITY",$L$1)</f>
        <v>12.25</v>
      </c>
      <c r="K97" s="112">
        <f>_xll.BDP(H97&amp;" EQUITY",$N$1)</f>
        <v>-0.1</v>
      </c>
      <c r="L97" s="127">
        <f>_xll.BDP(H97&amp;" EQUITY",$O$1)*0.01</f>
        <v>-8.0971659999999994E-3</v>
      </c>
      <c r="M97" s="161">
        <f t="shared" si="14"/>
        <v>-1849.9</v>
      </c>
      <c r="O97" s="778">
        <f t="shared" si="11"/>
        <v>226612.75</v>
      </c>
      <c r="P97" s="778"/>
      <c r="Q97" s="779">
        <f>_xll.BDP(H97&amp;" EQUITY",$AD$1)</f>
        <v>37.02018072289156</v>
      </c>
      <c r="R97" s="332">
        <v>23.49</v>
      </c>
      <c r="S97" s="8">
        <f t="shared" si="12"/>
        <v>-0.47850148999574282</v>
      </c>
      <c r="T97" s="787" t="s">
        <v>300</v>
      </c>
      <c r="V97"/>
      <c r="AB97" s="732">
        <f t="shared" si="13"/>
        <v>0</v>
      </c>
      <c r="AC97" s="782">
        <f>+O97-AB97</f>
        <v>226612.75</v>
      </c>
    </row>
    <row r="98" spans="1:29" ht="15.75" x14ac:dyDescent="0.25">
      <c r="B98" s="761"/>
      <c r="C98" s="225">
        <f>_xll.BDP(H98&amp;" EQUITY",$C$2)/1000000000</f>
        <v>3.8505824246700002</v>
      </c>
      <c r="E98" s="25">
        <f t="shared" si="10"/>
        <v>8.1509130993146807E-3</v>
      </c>
      <c r="F98" s="783" t="s">
        <v>654</v>
      </c>
      <c r="G98" s="788">
        <v>96</v>
      </c>
      <c r="H98" s="3" t="s">
        <v>655</v>
      </c>
      <c r="I98" s="854">
        <v>6546</v>
      </c>
      <c r="J98" s="9">
        <f>_xll.BDP(H98&amp;" EQUITY",$L$1)</f>
        <v>114.93</v>
      </c>
      <c r="K98" s="112">
        <f>_xll.BDP(H98&amp;" EQUITY",$N$1)</f>
        <v>0.04</v>
      </c>
      <c r="L98" s="127">
        <f>_xll.BDP(H98&amp;" EQUITY",$O$1)*0.01</f>
        <v>3.4815909999999999E-4</v>
      </c>
      <c r="M98" s="161">
        <f t="shared" si="14"/>
        <v>261.84000000000003</v>
      </c>
      <c r="O98" s="778">
        <f t="shared" si="11"/>
        <v>752331.78</v>
      </c>
      <c r="P98" s="778"/>
      <c r="Q98" s="779">
        <f>_xll.BDP(H98&amp;" EQUITY",$AD$1)</f>
        <v>21.718956718956719</v>
      </c>
      <c r="R98" s="332">
        <v>99.08</v>
      </c>
      <c r="S98" s="8">
        <f t="shared" si="12"/>
        <v>0.15997174000807446</v>
      </c>
      <c r="T98" s="787" t="s">
        <v>258</v>
      </c>
      <c r="V98"/>
      <c r="AB98" s="732">
        <f t="shared" si="13"/>
        <v>0</v>
      </c>
    </row>
    <row r="99" spans="1:29" ht="15.75" x14ac:dyDescent="0.25">
      <c r="B99" s="761"/>
      <c r="C99" s="225">
        <f>_xll.BDP(H99&amp;" EQUITY",$C$2)/1000000000</f>
        <v>2.2635721735200001</v>
      </c>
      <c r="E99" s="25">
        <f t="shared" si="10"/>
        <v>1.634800199312498E-3</v>
      </c>
      <c r="F99" s="783" t="s">
        <v>704</v>
      </c>
      <c r="G99" s="788">
        <v>98</v>
      </c>
      <c r="H99" s="3" t="s">
        <v>705</v>
      </c>
      <c r="I99" s="101">
        <v>12831</v>
      </c>
      <c r="J99" s="9">
        <f>_xll.BDP(H99&amp;" EQUITY",$L$1)</f>
        <v>11.76</v>
      </c>
      <c r="K99" s="112">
        <f>_xll.BDP(H99&amp;" EQUITY",$N$1)</f>
        <v>-0.26</v>
      </c>
      <c r="L99" s="127">
        <f>_xll.BDP(H99&amp;" EQUITY",$O$1)*0.01</f>
        <v>-2.163062E-2</v>
      </c>
      <c r="M99" s="161">
        <f t="shared" si="14"/>
        <v>-3336.06</v>
      </c>
      <c r="O99" s="778">
        <f t="shared" si="11"/>
        <v>150892.56</v>
      </c>
      <c r="P99" s="778"/>
      <c r="Q99" s="779">
        <f>_xll.BDP(H99&amp;" EQUITY",$AD$1)</f>
        <v>48.008130081300813</v>
      </c>
      <c r="R99" s="332">
        <v>19.420000000000002</v>
      </c>
      <c r="S99" s="8">
        <f t="shared" ref="S99:S103" si="15">+J99/R99-1</f>
        <v>-0.39443872296601445</v>
      </c>
      <c r="T99" s="787" t="s">
        <v>331</v>
      </c>
      <c r="V99"/>
      <c r="AB99" s="732">
        <f t="shared" si="13"/>
        <v>0</v>
      </c>
    </row>
    <row r="100" spans="1:29" ht="15.75" x14ac:dyDescent="0.25">
      <c r="A100" s="760"/>
      <c r="B100" s="761"/>
      <c r="C100" s="225">
        <f>_xll.BDP(H100&amp;" EQUITY",$C$2)/1000000000</f>
        <v>6.7626254159999997</v>
      </c>
      <c r="D100" s="85">
        <v>2.0999999999999999E-3</v>
      </c>
      <c r="E100" s="25">
        <f t="shared" si="10"/>
        <v>6.2962737608140487E-3</v>
      </c>
      <c r="F100" s="783" t="s">
        <v>578</v>
      </c>
      <c r="G100" s="788">
        <v>100</v>
      </c>
      <c r="H100" s="3" t="s">
        <v>579</v>
      </c>
      <c r="I100" s="854">
        <v>5381</v>
      </c>
      <c r="J100" s="9">
        <f>_xll.BDP(H100&amp;" EQUITY",$L$1)</f>
        <v>108</v>
      </c>
      <c r="K100" s="112">
        <f>_xll.BDP(H100&amp;" EQUITY",$N$1)</f>
        <v>1.9</v>
      </c>
      <c r="L100" s="127">
        <f>_xll.BDP(H100&amp;" EQUITY",$O$1)*0.01</f>
        <v>1.7907630000000001E-2</v>
      </c>
      <c r="M100" s="161">
        <f t="shared" si="14"/>
        <v>10223.9</v>
      </c>
      <c r="O100" s="778">
        <f t="shared" si="11"/>
        <v>581148</v>
      </c>
      <c r="P100" s="778"/>
      <c r="R100" s="332">
        <v>92.24</v>
      </c>
      <c r="S100" s="8">
        <f t="shared" si="15"/>
        <v>0.17085862966175203</v>
      </c>
      <c r="T100" s="787" t="s">
        <v>258</v>
      </c>
      <c r="V100"/>
      <c r="AB100" s="732">
        <f t="shared" si="13"/>
        <v>193830.64434006001</v>
      </c>
    </row>
    <row r="101" spans="1:29" ht="15.75" x14ac:dyDescent="0.25">
      <c r="B101" s="761"/>
      <c r="C101" s="225">
        <f>_xll.BDP(H101&amp;" EQUITY",$C$2)/1000000000</f>
        <v>3.7117787008000001</v>
      </c>
      <c r="E101" s="25">
        <f t="shared" si="10"/>
        <v>2.1873366073951357E-3</v>
      </c>
      <c r="F101" s="783" t="s">
        <v>740</v>
      </c>
      <c r="G101" s="788">
        <v>97</v>
      </c>
      <c r="H101" s="3" t="s">
        <v>741</v>
      </c>
      <c r="I101" s="101">
        <v>5088</v>
      </c>
      <c r="J101" s="9">
        <f>_xll.BDP(H101&amp;" EQUITY",$L$1)</f>
        <v>39.68</v>
      </c>
      <c r="K101" s="112">
        <f>_xll.BDP(H101&amp;" EQUITY",$N$1)</f>
        <v>0.26</v>
      </c>
      <c r="L101" s="127">
        <f>_xll.BDP(H101&amp;" EQUITY",$O$1)*0.01</f>
        <v>6.5956369999999997E-3</v>
      </c>
      <c r="M101" s="161">
        <f t="shared" si="14"/>
        <v>1322.88</v>
      </c>
      <c r="O101" s="778">
        <f t="shared" si="11"/>
        <v>201891.84</v>
      </c>
      <c r="P101" s="778"/>
      <c r="R101" s="332">
        <v>47.82</v>
      </c>
      <c r="S101" s="8">
        <f t="shared" si="15"/>
        <v>-0.17022166457549148</v>
      </c>
      <c r="T101" s="787" t="s">
        <v>258</v>
      </c>
      <c r="V101"/>
      <c r="AB101" s="732">
        <f t="shared" si="13"/>
        <v>0</v>
      </c>
      <c r="AC101" s="782">
        <f>+O101-AB101</f>
        <v>201891.84</v>
      </c>
    </row>
    <row r="102" spans="1:29" ht="15.75" x14ac:dyDescent="0.25">
      <c r="A102" s="760">
        <f>+B102*E102</f>
        <v>7.6833977355376482E-5</v>
      </c>
      <c r="B102" s="761">
        <f>_xll.BDP(H102&amp;" EQUITY",$B$3)*0.01</f>
        <v>3.281879982055104E-2</v>
      </c>
      <c r="C102" s="225">
        <f>_xll.BDP(H102&amp;" EQUITY",$C$2)/1000000000</f>
        <v>3.6343600201799995</v>
      </c>
      <c r="D102" s="25">
        <v>3.2000000000000002E-3</v>
      </c>
      <c r="E102" s="25">
        <f t="shared" si="10"/>
        <v>2.3411574395009798E-3</v>
      </c>
      <c r="F102" s="783" t="s">
        <v>594</v>
      </c>
      <c r="G102" s="788">
        <v>99</v>
      </c>
      <c r="H102" s="3" t="s">
        <v>595</v>
      </c>
      <c r="I102" s="101">
        <v>3005</v>
      </c>
      <c r="J102" s="9">
        <f>_xll.BDP(H102&amp;" EQUITY",$L$1)</f>
        <v>71.91</v>
      </c>
      <c r="K102" s="112">
        <f>_xll.BDP(H102&amp;" EQUITY",$N$1)</f>
        <v>-0.22</v>
      </c>
      <c r="L102" s="127">
        <f>_xll.BDP(H102&amp;" EQUITY",$O$1)*0.01</f>
        <v>-3.0500490000000004E-3</v>
      </c>
      <c r="M102" s="161">
        <f t="shared" si="14"/>
        <v>-661.1</v>
      </c>
      <c r="O102" s="778">
        <f t="shared" si="11"/>
        <v>216089.55</v>
      </c>
      <c r="P102" s="778"/>
      <c r="Q102" s="779">
        <f>_xll.BDP(H102&amp;" EQUITY",$AD$1)</f>
        <v>25.430579964850612</v>
      </c>
      <c r="R102" s="332">
        <v>75.73</v>
      </c>
      <c r="S102" s="8">
        <f t="shared" si="15"/>
        <v>-5.044236101941113E-2</v>
      </c>
      <c r="T102" s="787" t="s">
        <v>331</v>
      </c>
      <c r="V102"/>
      <c r="AB102" s="732">
        <f t="shared" si="13"/>
        <v>295360.98185152002</v>
      </c>
      <c r="AC102" s="782">
        <f>+O102-AB102</f>
        <v>-79271.431851520028</v>
      </c>
    </row>
    <row r="103" spans="1:29" ht="15.75" x14ac:dyDescent="0.25">
      <c r="B103" s="761"/>
      <c r="C103" s="225">
        <f>_xll.BDP(H103&amp;" EQUITY",$C$2)/1000000000</f>
        <v>12.428414462730002</v>
      </c>
      <c r="E103" s="25">
        <f t="shared" si="10"/>
        <v>0</v>
      </c>
      <c r="F103" s="785" t="s">
        <v>688</v>
      </c>
      <c r="G103" s="788">
        <v>101</v>
      </c>
      <c r="H103" s="3" t="s">
        <v>689</v>
      </c>
      <c r="I103" s="101">
        <v>0</v>
      </c>
      <c r="J103" s="9">
        <f>_xll.BDP(H103&amp;" EQUITY",$L$1)</f>
        <v>38.99</v>
      </c>
      <c r="K103" s="112">
        <f>_xll.BDP(H103&amp;" EQUITY",$N$1)</f>
        <v>-0.04</v>
      </c>
      <c r="L103" s="127">
        <f>_xll.BDP(H103&amp;" EQUITY",$O$1)*0.01</f>
        <v>-1.024853E-3</v>
      </c>
      <c r="M103" s="161">
        <f t="shared" si="14"/>
        <v>0</v>
      </c>
      <c r="O103" s="778">
        <f t="shared" si="11"/>
        <v>0</v>
      </c>
      <c r="P103" s="778"/>
      <c r="Q103" s="779">
        <f>_xll.BDP(H103&amp;" EQUITY",$AD$1)</f>
        <v>42.378967091059067</v>
      </c>
      <c r="R103" s="332">
        <v>26.97</v>
      </c>
      <c r="S103" s="8">
        <f t="shared" si="15"/>
        <v>0.44568038561364487</v>
      </c>
      <c r="T103" s="787" t="s">
        <v>276</v>
      </c>
      <c r="V103"/>
      <c r="AB103" s="732">
        <f t="shared" si="13"/>
        <v>0</v>
      </c>
    </row>
    <row r="104" spans="1:29" x14ac:dyDescent="0.25">
      <c r="A104" s="790" t="e">
        <f>SUM(A4:A103)</f>
        <v>#VALUE!</v>
      </c>
    </row>
    <row r="105" spans="1:29" x14ac:dyDescent="0.25">
      <c r="O105" s="543">
        <f>SUM(O4:O104)</f>
        <v>92300306.828600004</v>
      </c>
    </row>
    <row r="111" spans="1:29" ht="35.25" customHeight="1" x14ac:dyDescent="0.25">
      <c r="A111">
        <v>1</v>
      </c>
      <c r="B111" s="766" t="s">
        <v>546</v>
      </c>
      <c r="C111" s="766" t="s">
        <v>547</v>
      </c>
      <c r="D111" s="766" t="s">
        <v>359</v>
      </c>
      <c r="E111" s="766" t="s">
        <v>548</v>
      </c>
      <c r="F111" s="766" t="s">
        <v>549</v>
      </c>
      <c r="G111" s="766" t="s">
        <v>550</v>
      </c>
      <c r="H111" s="766" t="s">
        <v>551</v>
      </c>
      <c r="I111" s="767" t="s">
        <v>552</v>
      </c>
    </row>
    <row r="112" spans="1:29" ht="24.75" customHeight="1" x14ac:dyDescent="0.25">
      <c r="A112">
        <v>2</v>
      </c>
      <c r="B112" s="768">
        <v>45412</v>
      </c>
      <c r="C112" s="769" t="s">
        <v>801</v>
      </c>
      <c r="D112" s="769" t="s">
        <v>802</v>
      </c>
      <c r="E112" s="769" t="s">
        <v>258</v>
      </c>
      <c r="F112" s="856">
        <v>6086</v>
      </c>
      <c r="G112" s="770">
        <v>388.35</v>
      </c>
      <c r="H112" s="770">
        <v>2363498</v>
      </c>
      <c r="I112" s="771">
        <v>2.4500000000000002</v>
      </c>
    </row>
    <row r="113" spans="1:9" ht="24.75" customHeight="1" x14ac:dyDescent="0.25">
      <c r="A113">
        <v>3</v>
      </c>
      <c r="B113" s="768">
        <v>45412</v>
      </c>
      <c r="C113" s="769" t="s">
        <v>803</v>
      </c>
      <c r="D113" s="769" t="s">
        <v>804</v>
      </c>
      <c r="E113" s="769" t="s">
        <v>275</v>
      </c>
      <c r="F113" s="856">
        <v>7023</v>
      </c>
      <c r="G113" s="770">
        <v>309.41000000000003</v>
      </c>
      <c r="H113" s="770">
        <v>2172986</v>
      </c>
      <c r="I113" s="771">
        <v>2.25</v>
      </c>
    </row>
    <row r="114" spans="1:9" ht="35.25" customHeight="1" x14ac:dyDescent="0.25">
      <c r="A114">
        <v>4</v>
      </c>
      <c r="B114" s="768">
        <v>45412</v>
      </c>
      <c r="C114" s="769" t="s">
        <v>805</v>
      </c>
      <c r="D114" s="769" t="s">
        <v>555</v>
      </c>
      <c r="E114" s="769"/>
      <c r="F114" s="856">
        <v>2094208</v>
      </c>
      <c r="G114" s="770">
        <v>1</v>
      </c>
      <c r="H114" s="770">
        <v>2094208</v>
      </c>
      <c r="I114" s="771">
        <v>2.17</v>
      </c>
    </row>
    <row r="115" spans="1:9" ht="35.25" customHeight="1" x14ac:dyDescent="0.25">
      <c r="A115">
        <v>5</v>
      </c>
      <c r="B115" s="768">
        <v>45412</v>
      </c>
      <c r="C115" s="769" t="s">
        <v>806</v>
      </c>
      <c r="D115" s="769" t="s">
        <v>807</v>
      </c>
      <c r="E115" s="769" t="s">
        <v>275</v>
      </c>
      <c r="F115" s="856">
        <v>10819</v>
      </c>
      <c r="G115" s="770">
        <v>189.45</v>
      </c>
      <c r="H115" s="770">
        <v>2049660</v>
      </c>
      <c r="I115" s="771">
        <v>2.12</v>
      </c>
    </row>
    <row r="116" spans="1:9" ht="35.25" customHeight="1" x14ac:dyDescent="0.25">
      <c r="A116">
        <v>6</v>
      </c>
      <c r="B116" s="768">
        <v>45412</v>
      </c>
      <c r="C116" s="769" t="s">
        <v>808</v>
      </c>
      <c r="D116" s="769" t="s">
        <v>809</v>
      </c>
      <c r="E116" s="769" t="s">
        <v>331</v>
      </c>
      <c r="F116" s="856">
        <v>17097</v>
      </c>
      <c r="G116" s="770">
        <v>111.72</v>
      </c>
      <c r="H116" s="770">
        <v>1910077</v>
      </c>
      <c r="I116" s="771">
        <v>1.98</v>
      </c>
    </row>
    <row r="117" spans="1:9" ht="35.25" customHeight="1" x14ac:dyDescent="0.25">
      <c r="A117">
        <v>7</v>
      </c>
      <c r="B117" s="768">
        <v>45412</v>
      </c>
      <c r="C117" s="769" t="s">
        <v>810</v>
      </c>
      <c r="D117" s="769" t="s">
        <v>811</v>
      </c>
      <c r="E117" s="769" t="s">
        <v>276</v>
      </c>
      <c r="F117" s="856">
        <v>8435</v>
      </c>
      <c r="G117" s="770">
        <v>225.75</v>
      </c>
      <c r="H117" s="770">
        <v>1904201</v>
      </c>
      <c r="I117" s="771">
        <v>1.97</v>
      </c>
    </row>
    <row r="118" spans="1:9" ht="35.25" customHeight="1" x14ac:dyDescent="0.25">
      <c r="A118">
        <v>8</v>
      </c>
      <c r="B118" s="768">
        <v>45412</v>
      </c>
      <c r="C118" s="769" t="s">
        <v>812</v>
      </c>
      <c r="D118" s="769" t="s">
        <v>813</v>
      </c>
      <c r="E118" s="769" t="s">
        <v>276</v>
      </c>
      <c r="F118" s="856">
        <v>4842</v>
      </c>
      <c r="G118" s="770">
        <v>384.79</v>
      </c>
      <c r="H118" s="770">
        <v>1863153</v>
      </c>
      <c r="I118" s="771">
        <v>1.93</v>
      </c>
    </row>
    <row r="119" spans="1:9" ht="35.25" customHeight="1" x14ac:dyDescent="0.25">
      <c r="A119">
        <v>9</v>
      </c>
      <c r="B119" s="768">
        <v>45412</v>
      </c>
      <c r="C119" s="769" t="s">
        <v>814</v>
      </c>
      <c r="D119" s="769" t="s">
        <v>815</v>
      </c>
      <c r="E119" s="769" t="s">
        <v>258</v>
      </c>
      <c r="F119" s="856">
        <v>20525</v>
      </c>
      <c r="G119" s="770">
        <v>83.38</v>
      </c>
      <c r="H119" s="770">
        <v>1711375</v>
      </c>
      <c r="I119" s="771">
        <v>1.77</v>
      </c>
    </row>
    <row r="120" spans="1:9" ht="35.25" customHeight="1" x14ac:dyDescent="0.25">
      <c r="A120">
        <v>10</v>
      </c>
      <c r="B120" s="768">
        <v>45412</v>
      </c>
      <c r="C120" s="769" t="s">
        <v>816</v>
      </c>
      <c r="D120" s="769" t="s">
        <v>817</v>
      </c>
      <c r="E120" s="769" t="s">
        <v>331</v>
      </c>
      <c r="F120" s="856">
        <v>8903</v>
      </c>
      <c r="G120" s="770">
        <v>181.5</v>
      </c>
      <c r="H120" s="770">
        <v>1615895</v>
      </c>
      <c r="I120" s="771">
        <v>1.67</v>
      </c>
    </row>
    <row r="121" spans="1:9" ht="35.25" customHeight="1" x14ac:dyDescent="0.25">
      <c r="A121">
        <v>11</v>
      </c>
      <c r="B121" s="768">
        <v>45412</v>
      </c>
      <c r="C121" s="769" t="s">
        <v>818</v>
      </c>
      <c r="D121" s="769" t="s">
        <v>819</v>
      </c>
      <c r="E121" s="769" t="s">
        <v>300</v>
      </c>
      <c r="F121" s="856">
        <v>6739</v>
      </c>
      <c r="G121" s="770">
        <v>239.25</v>
      </c>
      <c r="H121" s="770">
        <v>1612306</v>
      </c>
      <c r="I121" s="771">
        <v>1.67</v>
      </c>
    </row>
    <row r="122" spans="1:9" ht="35.25" customHeight="1" x14ac:dyDescent="0.25">
      <c r="A122">
        <v>12</v>
      </c>
      <c r="B122" s="768">
        <v>45412</v>
      </c>
      <c r="C122" s="769" t="s">
        <v>820</v>
      </c>
      <c r="D122" s="769" t="s">
        <v>821</v>
      </c>
      <c r="E122" s="769" t="s">
        <v>275</v>
      </c>
      <c r="F122" s="856">
        <v>4342</v>
      </c>
      <c r="G122" s="770">
        <v>357.17</v>
      </c>
      <c r="H122" s="770">
        <v>1550832</v>
      </c>
      <c r="I122" s="771">
        <v>1.61</v>
      </c>
    </row>
    <row r="123" spans="1:9" ht="35.25" customHeight="1" x14ac:dyDescent="0.25">
      <c r="A123">
        <v>13</v>
      </c>
      <c r="B123" s="768">
        <v>45412</v>
      </c>
      <c r="C123" s="769" t="s">
        <v>822</v>
      </c>
      <c r="D123" s="769" t="s">
        <v>823</v>
      </c>
      <c r="E123" s="769" t="s">
        <v>300</v>
      </c>
      <c r="F123" s="856">
        <v>8128</v>
      </c>
      <c r="G123" s="770">
        <v>185.49</v>
      </c>
      <c r="H123" s="770">
        <v>1507663</v>
      </c>
      <c r="I123" s="771">
        <v>1.56</v>
      </c>
    </row>
    <row r="124" spans="1:9" ht="35.25" customHeight="1" x14ac:dyDescent="0.25">
      <c r="A124">
        <v>14</v>
      </c>
      <c r="B124" s="768">
        <v>45412</v>
      </c>
      <c r="C124" s="769" t="s">
        <v>824</v>
      </c>
      <c r="D124" s="769" t="s">
        <v>825</v>
      </c>
      <c r="E124" s="769" t="s">
        <v>302</v>
      </c>
      <c r="F124" s="856">
        <v>8939</v>
      </c>
      <c r="G124" s="770">
        <v>162.53</v>
      </c>
      <c r="H124" s="770">
        <v>1452856</v>
      </c>
      <c r="I124" s="771">
        <v>1.51</v>
      </c>
    </row>
    <row r="125" spans="1:9" ht="35.25" customHeight="1" x14ac:dyDescent="0.25">
      <c r="A125">
        <v>15</v>
      </c>
      <c r="B125" s="768">
        <v>45412</v>
      </c>
      <c r="C125" s="769" t="s">
        <v>826</v>
      </c>
      <c r="D125" s="769" t="s">
        <v>827</v>
      </c>
      <c r="E125" s="769" t="s">
        <v>275</v>
      </c>
      <c r="F125" s="856">
        <v>5530</v>
      </c>
      <c r="G125" s="770">
        <v>253.42</v>
      </c>
      <c r="H125" s="770">
        <v>1401413</v>
      </c>
      <c r="I125" s="771">
        <v>1.45</v>
      </c>
    </row>
    <row r="126" spans="1:9" ht="35.25" customHeight="1" x14ac:dyDescent="0.25">
      <c r="A126">
        <v>16</v>
      </c>
      <c r="B126" s="768">
        <v>45412</v>
      </c>
      <c r="C126" s="769" t="s">
        <v>828</v>
      </c>
      <c r="D126" s="769" t="s">
        <v>829</v>
      </c>
      <c r="E126" s="769" t="s">
        <v>276</v>
      </c>
      <c r="F126" s="856">
        <v>14555</v>
      </c>
      <c r="G126" s="770">
        <v>92.63</v>
      </c>
      <c r="H126" s="770">
        <v>1348230</v>
      </c>
      <c r="I126" s="771">
        <v>1.4</v>
      </c>
    </row>
    <row r="127" spans="1:9" ht="35.25" customHeight="1" x14ac:dyDescent="0.25">
      <c r="A127">
        <v>17</v>
      </c>
      <c r="B127" s="768">
        <v>45412</v>
      </c>
      <c r="C127" s="769" t="s">
        <v>830</v>
      </c>
      <c r="D127" s="769" t="s">
        <v>831</v>
      </c>
      <c r="E127" s="769" t="s">
        <v>276</v>
      </c>
      <c r="F127" s="856">
        <v>8374</v>
      </c>
      <c r="G127" s="770">
        <v>160.78</v>
      </c>
      <c r="H127" s="770">
        <v>1346372</v>
      </c>
      <c r="I127" s="771">
        <v>1.39</v>
      </c>
    </row>
    <row r="128" spans="1:9" ht="35.25" customHeight="1" x14ac:dyDescent="0.25">
      <c r="A128">
        <v>18</v>
      </c>
      <c r="B128" s="768">
        <v>45412</v>
      </c>
      <c r="C128" s="769" t="s">
        <v>832</v>
      </c>
      <c r="D128" s="769" t="s">
        <v>568</v>
      </c>
      <c r="E128" s="769" t="s">
        <v>191</v>
      </c>
      <c r="F128" s="856">
        <v>22318</v>
      </c>
      <c r="G128" s="770">
        <v>59.7</v>
      </c>
      <c r="H128" s="770">
        <v>1332385</v>
      </c>
      <c r="I128" s="771">
        <v>1.38</v>
      </c>
    </row>
    <row r="129" spans="1:9" ht="35.25" customHeight="1" x14ac:dyDescent="0.25">
      <c r="A129">
        <v>19</v>
      </c>
      <c r="B129" s="768">
        <v>45412</v>
      </c>
      <c r="C129" s="769" t="s">
        <v>833</v>
      </c>
      <c r="D129" s="769" t="s">
        <v>834</v>
      </c>
      <c r="E129" s="769" t="s">
        <v>275</v>
      </c>
      <c r="F129" s="856">
        <v>12450</v>
      </c>
      <c r="G129" s="770">
        <v>105.88</v>
      </c>
      <c r="H129" s="770">
        <v>1318206</v>
      </c>
      <c r="I129" s="771">
        <v>1.37</v>
      </c>
    </row>
    <row r="130" spans="1:9" ht="35.25" customHeight="1" x14ac:dyDescent="0.25">
      <c r="A130">
        <v>20</v>
      </c>
      <c r="B130" s="768">
        <v>45412</v>
      </c>
      <c r="C130" s="769" t="s">
        <v>835</v>
      </c>
      <c r="D130" s="769" t="s">
        <v>836</v>
      </c>
      <c r="E130" s="769" t="s">
        <v>300</v>
      </c>
      <c r="F130" s="856">
        <v>12901</v>
      </c>
      <c r="G130" s="770">
        <v>101.95</v>
      </c>
      <c r="H130" s="770">
        <v>1315257</v>
      </c>
      <c r="I130" s="771">
        <v>1.36</v>
      </c>
    </row>
    <row r="131" spans="1:9" ht="35.25" customHeight="1" x14ac:dyDescent="0.25">
      <c r="A131">
        <v>21</v>
      </c>
      <c r="B131" s="768">
        <v>45412</v>
      </c>
      <c r="C131" s="769" t="s">
        <v>837</v>
      </c>
      <c r="D131" s="769" t="s">
        <v>838</v>
      </c>
      <c r="E131" s="769" t="s">
        <v>275</v>
      </c>
      <c r="F131" s="856">
        <v>16666</v>
      </c>
      <c r="G131" s="770">
        <v>78.510000000000005</v>
      </c>
      <c r="H131" s="770">
        <v>1308448</v>
      </c>
      <c r="I131" s="771">
        <v>1.36</v>
      </c>
    </row>
    <row r="132" spans="1:9" ht="35.25" customHeight="1" x14ac:dyDescent="0.25">
      <c r="A132">
        <v>22</v>
      </c>
      <c r="B132" s="768">
        <v>45412</v>
      </c>
      <c r="C132" s="769" t="s">
        <v>839</v>
      </c>
      <c r="D132" s="769" t="s">
        <v>840</v>
      </c>
      <c r="E132" s="769" t="s">
        <v>276</v>
      </c>
      <c r="F132" s="856">
        <v>24369</v>
      </c>
      <c r="G132" s="770">
        <v>53.12</v>
      </c>
      <c r="H132" s="770">
        <v>1294481</v>
      </c>
      <c r="I132" s="771">
        <v>1.34</v>
      </c>
    </row>
    <row r="133" spans="1:9" ht="35.25" customHeight="1" x14ac:dyDescent="0.25">
      <c r="A133">
        <v>23</v>
      </c>
      <c r="B133" s="768">
        <v>45412</v>
      </c>
      <c r="C133" s="769" t="s">
        <v>841</v>
      </c>
      <c r="D133" s="769" t="s">
        <v>842</v>
      </c>
      <c r="E133" s="769" t="s">
        <v>275</v>
      </c>
      <c r="F133" s="856">
        <v>3213</v>
      </c>
      <c r="G133" s="770">
        <v>396.83</v>
      </c>
      <c r="H133" s="770">
        <v>1275015</v>
      </c>
      <c r="I133" s="771">
        <v>1.32</v>
      </c>
    </row>
    <row r="134" spans="1:9" ht="35.25" customHeight="1" x14ac:dyDescent="0.25">
      <c r="A134">
        <v>24</v>
      </c>
      <c r="B134" s="768">
        <v>45412</v>
      </c>
      <c r="C134" s="769" t="s">
        <v>843</v>
      </c>
      <c r="D134" s="857" t="s">
        <v>844</v>
      </c>
      <c r="E134" s="769" t="s">
        <v>300</v>
      </c>
      <c r="F134" s="770">
        <v>7944</v>
      </c>
      <c r="G134" s="770">
        <v>159.38</v>
      </c>
      <c r="H134" s="770">
        <v>1266115</v>
      </c>
      <c r="I134" s="771">
        <v>1.31</v>
      </c>
    </row>
    <row r="135" spans="1:9" ht="35.25" customHeight="1" x14ac:dyDescent="0.25">
      <c r="A135">
        <v>25</v>
      </c>
      <c r="B135" s="768">
        <v>45412</v>
      </c>
      <c r="C135" s="769" t="s">
        <v>845</v>
      </c>
      <c r="D135" s="769" t="s">
        <v>846</v>
      </c>
      <c r="E135" s="769" t="s">
        <v>189</v>
      </c>
      <c r="F135" s="856">
        <v>10136</v>
      </c>
      <c r="G135" s="770">
        <v>123.62</v>
      </c>
      <c r="H135" s="770">
        <v>1253012</v>
      </c>
      <c r="I135" s="771">
        <v>1.3</v>
      </c>
    </row>
    <row r="136" spans="1:9" ht="35.25" customHeight="1" x14ac:dyDescent="0.25">
      <c r="A136">
        <v>26</v>
      </c>
      <c r="B136" s="768">
        <v>45412</v>
      </c>
      <c r="C136" s="769" t="s">
        <v>847</v>
      </c>
      <c r="D136" s="857" t="s">
        <v>848</v>
      </c>
      <c r="E136" s="769" t="s">
        <v>275</v>
      </c>
      <c r="F136" s="770">
        <v>8835</v>
      </c>
      <c r="G136" s="770">
        <v>140.01</v>
      </c>
      <c r="H136" s="770">
        <v>1236988</v>
      </c>
      <c r="I136" s="771">
        <v>1.28</v>
      </c>
    </row>
    <row r="137" spans="1:9" ht="35.25" customHeight="1" x14ac:dyDescent="0.25">
      <c r="A137">
        <v>27</v>
      </c>
      <c r="B137" s="768">
        <v>45412</v>
      </c>
      <c r="C137" s="769" t="s">
        <v>849</v>
      </c>
      <c r="D137" s="769" t="s">
        <v>850</v>
      </c>
      <c r="E137" s="769" t="s">
        <v>258</v>
      </c>
      <c r="F137" s="856">
        <v>16331</v>
      </c>
      <c r="G137" s="770">
        <v>73.94</v>
      </c>
      <c r="H137" s="770">
        <v>1207514</v>
      </c>
      <c r="I137" s="771">
        <v>1.25</v>
      </c>
    </row>
    <row r="138" spans="1:9" ht="35.25" customHeight="1" x14ac:dyDescent="0.25">
      <c r="A138">
        <v>28</v>
      </c>
      <c r="B138" s="768">
        <v>45412</v>
      </c>
      <c r="C138" s="769" t="s">
        <v>851</v>
      </c>
      <c r="D138" s="769" t="s">
        <v>852</v>
      </c>
      <c r="E138" s="769" t="s">
        <v>275</v>
      </c>
      <c r="F138" s="856">
        <v>13348</v>
      </c>
      <c r="G138" s="770">
        <v>90.4</v>
      </c>
      <c r="H138" s="770">
        <v>1206659</v>
      </c>
      <c r="I138" s="771">
        <v>1.25</v>
      </c>
    </row>
    <row r="139" spans="1:9" ht="35.25" customHeight="1" x14ac:dyDescent="0.25">
      <c r="A139">
        <v>29</v>
      </c>
      <c r="B139" s="768">
        <v>45412</v>
      </c>
      <c r="C139" s="769" t="s">
        <v>853</v>
      </c>
      <c r="D139" s="769" t="s">
        <v>556</v>
      </c>
      <c r="E139" s="769" t="s">
        <v>275</v>
      </c>
      <c r="F139" s="856">
        <v>12763</v>
      </c>
      <c r="G139" s="770">
        <v>94.09</v>
      </c>
      <c r="H139" s="770">
        <v>1200871</v>
      </c>
      <c r="I139" s="771">
        <v>1.24</v>
      </c>
    </row>
    <row r="140" spans="1:9" ht="35.25" customHeight="1" x14ac:dyDescent="0.25">
      <c r="A140">
        <v>30</v>
      </c>
      <c r="B140" s="768">
        <v>45412</v>
      </c>
      <c r="C140" s="769" t="s">
        <v>854</v>
      </c>
      <c r="D140" s="769" t="s">
        <v>855</v>
      </c>
      <c r="E140" s="769" t="s">
        <v>276</v>
      </c>
      <c r="F140" s="856">
        <v>2939</v>
      </c>
      <c r="G140" s="770">
        <v>404.67</v>
      </c>
      <c r="H140" s="770">
        <v>1189325</v>
      </c>
      <c r="I140" s="771">
        <v>1.23</v>
      </c>
    </row>
    <row r="141" spans="1:9" ht="35.25" customHeight="1" x14ac:dyDescent="0.25">
      <c r="A141">
        <v>31</v>
      </c>
      <c r="B141" s="768">
        <v>45412</v>
      </c>
      <c r="C141" s="769" t="s">
        <v>856</v>
      </c>
      <c r="D141" s="769" t="s">
        <v>857</v>
      </c>
      <c r="E141" s="769" t="s">
        <v>189</v>
      </c>
      <c r="F141" s="856">
        <v>46049</v>
      </c>
      <c r="G141" s="770">
        <v>25.62</v>
      </c>
      <c r="H141" s="770">
        <v>1179775</v>
      </c>
      <c r="I141" s="771">
        <v>1.22</v>
      </c>
    </row>
    <row r="142" spans="1:9" ht="35.25" customHeight="1" x14ac:dyDescent="0.25">
      <c r="A142">
        <v>32</v>
      </c>
      <c r="B142" s="768">
        <v>45412</v>
      </c>
      <c r="C142" s="769" t="s">
        <v>858</v>
      </c>
      <c r="D142" s="769" t="s">
        <v>859</v>
      </c>
      <c r="E142" s="769" t="s">
        <v>300</v>
      </c>
      <c r="F142" s="856">
        <v>28967</v>
      </c>
      <c r="G142" s="770">
        <v>39.880000000000003</v>
      </c>
      <c r="H142" s="770">
        <v>1155204</v>
      </c>
      <c r="I142" s="771">
        <v>1.2</v>
      </c>
    </row>
    <row r="143" spans="1:9" ht="35.25" customHeight="1" x14ac:dyDescent="0.25">
      <c r="A143">
        <v>33</v>
      </c>
      <c r="B143" s="768">
        <v>45412</v>
      </c>
      <c r="C143" s="769" t="s">
        <v>860</v>
      </c>
      <c r="D143" s="769" t="s">
        <v>861</v>
      </c>
      <c r="E143" s="769" t="s">
        <v>300</v>
      </c>
      <c r="F143" s="856">
        <v>37254</v>
      </c>
      <c r="G143" s="770">
        <v>30.97</v>
      </c>
      <c r="H143" s="770">
        <v>1153756</v>
      </c>
      <c r="I143" s="771">
        <v>1.2</v>
      </c>
    </row>
    <row r="144" spans="1:9" ht="35.25" customHeight="1" x14ac:dyDescent="0.25">
      <c r="A144">
        <v>34</v>
      </c>
      <c r="B144" s="768">
        <v>45412</v>
      </c>
      <c r="C144" s="769" t="s">
        <v>862</v>
      </c>
      <c r="D144" s="769" t="s">
        <v>863</v>
      </c>
      <c r="E144" s="769" t="s">
        <v>300</v>
      </c>
      <c r="F144" s="856">
        <v>10331</v>
      </c>
      <c r="G144" s="770">
        <v>110.4</v>
      </c>
      <c r="H144" s="770">
        <v>1140542</v>
      </c>
      <c r="I144" s="771">
        <v>1.18</v>
      </c>
    </row>
    <row r="145" spans="1:9" ht="35.25" customHeight="1" x14ac:dyDescent="0.25">
      <c r="A145">
        <v>35</v>
      </c>
      <c r="B145" s="768">
        <v>45412</v>
      </c>
      <c r="C145" s="769" t="s">
        <v>864</v>
      </c>
      <c r="D145" s="769" t="s">
        <v>865</v>
      </c>
      <c r="E145" s="769" t="s">
        <v>275</v>
      </c>
      <c r="F145" s="856">
        <v>6204</v>
      </c>
      <c r="G145" s="770">
        <v>183.25</v>
      </c>
      <c r="H145" s="770">
        <v>1136883</v>
      </c>
      <c r="I145" s="771">
        <v>1.18</v>
      </c>
    </row>
    <row r="146" spans="1:9" ht="35.25" customHeight="1" x14ac:dyDescent="0.25">
      <c r="A146">
        <v>36</v>
      </c>
      <c r="B146" s="768">
        <v>45412</v>
      </c>
      <c r="C146" s="769" t="s">
        <v>866</v>
      </c>
      <c r="D146" s="769" t="s">
        <v>867</v>
      </c>
      <c r="E146" s="769" t="s">
        <v>300</v>
      </c>
      <c r="F146" s="856">
        <v>21614</v>
      </c>
      <c r="G146" s="770">
        <v>52.47</v>
      </c>
      <c r="H146" s="770">
        <v>1134087</v>
      </c>
      <c r="I146" s="771">
        <v>1.17</v>
      </c>
    </row>
    <row r="147" spans="1:9" ht="35.25" customHeight="1" x14ac:dyDescent="0.25">
      <c r="A147">
        <v>37</v>
      </c>
      <c r="B147" s="768">
        <v>45412</v>
      </c>
      <c r="C147" s="769" t="s">
        <v>868</v>
      </c>
      <c r="D147" s="769" t="s">
        <v>869</v>
      </c>
      <c r="E147" s="769" t="s">
        <v>300</v>
      </c>
      <c r="F147" s="856">
        <v>7173</v>
      </c>
      <c r="G147" s="770">
        <v>156.5</v>
      </c>
      <c r="H147" s="770">
        <v>1122575</v>
      </c>
      <c r="I147" s="771">
        <v>1.1599999999999999</v>
      </c>
    </row>
    <row r="148" spans="1:9" ht="35.25" customHeight="1" x14ac:dyDescent="0.25">
      <c r="A148">
        <v>38</v>
      </c>
      <c r="B148" s="768">
        <v>45412</v>
      </c>
      <c r="C148" s="769" t="s">
        <v>870</v>
      </c>
      <c r="D148" s="769" t="s">
        <v>871</v>
      </c>
      <c r="E148" s="769" t="s">
        <v>191</v>
      </c>
      <c r="F148" s="856">
        <v>13001</v>
      </c>
      <c r="G148" s="770">
        <v>85.7</v>
      </c>
      <c r="H148" s="770">
        <v>1114186</v>
      </c>
      <c r="I148" s="771">
        <v>1.1499999999999999</v>
      </c>
    </row>
    <row r="149" spans="1:9" ht="35.25" customHeight="1" x14ac:dyDescent="0.25">
      <c r="A149">
        <v>39</v>
      </c>
      <c r="B149" s="768">
        <v>45412</v>
      </c>
      <c r="C149" s="769" t="s">
        <v>872</v>
      </c>
      <c r="D149" s="769" t="s">
        <v>873</v>
      </c>
      <c r="E149" s="769" t="s">
        <v>300</v>
      </c>
      <c r="F149" s="856">
        <v>13463</v>
      </c>
      <c r="G149" s="770">
        <v>80.45</v>
      </c>
      <c r="H149" s="770">
        <v>1083098</v>
      </c>
      <c r="I149" s="771">
        <v>1.1200000000000001</v>
      </c>
    </row>
    <row r="150" spans="1:9" ht="35.25" customHeight="1" x14ac:dyDescent="0.25">
      <c r="A150">
        <v>40</v>
      </c>
      <c r="B150" s="768">
        <v>45412</v>
      </c>
      <c r="C150" s="769" t="s">
        <v>874</v>
      </c>
      <c r="D150" s="769" t="s">
        <v>875</v>
      </c>
      <c r="E150" s="769" t="s">
        <v>276</v>
      </c>
      <c r="F150" s="856">
        <v>18996</v>
      </c>
      <c r="G150" s="770">
        <v>56.01</v>
      </c>
      <c r="H150" s="770">
        <v>1063966</v>
      </c>
      <c r="I150" s="771">
        <v>1.1000000000000001</v>
      </c>
    </row>
    <row r="151" spans="1:9" ht="35.25" customHeight="1" x14ac:dyDescent="0.25">
      <c r="A151">
        <v>41</v>
      </c>
      <c r="B151" s="768">
        <v>45412</v>
      </c>
      <c r="C151" s="769" t="s">
        <v>876</v>
      </c>
      <c r="D151" s="769" t="s">
        <v>877</v>
      </c>
      <c r="E151" s="769" t="s">
        <v>275</v>
      </c>
      <c r="F151" s="856">
        <v>21968</v>
      </c>
      <c r="G151" s="770">
        <v>48.29</v>
      </c>
      <c r="H151" s="770">
        <v>1060835</v>
      </c>
      <c r="I151" s="771">
        <v>1.1000000000000001</v>
      </c>
    </row>
    <row r="152" spans="1:9" ht="35.25" customHeight="1" x14ac:dyDescent="0.25">
      <c r="A152">
        <v>42</v>
      </c>
      <c r="B152" s="768">
        <v>45412</v>
      </c>
      <c r="C152" s="769" t="s">
        <v>878</v>
      </c>
      <c r="D152" s="769" t="s">
        <v>879</v>
      </c>
      <c r="E152" s="769" t="s">
        <v>300</v>
      </c>
      <c r="F152" s="856">
        <v>15121</v>
      </c>
      <c r="G152" s="770">
        <v>68.599999999999994</v>
      </c>
      <c r="H152" s="770">
        <v>1037301</v>
      </c>
      <c r="I152" s="771">
        <v>1.07</v>
      </c>
    </row>
    <row r="153" spans="1:9" ht="35.25" customHeight="1" x14ac:dyDescent="0.25">
      <c r="A153">
        <v>43</v>
      </c>
      <c r="B153" s="768">
        <v>45412</v>
      </c>
      <c r="C153" s="769" t="s">
        <v>880</v>
      </c>
      <c r="D153" s="769" t="s">
        <v>881</v>
      </c>
      <c r="E153" s="769" t="s">
        <v>300</v>
      </c>
      <c r="F153" s="856">
        <v>23447</v>
      </c>
      <c r="G153" s="770">
        <v>43.75</v>
      </c>
      <c r="H153" s="770">
        <v>1025806</v>
      </c>
      <c r="I153" s="771">
        <v>1.06</v>
      </c>
    </row>
    <row r="154" spans="1:9" ht="35.25" customHeight="1" x14ac:dyDescent="0.25">
      <c r="A154">
        <v>44</v>
      </c>
      <c r="B154" s="768">
        <v>45412</v>
      </c>
      <c r="C154" s="769" t="s">
        <v>882</v>
      </c>
      <c r="D154" s="769" t="s">
        <v>883</v>
      </c>
      <c r="E154" s="769" t="s">
        <v>258</v>
      </c>
      <c r="F154" s="856">
        <v>12717</v>
      </c>
      <c r="G154" s="770">
        <v>78.91</v>
      </c>
      <c r="H154" s="770">
        <v>1003498</v>
      </c>
      <c r="I154" s="771">
        <v>1.04</v>
      </c>
    </row>
    <row r="155" spans="1:9" ht="35.25" customHeight="1" x14ac:dyDescent="0.25">
      <c r="A155">
        <v>45</v>
      </c>
      <c r="B155" s="768">
        <v>45412</v>
      </c>
      <c r="C155" s="769" t="s">
        <v>884</v>
      </c>
      <c r="D155" s="769" t="s">
        <v>885</v>
      </c>
      <c r="E155" s="769" t="s">
        <v>191</v>
      </c>
      <c r="F155" s="856">
        <v>3995</v>
      </c>
      <c r="G155" s="770">
        <v>250.71</v>
      </c>
      <c r="H155" s="770">
        <v>1001586</v>
      </c>
      <c r="I155" s="771">
        <v>1.04</v>
      </c>
    </row>
    <row r="156" spans="1:9" ht="35.25" customHeight="1" x14ac:dyDescent="0.25">
      <c r="A156">
        <v>46</v>
      </c>
      <c r="B156" s="768">
        <v>45412</v>
      </c>
      <c r="C156" s="769" t="s">
        <v>886</v>
      </c>
      <c r="D156" s="769" t="s">
        <v>887</v>
      </c>
      <c r="E156" s="769" t="s">
        <v>189</v>
      </c>
      <c r="F156" s="856">
        <v>24198</v>
      </c>
      <c r="G156" s="770">
        <v>40.79</v>
      </c>
      <c r="H156" s="770">
        <v>987036</v>
      </c>
      <c r="I156" s="771">
        <v>1.02</v>
      </c>
    </row>
    <row r="157" spans="1:9" ht="35.25" customHeight="1" x14ac:dyDescent="0.25">
      <c r="A157">
        <v>47</v>
      </c>
      <c r="B157" s="768">
        <v>45412</v>
      </c>
      <c r="C157" s="769" t="s">
        <v>888</v>
      </c>
      <c r="D157" s="769" t="s">
        <v>889</v>
      </c>
      <c r="E157" s="769" t="s">
        <v>189</v>
      </c>
      <c r="F157" s="856">
        <v>15789</v>
      </c>
      <c r="G157" s="770">
        <v>62.3</v>
      </c>
      <c r="H157" s="770">
        <v>983655</v>
      </c>
      <c r="I157" s="771">
        <v>1.02</v>
      </c>
    </row>
    <row r="158" spans="1:9" ht="35.25" customHeight="1" x14ac:dyDescent="0.25">
      <c r="A158">
        <v>48</v>
      </c>
      <c r="B158" s="768">
        <v>45412</v>
      </c>
      <c r="C158" s="769" t="s">
        <v>890</v>
      </c>
      <c r="D158" s="769" t="s">
        <v>891</v>
      </c>
      <c r="E158" s="769" t="s">
        <v>258</v>
      </c>
      <c r="F158" s="856">
        <v>5906</v>
      </c>
      <c r="G158" s="770">
        <v>164.2</v>
      </c>
      <c r="H158" s="770">
        <v>969765</v>
      </c>
      <c r="I158" s="771">
        <v>1</v>
      </c>
    </row>
    <row r="159" spans="1:9" ht="35.25" customHeight="1" x14ac:dyDescent="0.25">
      <c r="A159">
        <v>49</v>
      </c>
      <c r="B159" s="768">
        <v>45412</v>
      </c>
      <c r="C159" s="769" t="s">
        <v>892</v>
      </c>
      <c r="D159" s="857" t="s">
        <v>893</v>
      </c>
      <c r="E159" s="769" t="s">
        <v>300</v>
      </c>
      <c r="F159" s="770">
        <v>5571</v>
      </c>
      <c r="G159" s="770">
        <v>169.9</v>
      </c>
      <c r="H159" s="770">
        <v>946513</v>
      </c>
      <c r="I159" s="771">
        <v>0.98</v>
      </c>
    </row>
    <row r="160" spans="1:9" ht="35.25" customHeight="1" x14ac:dyDescent="0.25">
      <c r="A160">
        <v>50</v>
      </c>
      <c r="B160" s="768">
        <v>45412</v>
      </c>
      <c r="C160" s="769" t="s">
        <v>894</v>
      </c>
      <c r="D160" s="769" t="s">
        <v>895</v>
      </c>
      <c r="E160" s="769" t="s">
        <v>331</v>
      </c>
      <c r="F160" s="856">
        <v>12252</v>
      </c>
      <c r="G160" s="770">
        <v>77.2</v>
      </c>
      <c r="H160" s="770">
        <v>945854</v>
      </c>
      <c r="I160" s="771">
        <v>0.98</v>
      </c>
    </row>
    <row r="161" spans="1:9" ht="35.25" customHeight="1" x14ac:dyDescent="0.25">
      <c r="A161">
        <v>51</v>
      </c>
      <c r="B161" s="768">
        <v>45412</v>
      </c>
      <c r="C161" s="769" t="s">
        <v>896</v>
      </c>
      <c r="D161" s="769" t="s">
        <v>572</v>
      </c>
      <c r="E161" s="769" t="s">
        <v>275</v>
      </c>
      <c r="F161" s="856">
        <v>20690</v>
      </c>
      <c r="G161" s="770">
        <v>45.64</v>
      </c>
      <c r="H161" s="770">
        <v>944292</v>
      </c>
      <c r="I161" s="771">
        <v>0.98</v>
      </c>
    </row>
    <row r="162" spans="1:9" ht="35.25" customHeight="1" x14ac:dyDescent="0.25">
      <c r="A162">
        <v>52</v>
      </c>
      <c r="B162" s="768">
        <v>45412</v>
      </c>
      <c r="C162" s="769" t="s">
        <v>897</v>
      </c>
      <c r="D162" s="769" t="s">
        <v>898</v>
      </c>
      <c r="E162" s="769" t="s">
        <v>300</v>
      </c>
      <c r="F162" s="856">
        <v>20480</v>
      </c>
      <c r="G162" s="770">
        <v>43.33</v>
      </c>
      <c r="H162" s="770">
        <v>887398</v>
      </c>
      <c r="I162" s="771">
        <v>0.92</v>
      </c>
    </row>
    <row r="163" spans="1:9" ht="35.25" customHeight="1" x14ac:dyDescent="0.25">
      <c r="A163">
        <v>53</v>
      </c>
      <c r="B163" s="768">
        <v>45412</v>
      </c>
      <c r="C163" s="769" t="s">
        <v>899</v>
      </c>
      <c r="D163" s="769" t="s">
        <v>900</v>
      </c>
      <c r="E163" s="769" t="s">
        <v>300</v>
      </c>
      <c r="F163" s="856">
        <v>21132</v>
      </c>
      <c r="G163" s="770">
        <v>41.9</v>
      </c>
      <c r="H163" s="770">
        <v>885431</v>
      </c>
      <c r="I163" s="771">
        <v>0.92</v>
      </c>
    </row>
    <row r="164" spans="1:9" ht="35.25" customHeight="1" x14ac:dyDescent="0.25">
      <c r="A164">
        <v>54</v>
      </c>
      <c r="B164" s="768">
        <v>45412</v>
      </c>
      <c r="C164" s="769" t="s">
        <v>901</v>
      </c>
      <c r="D164" s="857" t="s">
        <v>902</v>
      </c>
      <c r="E164" s="769" t="s">
        <v>275</v>
      </c>
      <c r="F164" s="770">
        <v>10723</v>
      </c>
      <c r="G164" s="770">
        <v>81.3</v>
      </c>
      <c r="H164" s="770">
        <v>871780</v>
      </c>
      <c r="I164" s="771">
        <v>0.9</v>
      </c>
    </row>
    <row r="165" spans="1:9" ht="35.25" customHeight="1" x14ac:dyDescent="0.25">
      <c r="A165">
        <v>55</v>
      </c>
      <c r="B165" s="768">
        <v>45412</v>
      </c>
      <c r="C165" s="769" t="s">
        <v>903</v>
      </c>
      <c r="D165" s="769" t="s">
        <v>904</v>
      </c>
      <c r="E165" s="769" t="s">
        <v>300</v>
      </c>
      <c r="F165" s="856">
        <v>4932</v>
      </c>
      <c r="G165" s="770">
        <v>173.87</v>
      </c>
      <c r="H165" s="770">
        <v>857527</v>
      </c>
      <c r="I165" s="771">
        <v>0.89</v>
      </c>
    </row>
    <row r="166" spans="1:9" ht="35.25" customHeight="1" x14ac:dyDescent="0.25">
      <c r="A166">
        <v>56</v>
      </c>
      <c r="B166" s="768">
        <v>45412</v>
      </c>
      <c r="C166" s="769" t="s">
        <v>905</v>
      </c>
      <c r="D166" s="769" t="s">
        <v>906</v>
      </c>
      <c r="E166" s="769" t="s">
        <v>258</v>
      </c>
      <c r="F166" s="856">
        <v>8904</v>
      </c>
      <c r="G166" s="770">
        <v>96</v>
      </c>
      <c r="H166" s="770">
        <v>854784</v>
      </c>
      <c r="I166" s="771">
        <v>0.89</v>
      </c>
    </row>
    <row r="167" spans="1:9" ht="35.25" customHeight="1" x14ac:dyDescent="0.25">
      <c r="A167">
        <v>57</v>
      </c>
      <c r="B167" s="768">
        <v>45412</v>
      </c>
      <c r="C167" s="769" t="s">
        <v>907</v>
      </c>
      <c r="D167" s="769" t="s">
        <v>908</v>
      </c>
      <c r="E167" s="769" t="s">
        <v>191</v>
      </c>
      <c r="F167" s="856">
        <v>36148</v>
      </c>
      <c r="G167" s="770">
        <v>23.13</v>
      </c>
      <c r="H167" s="770">
        <v>836103</v>
      </c>
      <c r="I167" s="771">
        <v>0.87</v>
      </c>
    </row>
    <row r="168" spans="1:9" ht="35.25" customHeight="1" x14ac:dyDescent="0.25">
      <c r="A168">
        <v>58</v>
      </c>
      <c r="B168" s="768">
        <v>45412</v>
      </c>
      <c r="C168" s="769" t="s">
        <v>909</v>
      </c>
      <c r="D168" s="769" t="s">
        <v>910</v>
      </c>
      <c r="E168" s="769" t="s">
        <v>258</v>
      </c>
      <c r="F168" s="856">
        <v>2524</v>
      </c>
      <c r="G168" s="770">
        <v>330.19</v>
      </c>
      <c r="H168" s="770">
        <v>833400</v>
      </c>
      <c r="I168" s="771">
        <v>0.86</v>
      </c>
    </row>
    <row r="169" spans="1:9" ht="35.25" customHeight="1" x14ac:dyDescent="0.25">
      <c r="A169">
        <v>59</v>
      </c>
      <c r="B169" s="768">
        <v>45412</v>
      </c>
      <c r="C169" s="769" t="s">
        <v>911</v>
      </c>
      <c r="D169" s="769" t="s">
        <v>912</v>
      </c>
      <c r="E169" s="769" t="s">
        <v>276</v>
      </c>
      <c r="F169" s="856">
        <v>7763</v>
      </c>
      <c r="G169" s="770">
        <v>105.85</v>
      </c>
      <c r="H169" s="770">
        <v>821714</v>
      </c>
      <c r="I169" s="771">
        <v>0.85</v>
      </c>
    </row>
    <row r="170" spans="1:9" ht="35.25" customHeight="1" x14ac:dyDescent="0.25">
      <c r="A170">
        <v>60</v>
      </c>
      <c r="B170" s="768">
        <v>45412</v>
      </c>
      <c r="C170" s="769" t="s">
        <v>913</v>
      </c>
      <c r="D170" s="769" t="s">
        <v>914</v>
      </c>
      <c r="E170" s="769" t="s">
        <v>258</v>
      </c>
      <c r="F170" s="856">
        <v>16614</v>
      </c>
      <c r="G170" s="770">
        <v>48.5</v>
      </c>
      <c r="H170" s="770">
        <v>805779</v>
      </c>
      <c r="I170" s="771">
        <v>0.83</v>
      </c>
    </row>
    <row r="171" spans="1:9" ht="35.25" customHeight="1" x14ac:dyDescent="0.25">
      <c r="A171">
        <v>61</v>
      </c>
      <c r="B171" s="768">
        <v>45412</v>
      </c>
      <c r="C171" s="769" t="s">
        <v>915</v>
      </c>
      <c r="D171" s="857" t="s">
        <v>916</v>
      </c>
      <c r="E171" s="769" t="s">
        <v>275</v>
      </c>
      <c r="F171" s="770">
        <v>6130</v>
      </c>
      <c r="G171" s="770">
        <v>121.81</v>
      </c>
      <c r="H171" s="770">
        <v>746695</v>
      </c>
      <c r="I171" s="771">
        <v>0.77</v>
      </c>
    </row>
    <row r="172" spans="1:9" ht="35.25" customHeight="1" x14ac:dyDescent="0.25">
      <c r="A172">
        <v>62</v>
      </c>
      <c r="B172" s="768">
        <v>45412</v>
      </c>
      <c r="C172" s="769" t="s">
        <v>917</v>
      </c>
      <c r="D172" s="769" t="s">
        <v>918</v>
      </c>
      <c r="E172" s="769" t="s">
        <v>302</v>
      </c>
      <c r="F172" s="856">
        <v>13396</v>
      </c>
      <c r="G172" s="770">
        <v>55.17</v>
      </c>
      <c r="H172" s="770">
        <v>739057</v>
      </c>
      <c r="I172" s="771">
        <v>0.77</v>
      </c>
    </row>
    <row r="173" spans="1:9" ht="35.25" customHeight="1" x14ac:dyDescent="0.25">
      <c r="A173">
        <v>63</v>
      </c>
      <c r="B173" s="768">
        <v>45412</v>
      </c>
      <c r="C173" s="769" t="s">
        <v>919</v>
      </c>
      <c r="D173" s="769" t="s">
        <v>920</v>
      </c>
      <c r="E173" s="769" t="s">
        <v>258</v>
      </c>
      <c r="F173" s="856">
        <v>6546</v>
      </c>
      <c r="G173" s="770">
        <v>111.63</v>
      </c>
      <c r="H173" s="770">
        <v>730730</v>
      </c>
      <c r="I173" s="771">
        <v>0.76</v>
      </c>
    </row>
    <row r="174" spans="1:9" ht="35.25" customHeight="1" x14ac:dyDescent="0.25">
      <c r="A174">
        <v>64</v>
      </c>
      <c r="B174" s="768">
        <v>45412</v>
      </c>
      <c r="C174" s="769" t="s">
        <v>921</v>
      </c>
      <c r="D174" s="857" t="s">
        <v>922</v>
      </c>
      <c r="E174" s="769" t="s">
        <v>300</v>
      </c>
      <c r="F174" s="770">
        <v>13269</v>
      </c>
      <c r="G174" s="770">
        <v>54.63</v>
      </c>
      <c r="H174" s="770">
        <v>724885</v>
      </c>
      <c r="I174" s="771">
        <v>0.75</v>
      </c>
    </row>
    <row r="175" spans="1:9" ht="35.25" customHeight="1" x14ac:dyDescent="0.25">
      <c r="A175">
        <v>65</v>
      </c>
      <c r="B175" s="768">
        <v>45412</v>
      </c>
      <c r="C175" s="769" t="s">
        <v>923</v>
      </c>
      <c r="D175" s="769" t="s">
        <v>924</v>
      </c>
      <c r="E175" s="769" t="s">
        <v>258</v>
      </c>
      <c r="F175" s="856">
        <v>9627</v>
      </c>
      <c r="G175" s="770">
        <v>74.099999999999994</v>
      </c>
      <c r="H175" s="770">
        <v>713361</v>
      </c>
      <c r="I175" s="771">
        <v>0.74</v>
      </c>
    </row>
    <row r="176" spans="1:9" ht="35.25" customHeight="1" x14ac:dyDescent="0.25">
      <c r="A176">
        <v>66</v>
      </c>
      <c r="B176" s="768">
        <v>45412</v>
      </c>
      <c r="C176" s="769" t="s">
        <v>925</v>
      </c>
      <c r="D176" s="769" t="s">
        <v>926</v>
      </c>
      <c r="E176" s="769" t="s">
        <v>300</v>
      </c>
      <c r="F176" s="856">
        <v>5828</v>
      </c>
      <c r="G176" s="770">
        <v>121.49</v>
      </c>
      <c r="H176" s="770">
        <v>708044</v>
      </c>
      <c r="I176" s="771">
        <v>0.73</v>
      </c>
    </row>
    <row r="177" spans="1:9" ht="35.25" customHeight="1" x14ac:dyDescent="0.25">
      <c r="A177">
        <v>67</v>
      </c>
      <c r="B177" s="768">
        <v>45412</v>
      </c>
      <c r="C177" s="769" t="s">
        <v>927</v>
      </c>
      <c r="D177" s="857" t="s">
        <v>928</v>
      </c>
      <c r="E177" s="769" t="s">
        <v>302</v>
      </c>
      <c r="F177" s="770">
        <v>6604</v>
      </c>
      <c r="G177" s="770">
        <v>106.07</v>
      </c>
      <c r="H177" s="770">
        <v>700486</v>
      </c>
      <c r="I177" s="771">
        <v>0.73</v>
      </c>
    </row>
    <row r="178" spans="1:9" ht="35.25" customHeight="1" x14ac:dyDescent="0.25">
      <c r="A178">
        <v>68</v>
      </c>
      <c r="B178" s="768">
        <v>45412</v>
      </c>
      <c r="C178" s="769" t="s">
        <v>929</v>
      </c>
      <c r="D178" s="769" t="s">
        <v>930</v>
      </c>
      <c r="E178" s="769" t="s">
        <v>276</v>
      </c>
      <c r="F178" s="856">
        <v>9271</v>
      </c>
      <c r="G178" s="770">
        <v>73.14</v>
      </c>
      <c r="H178" s="770">
        <v>678081</v>
      </c>
      <c r="I178" s="771">
        <v>0.7</v>
      </c>
    </row>
    <row r="179" spans="1:9" ht="35.25" customHeight="1" x14ac:dyDescent="0.25">
      <c r="A179">
        <v>69</v>
      </c>
      <c r="B179" s="768">
        <v>45412</v>
      </c>
      <c r="C179" s="769" t="s">
        <v>931</v>
      </c>
      <c r="D179" s="769" t="s">
        <v>932</v>
      </c>
      <c r="E179" s="769" t="s">
        <v>300</v>
      </c>
      <c r="F179" s="856">
        <v>12141</v>
      </c>
      <c r="G179" s="770">
        <v>54.82</v>
      </c>
      <c r="H179" s="770">
        <v>665570</v>
      </c>
      <c r="I179" s="771">
        <v>0.69</v>
      </c>
    </row>
    <row r="180" spans="1:9" ht="35.25" customHeight="1" x14ac:dyDescent="0.25">
      <c r="A180">
        <v>70</v>
      </c>
      <c r="B180" s="768">
        <v>45412</v>
      </c>
      <c r="C180" s="769" t="s">
        <v>933</v>
      </c>
      <c r="D180" s="769" t="s">
        <v>92</v>
      </c>
      <c r="E180" s="769" t="s">
        <v>300</v>
      </c>
      <c r="F180" s="856">
        <v>13044</v>
      </c>
      <c r="G180" s="770">
        <v>50.45</v>
      </c>
      <c r="H180" s="770">
        <v>658070</v>
      </c>
      <c r="I180" s="771">
        <v>0.68</v>
      </c>
    </row>
    <row r="181" spans="1:9" ht="35.25" customHeight="1" x14ac:dyDescent="0.25">
      <c r="A181">
        <v>71</v>
      </c>
      <c r="B181" s="768">
        <v>45412</v>
      </c>
      <c r="C181" s="769" t="s">
        <v>934</v>
      </c>
      <c r="D181" s="769" t="s">
        <v>935</v>
      </c>
      <c r="E181" s="769" t="s">
        <v>258</v>
      </c>
      <c r="F181" s="856">
        <v>6797</v>
      </c>
      <c r="G181" s="770">
        <v>94.13</v>
      </c>
      <c r="H181" s="770">
        <v>639802</v>
      </c>
      <c r="I181" s="771">
        <v>0.66</v>
      </c>
    </row>
    <row r="182" spans="1:9" ht="35.25" customHeight="1" x14ac:dyDescent="0.25">
      <c r="A182">
        <v>72</v>
      </c>
      <c r="B182" s="768">
        <v>45412</v>
      </c>
      <c r="C182" s="769" t="s">
        <v>936</v>
      </c>
      <c r="D182" s="857" t="s">
        <v>937</v>
      </c>
      <c r="E182" s="769" t="s">
        <v>300</v>
      </c>
      <c r="F182" s="770">
        <v>22426</v>
      </c>
      <c r="G182" s="770">
        <v>28.12</v>
      </c>
      <c r="H182" s="770">
        <v>630619</v>
      </c>
      <c r="I182" s="771">
        <v>0.65</v>
      </c>
    </row>
    <row r="183" spans="1:9" ht="35.25" customHeight="1" x14ac:dyDescent="0.25">
      <c r="A183">
        <v>73</v>
      </c>
      <c r="B183" s="768">
        <v>45412</v>
      </c>
      <c r="C183" s="769" t="s">
        <v>938</v>
      </c>
      <c r="D183" s="769" t="s">
        <v>939</v>
      </c>
      <c r="E183" s="769" t="s">
        <v>331</v>
      </c>
      <c r="F183" s="856">
        <v>11870</v>
      </c>
      <c r="G183" s="770">
        <v>52.97</v>
      </c>
      <c r="H183" s="770">
        <v>628754</v>
      </c>
      <c r="I183" s="771">
        <v>0.65</v>
      </c>
    </row>
    <row r="184" spans="1:9" ht="35.25" customHeight="1" x14ac:dyDescent="0.25">
      <c r="A184">
        <v>74</v>
      </c>
      <c r="B184" s="768">
        <v>45412</v>
      </c>
      <c r="C184" s="769" t="s">
        <v>940</v>
      </c>
      <c r="D184" s="769" t="s">
        <v>941</v>
      </c>
      <c r="E184" s="769" t="s">
        <v>331</v>
      </c>
      <c r="F184" s="856">
        <v>1657</v>
      </c>
      <c r="G184" s="770">
        <v>363.25</v>
      </c>
      <c r="H184" s="770">
        <v>601905</v>
      </c>
      <c r="I184" s="771">
        <v>0.62</v>
      </c>
    </row>
    <row r="185" spans="1:9" ht="35.25" customHeight="1" x14ac:dyDescent="0.25">
      <c r="A185">
        <v>75</v>
      </c>
      <c r="B185" s="768">
        <v>45412</v>
      </c>
      <c r="C185" s="769" t="s">
        <v>942</v>
      </c>
      <c r="D185" s="857" t="s">
        <v>943</v>
      </c>
      <c r="E185" s="769" t="s">
        <v>258</v>
      </c>
      <c r="F185" s="770">
        <v>8144</v>
      </c>
      <c r="G185" s="770">
        <v>71.81</v>
      </c>
      <c r="H185" s="770">
        <v>584821</v>
      </c>
      <c r="I185" s="771">
        <v>0.61</v>
      </c>
    </row>
    <row r="186" spans="1:9" ht="35.25" customHeight="1" x14ac:dyDescent="0.25">
      <c r="A186">
        <v>76</v>
      </c>
      <c r="B186" s="768">
        <v>45412</v>
      </c>
      <c r="C186" s="769" t="s">
        <v>944</v>
      </c>
      <c r="D186" s="857" t="s">
        <v>945</v>
      </c>
      <c r="E186" s="769" t="s">
        <v>189</v>
      </c>
      <c r="F186" s="770">
        <v>6233</v>
      </c>
      <c r="G186" s="770">
        <v>91.85</v>
      </c>
      <c r="H186" s="770">
        <v>572501</v>
      </c>
      <c r="I186" s="771">
        <v>0.59</v>
      </c>
    </row>
    <row r="187" spans="1:9" ht="35.25" customHeight="1" x14ac:dyDescent="0.25">
      <c r="A187">
        <v>77</v>
      </c>
      <c r="B187" s="768">
        <v>45412</v>
      </c>
      <c r="C187" s="769" t="s">
        <v>946</v>
      </c>
      <c r="D187" s="857" t="s">
        <v>947</v>
      </c>
      <c r="E187" s="769" t="s">
        <v>300</v>
      </c>
      <c r="F187" s="770">
        <v>18841</v>
      </c>
      <c r="G187" s="770">
        <v>29.69</v>
      </c>
      <c r="H187" s="770">
        <v>559389</v>
      </c>
      <c r="I187" s="771">
        <v>0.57999999999999996</v>
      </c>
    </row>
    <row r="188" spans="1:9" ht="35.25" customHeight="1" x14ac:dyDescent="0.25">
      <c r="A188">
        <v>78</v>
      </c>
      <c r="B188" s="768">
        <v>45412</v>
      </c>
      <c r="C188" s="769" t="s">
        <v>948</v>
      </c>
      <c r="D188" s="769" t="s">
        <v>949</v>
      </c>
      <c r="E188" s="769" t="s">
        <v>258</v>
      </c>
      <c r="F188" s="856">
        <v>22229</v>
      </c>
      <c r="G188" s="770">
        <v>24.95</v>
      </c>
      <c r="H188" s="770">
        <v>554614</v>
      </c>
      <c r="I188" s="771">
        <v>0.56999999999999995</v>
      </c>
    </row>
    <row r="189" spans="1:9" ht="35.25" customHeight="1" x14ac:dyDescent="0.25">
      <c r="A189">
        <v>79</v>
      </c>
      <c r="B189" s="768">
        <v>45412</v>
      </c>
      <c r="C189" s="769" t="s">
        <v>950</v>
      </c>
      <c r="D189" s="857" t="s">
        <v>951</v>
      </c>
      <c r="E189" s="769" t="s">
        <v>258</v>
      </c>
      <c r="F189" s="770">
        <v>10320</v>
      </c>
      <c r="G189" s="770">
        <v>52.13</v>
      </c>
      <c r="H189" s="770">
        <v>537982</v>
      </c>
      <c r="I189" s="771">
        <v>0.56000000000000005</v>
      </c>
    </row>
    <row r="190" spans="1:9" ht="35.25" customHeight="1" x14ac:dyDescent="0.25">
      <c r="A190">
        <v>80</v>
      </c>
      <c r="B190" s="768">
        <v>45412</v>
      </c>
      <c r="C190" s="769" t="s">
        <v>952</v>
      </c>
      <c r="D190" s="769" t="s">
        <v>953</v>
      </c>
      <c r="E190" s="769" t="s">
        <v>300</v>
      </c>
      <c r="F190" s="856">
        <v>29401</v>
      </c>
      <c r="G190" s="770">
        <v>17.87</v>
      </c>
      <c r="H190" s="770">
        <v>525396</v>
      </c>
      <c r="I190" s="771">
        <v>0.54</v>
      </c>
    </row>
    <row r="191" spans="1:9" ht="35.25" customHeight="1" x14ac:dyDescent="0.25">
      <c r="A191">
        <v>81</v>
      </c>
      <c r="B191" s="768">
        <v>45412</v>
      </c>
      <c r="C191" s="769" t="s">
        <v>954</v>
      </c>
      <c r="D191" s="769" t="s">
        <v>955</v>
      </c>
      <c r="E191" s="769" t="s">
        <v>276</v>
      </c>
      <c r="F191" s="856">
        <v>3157</v>
      </c>
      <c r="G191" s="770">
        <v>165.74</v>
      </c>
      <c r="H191" s="770">
        <v>523241</v>
      </c>
      <c r="I191" s="771">
        <v>0.54</v>
      </c>
    </row>
    <row r="192" spans="1:9" ht="35.25" customHeight="1" x14ac:dyDescent="0.25">
      <c r="A192">
        <v>82</v>
      </c>
      <c r="B192" s="768">
        <v>45412</v>
      </c>
      <c r="C192" s="769" t="s">
        <v>956</v>
      </c>
      <c r="D192" s="769" t="s">
        <v>957</v>
      </c>
      <c r="E192" s="769" t="s">
        <v>258</v>
      </c>
      <c r="F192" s="856">
        <v>8161</v>
      </c>
      <c r="G192" s="770">
        <v>61.32</v>
      </c>
      <c r="H192" s="770">
        <v>500433</v>
      </c>
      <c r="I192" s="771">
        <v>0.52</v>
      </c>
    </row>
    <row r="193" spans="1:9" ht="35.25" customHeight="1" x14ac:dyDescent="0.25">
      <c r="A193">
        <v>83</v>
      </c>
      <c r="B193" s="768">
        <v>45412</v>
      </c>
      <c r="C193" s="769" t="s">
        <v>958</v>
      </c>
      <c r="D193" s="857" t="s">
        <v>959</v>
      </c>
      <c r="E193" s="769" t="s">
        <v>300</v>
      </c>
      <c r="F193" s="770">
        <v>2182</v>
      </c>
      <c r="G193" s="770">
        <v>226.78</v>
      </c>
      <c r="H193" s="770">
        <v>494834</v>
      </c>
      <c r="I193" s="771">
        <v>0.51</v>
      </c>
    </row>
    <row r="194" spans="1:9" ht="35.25" customHeight="1" x14ac:dyDescent="0.25">
      <c r="A194">
        <v>84</v>
      </c>
      <c r="B194" s="768">
        <v>45412</v>
      </c>
      <c r="C194" s="769" t="s">
        <v>960</v>
      </c>
      <c r="D194" s="769" t="s">
        <v>961</v>
      </c>
      <c r="E194" s="769" t="s">
        <v>275</v>
      </c>
      <c r="F194" s="856">
        <v>11546</v>
      </c>
      <c r="G194" s="770">
        <v>42.79</v>
      </c>
      <c r="H194" s="770">
        <v>494053</v>
      </c>
      <c r="I194" s="771">
        <v>0.51</v>
      </c>
    </row>
    <row r="195" spans="1:9" ht="35.25" customHeight="1" x14ac:dyDescent="0.25">
      <c r="A195">
        <v>85</v>
      </c>
      <c r="B195" s="768">
        <v>45412</v>
      </c>
      <c r="C195" s="769" t="s">
        <v>962</v>
      </c>
      <c r="D195" s="769" t="s">
        <v>963</v>
      </c>
      <c r="E195" s="769" t="s">
        <v>276</v>
      </c>
      <c r="F195" s="856">
        <v>6850</v>
      </c>
      <c r="G195" s="770">
        <v>71.94</v>
      </c>
      <c r="H195" s="770">
        <v>492789</v>
      </c>
      <c r="I195" s="771">
        <v>0.51</v>
      </c>
    </row>
    <row r="196" spans="1:9" ht="35.25" customHeight="1" x14ac:dyDescent="0.25">
      <c r="A196">
        <v>86</v>
      </c>
      <c r="B196" s="768">
        <v>45412</v>
      </c>
      <c r="C196" s="769" t="s">
        <v>964</v>
      </c>
      <c r="D196" s="769" t="s">
        <v>965</v>
      </c>
      <c r="E196" s="769" t="s">
        <v>258</v>
      </c>
      <c r="F196" s="856">
        <v>5381</v>
      </c>
      <c r="G196" s="770">
        <v>91.34</v>
      </c>
      <c r="H196" s="770">
        <v>491501</v>
      </c>
      <c r="I196" s="771">
        <v>0.51</v>
      </c>
    </row>
    <row r="197" spans="1:9" ht="35.25" customHeight="1" x14ac:dyDescent="0.25">
      <c r="A197">
        <v>87</v>
      </c>
      <c r="B197" s="768">
        <v>45412</v>
      </c>
      <c r="C197" s="769" t="s">
        <v>966</v>
      </c>
      <c r="D197" s="769" t="s">
        <v>93</v>
      </c>
      <c r="E197" s="769" t="s">
        <v>275</v>
      </c>
      <c r="F197" s="856">
        <v>5498</v>
      </c>
      <c r="G197" s="770">
        <v>88.55</v>
      </c>
      <c r="H197" s="770">
        <v>486848</v>
      </c>
      <c r="I197" s="771">
        <v>0.5</v>
      </c>
    </row>
    <row r="198" spans="1:9" ht="35.25" customHeight="1" x14ac:dyDescent="0.25">
      <c r="A198">
        <v>88</v>
      </c>
      <c r="B198" s="768">
        <v>45412</v>
      </c>
      <c r="C198" s="769" t="s">
        <v>967</v>
      </c>
      <c r="D198" s="857" t="s">
        <v>968</v>
      </c>
      <c r="E198" s="769" t="s">
        <v>258</v>
      </c>
      <c r="F198" s="770">
        <v>14660</v>
      </c>
      <c r="G198" s="770">
        <v>31.23</v>
      </c>
      <c r="H198" s="770">
        <v>457832</v>
      </c>
      <c r="I198" s="771">
        <v>0.47</v>
      </c>
    </row>
    <row r="199" spans="1:9" ht="35.25" customHeight="1" x14ac:dyDescent="0.25">
      <c r="A199">
        <v>89</v>
      </c>
      <c r="B199" s="768">
        <v>45412</v>
      </c>
      <c r="C199" s="769" t="s">
        <v>969</v>
      </c>
      <c r="D199" s="857" t="s">
        <v>970</v>
      </c>
      <c r="E199" s="769" t="s">
        <v>300</v>
      </c>
      <c r="F199" s="770">
        <v>11210</v>
      </c>
      <c r="G199" s="770">
        <v>40.630000000000003</v>
      </c>
      <c r="H199" s="770">
        <v>455462</v>
      </c>
      <c r="I199" s="771">
        <v>0.47</v>
      </c>
    </row>
    <row r="200" spans="1:9" ht="35.25" customHeight="1" x14ac:dyDescent="0.25">
      <c r="A200">
        <v>90</v>
      </c>
      <c r="B200" s="768">
        <v>45412</v>
      </c>
      <c r="C200" s="769" t="s">
        <v>971</v>
      </c>
      <c r="D200" s="769" t="s">
        <v>972</v>
      </c>
      <c r="E200" s="769" t="s">
        <v>258</v>
      </c>
      <c r="F200" s="856">
        <v>10383</v>
      </c>
      <c r="G200" s="770">
        <v>38.1</v>
      </c>
      <c r="H200" s="770">
        <v>395592</v>
      </c>
      <c r="I200" s="771">
        <v>0.41</v>
      </c>
    </row>
    <row r="201" spans="1:9" ht="35.25" customHeight="1" x14ac:dyDescent="0.25">
      <c r="A201">
        <v>91</v>
      </c>
      <c r="B201" s="768">
        <v>45412</v>
      </c>
      <c r="C201" s="769" t="s">
        <v>973</v>
      </c>
      <c r="D201" s="769" t="s">
        <v>974</v>
      </c>
      <c r="E201" s="769" t="s">
        <v>192</v>
      </c>
      <c r="F201" s="856">
        <v>7204</v>
      </c>
      <c r="G201" s="770">
        <v>54.35</v>
      </c>
      <c r="H201" s="770">
        <v>391537</v>
      </c>
      <c r="I201" s="771">
        <v>0.41</v>
      </c>
    </row>
    <row r="202" spans="1:9" ht="35.25" customHeight="1" x14ac:dyDescent="0.25">
      <c r="A202">
        <v>92</v>
      </c>
      <c r="B202" s="768">
        <v>45412</v>
      </c>
      <c r="C202" s="769" t="s">
        <v>975</v>
      </c>
      <c r="D202" s="857" t="s">
        <v>976</v>
      </c>
      <c r="E202" s="769" t="s">
        <v>258</v>
      </c>
      <c r="F202" s="770">
        <v>1619</v>
      </c>
      <c r="G202" s="770">
        <v>241.66</v>
      </c>
      <c r="H202" s="770">
        <v>391248</v>
      </c>
      <c r="I202" s="771">
        <v>0.41</v>
      </c>
    </row>
    <row r="203" spans="1:9" ht="35.25" customHeight="1" x14ac:dyDescent="0.25">
      <c r="A203">
        <v>93</v>
      </c>
      <c r="B203" s="768">
        <v>45412</v>
      </c>
      <c r="C203" s="769" t="s">
        <v>977</v>
      </c>
      <c r="D203" s="857" t="s">
        <v>978</v>
      </c>
      <c r="E203" s="769" t="s">
        <v>300</v>
      </c>
      <c r="F203" s="770">
        <v>4117</v>
      </c>
      <c r="G203" s="770">
        <v>84.76</v>
      </c>
      <c r="H203" s="770">
        <v>348957</v>
      </c>
      <c r="I203" s="771">
        <v>0.36</v>
      </c>
    </row>
    <row r="204" spans="1:9" ht="35.25" customHeight="1" x14ac:dyDescent="0.25">
      <c r="A204">
        <v>94</v>
      </c>
      <c r="B204" s="768">
        <v>45412</v>
      </c>
      <c r="C204" s="769" t="s">
        <v>979</v>
      </c>
      <c r="D204" s="857" t="s">
        <v>980</v>
      </c>
      <c r="E204" s="769" t="s">
        <v>258</v>
      </c>
      <c r="F204" s="770">
        <v>5689</v>
      </c>
      <c r="G204" s="770">
        <v>60.55</v>
      </c>
      <c r="H204" s="770">
        <v>344469</v>
      </c>
      <c r="I204" s="771">
        <v>0.36</v>
      </c>
    </row>
    <row r="205" spans="1:9" ht="35.25" customHeight="1" x14ac:dyDescent="0.25">
      <c r="A205">
        <v>95</v>
      </c>
      <c r="B205" s="768">
        <v>45412</v>
      </c>
      <c r="C205" s="769" t="s">
        <v>981</v>
      </c>
      <c r="D205" s="857" t="s">
        <v>982</v>
      </c>
      <c r="E205" s="769" t="s">
        <v>258</v>
      </c>
      <c r="F205" s="770">
        <v>6097</v>
      </c>
      <c r="G205" s="770">
        <v>46.69</v>
      </c>
      <c r="H205" s="770">
        <v>284669</v>
      </c>
      <c r="I205" s="771">
        <v>0.28999999999999998</v>
      </c>
    </row>
    <row r="206" spans="1:9" ht="35.25" customHeight="1" x14ac:dyDescent="0.25">
      <c r="A206">
        <v>96</v>
      </c>
      <c r="B206" s="768">
        <v>45412</v>
      </c>
      <c r="C206" s="769" t="s">
        <v>983</v>
      </c>
      <c r="D206" s="769" t="s">
        <v>984</v>
      </c>
      <c r="E206" s="769" t="s">
        <v>258</v>
      </c>
      <c r="F206" s="856">
        <v>4018</v>
      </c>
      <c r="G206" s="770">
        <v>66.540000000000006</v>
      </c>
      <c r="H206" s="770">
        <v>267358</v>
      </c>
      <c r="I206" s="771">
        <v>0.28000000000000003</v>
      </c>
    </row>
    <row r="207" spans="1:9" ht="35.25" customHeight="1" x14ac:dyDescent="0.25">
      <c r="A207">
        <v>97</v>
      </c>
      <c r="B207" s="768">
        <v>45412</v>
      </c>
      <c r="C207" s="769" t="s">
        <v>985</v>
      </c>
      <c r="D207" s="857" t="s">
        <v>986</v>
      </c>
      <c r="E207" s="769" t="s">
        <v>255</v>
      </c>
      <c r="F207" s="770">
        <v>2389</v>
      </c>
      <c r="G207" s="770">
        <v>102.27</v>
      </c>
      <c r="H207" s="770">
        <v>244323</v>
      </c>
      <c r="I207" s="771">
        <v>0.25</v>
      </c>
    </row>
    <row r="208" spans="1:9" ht="35.25" customHeight="1" x14ac:dyDescent="0.25">
      <c r="A208">
        <v>98</v>
      </c>
      <c r="B208" s="768">
        <v>45412</v>
      </c>
      <c r="C208" s="769" t="s">
        <v>987</v>
      </c>
      <c r="D208" s="857" t="s">
        <v>988</v>
      </c>
      <c r="E208" s="769" t="s">
        <v>300</v>
      </c>
      <c r="F208" s="770">
        <v>7600</v>
      </c>
      <c r="G208" s="770">
        <v>32.020000000000003</v>
      </c>
      <c r="H208" s="770">
        <v>243352</v>
      </c>
      <c r="I208" s="771">
        <v>0.25</v>
      </c>
    </row>
    <row r="209" spans="1:9" ht="35.25" customHeight="1" x14ac:dyDescent="0.25">
      <c r="A209">
        <v>99</v>
      </c>
      <c r="B209" s="768">
        <v>45412</v>
      </c>
      <c r="C209" s="769" t="s">
        <v>989</v>
      </c>
      <c r="D209" s="769" t="s">
        <v>990</v>
      </c>
      <c r="E209" s="769" t="s">
        <v>258</v>
      </c>
      <c r="F209" s="856">
        <v>8697</v>
      </c>
      <c r="G209" s="770">
        <v>27.74</v>
      </c>
      <c r="H209" s="770">
        <v>241255</v>
      </c>
      <c r="I209" s="771">
        <v>0.25</v>
      </c>
    </row>
    <row r="210" spans="1:9" ht="35.25" customHeight="1" x14ac:dyDescent="0.25">
      <c r="A210">
        <v>100</v>
      </c>
      <c r="B210" s="768">
        <v>45412</v>
      </c>
      <c r="C210" s="769" t="s">
        <v>991</v>
      </c>
      <c r="D210" s="857" t="s">
        <v>992</v>
      </c>
      <c r="E210" s="769" t="s">
        <v>258</v>
      </c>
      <c r="F210" s="770">
        <v>22288</v>
      </c>
      <c r="G210" s="770">
        <v>10.69</v>
      </c>
      <c r="H210" s="770">
        <v>238259</v>
      </c>
      <c r="I210" s="771">
        <v>0.25</v>
      </c>
    </row>
    <row r="211" spans="1:9" ht="35.25" customHeight="1" x14ac:dyDescent="0.25">
      <c r="A211">
        <v>101</v>
      </c>
      <c r="B211" s="768">
        <v>45412</v>
      </c>
      <c r="C211" s="769" t="s">
        <v>993</v>
      </c>
      <c r="D211" s="857" t="s">
        <v>994</v>
      </c>
      <c r="E211" s="769" t="s">
        <v>258</v>
      </c>
      <c r="F211" s="770">
        <v>5185</v>
      </c>
      <c r="G211" s="770">
        <v>45.87</v>
      </c>
      <c r="H211" s="770">
        <v>237836</v>
      </c>
      <c r="I211" s="771">
        <v>0.25</v>
      </c>
    </row>
    <row r="212" spans="1:9" ht="25.5" customHeight="1" x14ac:dyDescent="0.25">
      <c r="A212">
        <v>102</v>
      </c>
      <c r="B212" s="768">
        <v>45412</v>
      </c>
      <c r="C212" s="769" t="s">
        <v>995</v>
      </c>
      <c r="D212" s="857" t="s">
        <v>996</v>
      </c>
      <c r="E212" s="769" t="s">
        <v>258</v>
      </c>
      <c r="F212" s="770">
        <v>2969</v>
      </c>
      <c r="G212" s="770">
        <v>79.58</v>
      </c>
      <c r="H212" s="770">
        <v>236273</v>
      </c>
      <c r="I212" s="771">
        <v>0.24</v>
      </c>
    </row>
    <row r="213" spans="1:9" ht="33.75" x14ac:dyDescent="0.25">
      <c r="B213" s="768">
        <v>45412</v>
      </c>
      <c r="C213" s="769" t="s">
        <v>997</v>
      </c>
      <c r="D213" s="857" t="s">
        <v>998</v>
      </c>
      <c r="E213" s="769" t="s">
        <v>258</v>
      </c>
      <c r="F213" s="770">
        <v>5206</v>
      </c>
      <c r="G213" s="770">
        <v>42.54</v>
      </c>
      <c r="H213" s="770">
        <v>221463</v>
      </c>
      <c r="I213" s="771">
        <v>0.23</v>
      </c>
    </row>
    <row r="214" spans="1:9" ht="22.5" x14ac:dyDescent="0.25">
      <c r="B214" s="768">
        <v>45412</v>
      </c>
      <c r="C214" s="769" t="s">
        <v>999</v>
      </c>
      <c r="D214" s="857" t="s">
        <v>1000</v>
      </c>
      <c r="E214" s="769" t="s">
        <v>258</v>
      </c>
      <c r="F214" s="770">
        <v>1403</v>
      </c>
      <c r="G214" s="770">
        <v>153.12</v>
      </c>
      <c r="H214" s="770">
        <v>214827</v>
      </c>
      <c r="I214" s="771">
        <v>0.22</v>
      </c>
    </row>
    <row r="215" spans="1:9" ht="22.5" x14ac:dyDescent="0.25">
      <c r="B215" s="768">
        <v>45412</v>
      </c>
      <c r="C215" s="769" t="s">
        <v>1001</v>
      </c>
      <c r="D215" s="857" t="s">
        <v>1002</v>
      </c>
      <c r="E215" s="769" t="s">
        <v>331</v>
      </c>
      <c r="F215" s="770">
        <v>3074</v>
      </c>
      <c r="G215" s="770">
        <v>68.78</v>
      </c>
      <c r="H215" s="770">
        <v>211430</v>
      </c>
      <c r="I215" s="771">
        <v>0.22</v>
      </c>
    </row>
    <row r="216" spans="1:9" ht="33.75" x14ac:dyDescent="0.25">
      <c r="B216" s="768">
        <v>45412</v>
      </c>
      <c r="C216" s="769" t="s">
        <v>1003</v>
      </c>
      <c r="D216" s="857" t="s">
        <v>1004</v>
      </c>
      <c r="E216" s="769" t="s">
        <v>258</v>
      </c>
      <c r="F216" s="770">
        <v>1918</v>
      </c>
      <c r="G216" s="770">
        <v>109.58</v>
      </c>
      <c r="H216" s="770">
        <v>210174</v>
      </c>
      <c r="I216" s="771">
        <v>0.22</v>
      </c>
    </row>
    <row r="217" spans="1:9" x14ac:dyDescent="0.25">
      <c r="B217" s="768">
        <v>45412</v>
      </c>
      <c r="C217" s="769" t="s">
        <v>1005</v>
      </c>
      <c r="D217" s="857" t="s">
        <v>1006</v>
      </c>
      <c r="E217" s="769" t="s">
        <v>258</v>
      </c>
      <c r="F217" s="770">
        <v>5776</v>
      </c>
      <c r="G217" s="770">
        <v>32.06</v>
      </c>
      <c r="H217" s="770">
        <v>185179</v>
      </c>
      <c r="I217" s="771">
        <v>0.19</v>
      </c>
    </row>
    <row r="218" spans="1:9" ht="22.5" x14ac:dyDescent="0.25">
      <c r="B218" s="768">
        <v>45412</v>
      </c>
      <c r="C218" s="769" t="s">
        <v>1007</v>
      </c>
      <c r="D218" s="857" t="s">
        <v>1008</v>
      </c>
      <c r="E218" s="769" t="s">
        <v>275</v>
      </c>
      <c r="F218" s="770">
        <v>3344</v>
      </c>
      <c r="G218" s="770">
        <v>52.32</v>
      </c>
      <c r="H218" s="770">
        <v>174958</v>
      </c>
      <c r="I218" s="771">
        <v>0.18</v>
      </c>
    </row>
    <row r="219" spans="1:9" x14ac:dyDescent="0.25">
      <c r="B219" s="768">
        <v>45412</v>
      </c>
      <c r="C219" s="769" t="s">
        <v>1009</v>
      </c>
      <c r="D219" s="769" t="s">
        <v>1010</v>
      </c>
      <c r="E219" s="769"/>
      <c r="F219" s="770">
        <v>0</v>
      </c>
      <c r="G219" s="770">
        <v>1</v>
      </c>
      <c r="H219" s="770">
        <v>0</v>
      </c>
      <c r="I219" s="771">
        <v>0</v>
      </c>
    </row>
    <row r="220" spans="1:9" ht="22.5" x14ac:dyDescent="0.25">
      <c r="B220" s="768">
        <v>45412</v>
      </c>
      <c r="C220" s="769" t="s">
        <v>1011</v>
      </c>
      <c r="D220" s="769" t="s">
        <v>898</v>
      </c>
      <c r="E220" s="769" t="s">
        <v>300</v>
      </c>
      <c r="F220" s="770">
        <v>0</v>
      </c>
      <c r="G220" s="770">
        <v>43.33</v>
      </c>
      <c r="H220" s="770">
        <v>0</v>
      </c>
      <c r="I220" s="771">
        <v>0</v>
      </c>
    </row>
    <row r="224" spans="1:9" x14ac:dyDescent="0.25">
      <c r="H224" s="858">
        <f>SUM(H112:H223)</f>
        <v>96534044</v>
      </c>
    </row>
  </sheetData>
  <sortState xmlns:xlrd2="http://schemas.microsoft.com/office/spreadsheetml/2017/richdata2" ref="A4:T103">
    <sortCondition descending="1" ref="O4:O103"/>
  </sortState>
  <mergeCells count="8">
    <mergeCell ref="M2:M3"/>
    <mergeCell ref="Q2:Q3"/>
    <mergeCell ref="O2:O3"/>
    <mergeCell ref="AC2:AC3"/>
    <mergeCell ref="B1:E1"/>
    <mergeCell ref="R2:R3"/>
    <mergeCell ref="S2:S3"/>
    <mergeCell ref="T2:T3"/>
  </mergeCells>
  <conditionalFormatting sqref="C4:C103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:L103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02:Q103 Q4:Q37 Q97:Q99 Q86:Q95 Q79:Q84 Q76:Q77 Q39:Q47 Q49:Q54 Q56:Q62 Q64:Q7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rgb="FF63BE7B"/>
        <color rgb="FFFCFCFF"/>
      </colorScale>
    </cfRule>
  </conditionalFormatting>
  <conditionalFormatting sqref="S4:S103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4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1CEF-104D-4018-8171-F4EAF9D00770}">
  <sheetPr codeName="Sheet6"/>
  <dimension ref="A1:R84"/>
  <sheetViews>
    <sheetView zoomScale="90" zoomScaleNormal="90" workbookViewId="0">
      <selection activeCell="P15" sqref="P15"/>
    </sheetView>
  </sheetViews>
  <sheetFormatPr defaultRowHeight="15" x14ac:dyDescent="0.25"/>
  <cols>
    <col min="1" max="1" width="22.140625" customWidth="1"/>
    <col min="2" max="2" width="22.5703125" customWidth="1"/>
    <col min="4" max="4" width="10.7109375" customWidth="1"/>
    <col min="6" max="6" width="16.85546875" bestFit="1" customWidth="1"/>
    <col min="7" max="7" width="11.5703125" bestFit="1" customWidth="1"/>
    <col min="8" max="8" width="9.5703125" customWidth="1"/>
    <col min="9" max="9" width="17.28515625" bestFit="1" customWidth="1"/>
    <col min="12" max="12" width="12.5703125" customWidth="1"/>
    <col min="13" max="13" width="15.7109375" customWidth="1"/>
    <col min="15" max="15" width="11.5703125" customWidth="1"/>
    <col min="16" max="16" width="13.85546875" customWidth="1"/>
    <col min="18" max="18" width="13.85546875" bestFit="1" customWidth="1"/>
  </cols>
  <sheetData>
    <row r="1" spans="1:18" ht="15.75" x14ac:dyDescent="0.25">
      <c r="A1" s="951">
        <v>2023</v>
      </c>
      <c r="L1" s="492" t="s">
        <v>388</v>
      </c>
      <c r="M1" s="537">
        <f>+M18+M70+M84</f>
        <v>2259241.8770000003</v>
      </c>
    </row>
    <row r="2" spans="1:18" x14ac:dyDescent="0.25">
      <c r="A2" s="951"/>
    </row>
    <row r="3" spans="1:18" x14ac:dyDescent="0.25">
      <c r="B3" s="168"/>
      <c r="C3" s="78"/>
      <c r="D3" s="78" t="s">
        <v>357</v>
      </c>
      <c r="E3" s="78"/>
      <c r="F3" s="78" t="s">
        <v>358</v>
      </c>
      <c r="G3" s="78"/>
      <c r="H3" s="168"/>
      <c r="I3" s="168"/>
    </row>
    <row r="4" spans="1:18" x14ac:dyDescent="0.25">
      <c r="B4" s="479"/>
      <c r="C4" s="83" t="s">
        <v>359</v>
      </c>
      <c r="D4" s="83" t="s">
        <v>360</v>
      </c>
      <c r="E4" s="83" t="s">
        <v>77</v>
      </c>
      <c r="F4" s="83" t="s">
        <v>360</v>
      </c>
      <c r="G4" s="83" t="s">
        <v>361</v>
      </c>
      <c r="H4" s="83" t="s">
        <v>369</v>
      </c>
      <c r="I4" s="83" t="s">
        <v>370</v>
      </c>
      <c r="J4" s="83" t="s">
        <v>371</v>
      </c>
      <c r="K4" s="83" t="s">
        <v>375</v>
      </c>
      <c r="L4" s="83" t="s">
        <v>372</v>
      </c>
      <c r="M4" s="83" t="s">
        <v>373</v>
      </c>
      <c r="N4" s="34"/>
      <c r="O4" s="514" t="s">
        <v>387</v>
      </c>
      <c r="P4" s="514" t="s">
        <v>386</v>
      </c>
    </row>
    <row r="5" spans="1:18" ht="15.75" x14ac:dyDescent="0.25">
      <c r="A5" s="480" t="s">
        <v>347</v>
      </c>
      <c r="B5" t="str">
        <f t="shared" ref="B5:B6" si="0">C5 &amp; " US EQUITY"</f>
        <v>AVGO US EQUITY</v>
      </c>
      <c r="C5" t="s">
        <v>223</v>
      </c>
      <c r="D5" s="553">
        <v>4000</v>
      </c>
      <c r="E5" s="9">
        <f>_xll.BDP(C5&amp;" EQUITY",$E$4)</f>
        <v>1579.97</v>
      </c>
      <c r="F5" s="99">
        <f t="shared" ref="F5:F6" si="1">D5*E5</f>
        <v>6319880</v>
      </c>
      <c r="G5" s="696">
        <v>45310</v>
      </c>
      <c r="H5">
        <v>1050</v>
      </c>
      <c r="I5" s="546">
        <f t="shared" ref="I5:I6" si="2">+(H5/E5)-1</f>
        <v>-0.33543041956492847</v>
      </c>
      <c r="J5" s="9">
        <v>15</v>
      </c>
      <c r="K5" s="9">
        <v>0.48</v>
      </c>
      <c r="L5" s="9">
        <v>120</v>
      </c>
      <c r="M5" s="5">
        <f>+(J5*D5)-L5-K5</f>
        <v>59879.519999999997</v>
      </c>
      <c r="O5">
        <v>957</v>
      </c>
      <c r="P5" s="8">
        <f t="shared" ref="P5:P6" si="3">+H5/O5-1</f>
        <v>9.7178683385579889E-2</v>
      </c>
      <c r="R5" s="10"/>
    </row>
    <row r="6" spans="1:18" ht="15.75" x14ac:dyDescent="0.25">
      <c r="A6" t="s">
        <v>362</v>
      </c>
      <c r="B6" t="str">
        <f t="shared" si="0"/>
        <v>CMCSA US EQUITY</v>
      </c>
      <c r="C6" t="s">
        <v>34</v>
      </c>
      <c r="D6" s="4">
        <v>185000</v>
      </c>
      <c r="E6" s="9">
        <f>_xll.BDP(C6&amp;" EQUITY",$E$4)</f>
        <v>38.143799999999999</v>
      </c>
      <c r="F6" s="99">
        <f t="shared" si="1"/>
        <v>7056603</v>
      </c>
      <c r="G6" s="473">
        <v>45338</v>
      </c>
      <c r="H6">
        <v>47.5</v>
      </c>
      <c r="I6" s="546">
        <f t="shared" si="2"/>
        <v>0.24528756967056253</v>
      </c>
      <c r="J6" s="9">
        <v>0.28999999999999998</v>
      </c>
      <c r="K6" s="9">
        <v>0.43</v>
      </c>
      <c r="L6" s="9">
        <v>1850</v>
      </c>
      <c r="M6" s="79">
        <f t="shared" ref="M6" si="4">+(J6*D6)-L6-K6</f>
        <v>51799.569999999992</v>
      </c>
      <c r="O6" s="9">
        <v>44.7</v>
      </c>
      <c r="P6" s="8">
        <f t="shared" si="3"/>
        <v>6.263982102908261E-2</v>
      </c>
      <c r="R6" s="10"/>
    </row>
    <row r="7" spans="1:18" ht="15.75" x14ac:dyDescent="0.25">
      <c r="D7" s="4"/>
      <c r="E7" s="9"/>
      <c r="F7" s="99"/>
      <c r="G7" s="473"/>
      <c r="I7" s="547"/>
    </row>
    <row r="8" spans="1:18" ht="15.75" x14ac:dyDescent="0.25">
      <c r="D8" s="4"/>
      <c r="I8" s="547"/>
      <c r="R8" s="10"/>
    </row>
    <row r="9" spans="1:18" ht="15.75" x14ac:dyDescent="0.25">
      <c r="A9" s="480" t="s">
        <v>198</v>
      </c>
      <c r="B9" t="str">
        <f t="shared" ref="B9:B10" si="5">C9 &amp; " US EQUITY"</f>
        <v>BKNG US EQUITY</v>
      </c>
      <c r="C9" t="s">
        <v>12</v>
      </c>
      <c r="D9" s="4">
        <v>2600</v>
      </c>
      <c r="E9" s="9">
        <f>_xll.BDP(C9&amp;" EQUITY",$E$4)</f>
        <v>4009.42</v>
      </c>
      <c r="F9" s="99">
        <f t="shared" ref="F9:F14" si="6">D9*E9</f>
        <v>10424492</v>
      </c>
      <c r="G9" s="473">
        <v>45310</v>
      </c>
      <c r="H9">
        <v>3350</v>
      </c>
      <c r="I9" s="546">
        <f t="shared" ref="I9:I10" si="7">+(H9/E9)-1</f>
        <v>-0.16446767861685729</v>
      </c>
      <c r="J9" s="9">
        <v>23.5</v>
      </c>
      <c r="K9" s="9">
        <v>0.49</v>
      </c>
      <c r="L9" s="9">
        <v>78</v>
      </c>
      <c r="M9" s="5">
        <f t="shared" ref="M9:M10" si="8">+(J9*D9)-L9-K9</f>
        <v>61021.51</v>
      </c>
      <c r="O9">
        <v>2815.51</v>
      </c>
      <c r="P9" s="8">
        <f t="shared" ref="P9:P14" si="9">+H9/O9-1</f>
        <v>0.18983772034196278</v>
      </c>
    </row>
    <row r="10" spans="1:18" ht="15.75" x14ac:dyDescent="0.25">
      <c r="A10" s="168"/>
      <c r="B10" t="str">
        <f t="shared" si="5"/>
        <v>CRM US EQUITY</v>
      </c>
      <c r="C10" t="s">
        <v>33</v>
      </c>
      <c r="D10" s="553">
        <v>50000</v>
      </c>
      <c r="E10" s="9">
        <f>_xll.BDP(C10&amp;" EQUITY",$E$4)</f>
        <v>242.08</v>
      </c>
      <c r="F10" s="99">
        <f t="shared" si="6"/>
        <v>12104000</v>
      </c>
      <c r="G10" s="473">
        <v>45310</v>
      </c>
      <c r="H10">
        <v>240</v>
      </c>
      <c r="I10" s="546">
        <f t="shared" si="7"/>
        <v>-8.5922009253139864E-3</v>
      </c>
      <c r="J10" s="9">
        <v>1.77</v>
      </c>
      <c r="K10" s="9">
        <v>0.71</v>
      </c>
      <c r="L10" s="9">
        <v>1500</v>
      </c>
      <c r="M10" s="5">
        <f t="shared" si="8"/>
        <v>86999.29</v>
      </c>
      <c r="O10">
        <v>200.83</v>
      </c>
      <c r="P10" s="8">
        <f t="shared" si="9"/>
        <v>0.19504058158641624</v>
      </c>
    </row>
    <row r="11" spans="1:18" ht="15.75" x14ac:dyDescent="0.25">
      <c r="B11" t="str">
        <f>C11 &amp; " US EQUITY"</f>
        <v>AMT US EQUITY</v>
      </c>
      <c r="C11" t="s">
        <v>40</v>
      </c>
      <c r="D11" s="4">
        <v>60600</v>
      </c>
      <c r="E11" s="9">
        <f>_xll.BDP(C11&amp;" EQUITY",$E$4)</f>
        <v>193.8</v>
      </c>
      <c r="F11" s="99">
        <f t="shared" si="6"/>
        <v>11744280</v>
      </c>
      <c r="G11" s="495">
        <v>45310</v>
      </c>
      <c r="H11">
        <v>210</v>
      </c>
      <c r="I11" s="546">
        <f>+(H11/E11)-1</f>
        <v>8.35913312693497E-2</v>
      </c>
      <c r="J11" s="9">
        <v>1.1000000000000001</v>
      </c>
      <c r="K11" s="9">
        <v>0.53</v>
      </c>
      <c r="L11" s="9">
        <v>1818</v>
      </c>
      <c r="M11" s="5">
        <f>+(J11*D11)-L11-K11</f>
        <v>64841.47</v>
      </c>
      <c r="O11">
        <v>185.54</v>
      </c>
      <c r="P11" s="8">
        <f t="shared" si="9"/>
        <v>0.13183141101649243</v>
      </c>
    </row>
    <row r="12" spans="1:18" ht="15.75" x14ac:dyDescent="0.25">
      <c r="B12" t="str">
        <f t="shared" ref="B12" si="10">C12 &amp; " US EQUITY"</f>
        <v>PLNT US EQUITY</v>
      </c>
      <c r="C12" t="s">
        <v>3</v>
      </c>
      <c r="D12" s="4">
        <v>85000</v>
      </c>
      <c r="E12" s="9">
        <f>_xll.BDP(C12&amp;" EQUITY",$E$4)</f>
        <v>73.22</v>
      </c>
      <c r="F12" s="99">
        <f t="shared" si="6"/>
        <v>6223700</v>
      </c>
      <c r="G12" s="696">
        <v>45338</v>
      </c>
      <c r="H12">
        <v>80</v>
      </c>
      <c r="I12" s="546">
        <f t="shared" ref="I12" si="11">+(H12/E12)-1</f>
        <v>9.2597650915050567E-2</v>
      </c>
      <c r="J12" s="9">
        <v>0.63</v>
      </c>
      <c r="K12" s="9">
        <v>0.43</v>
      </c>
      <c r="L12" s="9">
        <v>1700</v>
      </c>
      <c r="M12" s="5">
        <f t="shared" ref="M12" si="12">+(J12*D12)-L12-K12</f>
        <v>51849.57</v>
      </c>
      <c r="O12" s="9">
        <v>71.11</v>
      </c>
      <c r="P12" s="8">
        <f t="shared" si="9"/>
        <v>0.12501757839966254</v>
      </c>
    </row>
    <row r="13" spans="1:18" ht="15.75" x14ac:dyDescent="0.25">
      <c r="B13" t="str">
        <f>C13 &amp; " US EQUITY"</f>
        <v>ULTA US EQUITY</v>
      </c>
      <c r="C13" t="s">
        <v>4</v>
      </c>
      <c r="D13" s="4">
        <v>20000</v>
      </c>
      <c r="E13" s="9">
        <f>_xll.BDP(C13&amp;" EQUITY",$E$4)</f>
        <v>387.98</v>
      </c>
      <c r="F13" s="99">
        <f t="shared" si="6"/>
        <v>7759600</v>
      </c>
      <c r="G13" s="473">
        <v>45000</v>
      </c>
      <c r="H13">
        <v>595</v>
      </c>
      <c r="I13" s="546">
        <f>+(H13/E13)-1</f>
        <v>0.53358420537141082</v>
      </c>
      <c r="J13" s="9">
        <v>4</v>
      </c>
      <c r="K13" s="9">
        <v>0.64</v>
      </c>
      <c r="L13" s="9">
        <v>600</v>
      </c>
      <c r="M13" s="79">
        <f>+(J13*D13)-L13-K13</f>
        <v>79399.360000000001</v>
      </c>
      <c r="O13">
        <v>495</v>
      </c>
      <c r="P13" s="8">
        <f t="shared" si="9"/>
        <v>0.20202020202020199</v>
      </c>
    </row>
    <row r="14" spans="1:18" ht="15.75" x14ac:dyDescent="0.25">
      <c r="B14" t="str">
        <f t="shared" ref="B14" si="13">C14 &amp; " US EQUITY"</f>
        <v>XLE US EQUITY</v>
      </c>
      <c r="C14" t="s">
        <v>112</v>
      </c>
      <c r="D14" s="4">
        <v>180000</v>
      </c>
      <c r="E14" s="9">
        <f>_xll.BDP(C14&amp;" EQUITY",$E$4)</f>
        <v>91.084999999999994</v>
      </c>
      <c r="F14" s="99">
        <f t="shared" si="6"/>
        <v>16395299.999999998</v>
      </c>
      <c r="G14" s="473">
        <v>45366</v>
      </c>
      <c r="H14">
        <v>97</v>
      </c>
      <c r="I14" s="546">
        <f t="shared" ref="I14" si="14">+(H14/E14)-1</f>
        <v>6.4939342372509312E-2</v>
      </c>
      <c r="J14" s="9">
        <v>0.49</v>
      </c>
      <c r="K14" s="9">
        <v>0.71</v>
      </c>
      <c r="L14" s="9">
        <v>1800</v>
      </c>
      <c r="M14" s="79">
        <f t="shared" ref="M14" si="15">+(J14*D14)-L14-K14</f>
        <v>86399.29</v>
      </c>
      <c r="O14" s="9">
        <v>85.19</v>
      </c>
      <c r="P14" s="8">
        <f t="shared" si="9"/>
        <v>0.13863129475290537</v>
      </c>
    </row>
    <row r="15" spans="1:18" x14ac:dyDescent="0.25">
      <c r="D15" s="4"/>
      <c r="E15" s="9"/>
      <c r="F15" s="99"/>
      <c r="G15" s="473"/>
      <c r="I15" s="535"/>
      <c r="J15" s="9"/>
      <c r="K15" s="9"/>
      <c r="L15" s="9"/>
      <c r="M15" s="79"/>
      <c r="O15" s="9"/>
      <c r="P15" s="8"/>
    </row>
    <row r="18" spans="1:15" ht="15.75" x14ac:dyDescent="0.25">
      <c r="E18" s="475" t="s">
        <v>364</v>
      </c>
      <c r="F18" s="476">
        <f>SUM(F5:F17)</f>
        <v>78027855</v>
      </c>
      <c r="M18" s="16">
        <f>SUM(M5:M17)</f>
        <v>542189.57999999996</v>
      </c>
    </row>
    <row r="19" spans="1:15" ht="15.75" x14ac:dyDescent="0.25">
      <c r="E19" s="477"/>
      <c r="F19" s="478">
        <f>F18/F24</f>
        <v>7.788029131025187E-2</v>
      </c>
    </row>
    <row r="21" spans="1:15" x14ac:dyDescent="0.25">
      <c r="F21" s="10">
        <f>+'Dvd Holdings'!O46</f>
        <v>288990127.60000002</v>
      </c>
      <c r="G21" t="s">
        <v>134</v>
      </c>
      <c r="I21" s="60" cm="1">
        <f t="array" ref="I21">_xll.BDP(".DIVIDEND Index", "IN089")</f>
        <v>291810333</v>
      </c>
    </row>
    <row r="22" spans="1:15" x14ac:dyDescent="0.25">
      <c r="F22" s="60">
        <f>+'Core Holdings'!M67</f>
        <v>622904622.5</v>
      </c>
      <c r="G22" t="s">
        <v>363</v>
      </c>
    </row>
    <row r="23" spans="1:15" x14ac:dyDescent="0.25">
      <c r="F23" s="474">
        <v>90000000</v>
      </c>
      <c r="G23" t="s">
        <v>366</v>
      </c>
      <c r="K23" t="s">
        <v>365</v>
      </c>
    </row>
    <row r="24" spans="1:15" x14ac:dyDescent="0.25">
      <c r="F24" s="10">
        <f>SUM(F21:F23)</f>
        <v>1001894750.1</v>
      </c>
      <c r="G24" t="s">
        <v>364</v>
      </c>
    </row>
    <row r="26" spans="1:15" x14ac:dyDescent="0.25">
      <c r="F26" s="118">
        <v>0.1</v>
      </c>
      <c r="G26" t="s">
        <v>367</v>
      </c>
    </row>
    <row r="27" spans="1:15" x14ac:dyDescent="0.25">
      <c r="F27" s="10">
        <f>F24*F26</f>
        <v>100189475.01000001</v>
      </c>
    </row>
    <row r="29" spans="1:15" x14ac:dyDescent="0.25">
      <c r="F29" s="10">
        <f>F27-F18</f>
        <v>22161620.010000005</v>
      </c>
      <c r="G29" t="s">
        <v>368</v>
      </c>
    </row>
    <row r="30" spans="1:15" x14ac:dyDescent="0.25">
      <c r="F30" s="10"/>
    </row>
    <row r="31" spans="1:15" x14ac:dyDescent="0.25">
      <c r="C31" s="78"/>
      <c r="D31" s="78" t="s">
        <v>357</v>
      </c>
      <c r="E31" s="78"/>
      <c r="F31" s="78" t="s">
        <v>358</v>
      </c>
      <c r="G31" s="78"/>
      <c r="H31" s="168"/>
      <c r="I31" s="168"/>
    </row>
    <row r="32" spans="1:15" x14ac:dyDescent="0.25">
      <c r="A32" s="34"/>
      <c r="B32" s="34"/>
      <c r="C32" s="83" t="s">
        <v>359</v>
      </c>
      <c r="D32" s="83" t="s">
        <v>360</v>
      </c>
      <c r="E32" s="83" t="s">
        <v>77</v>
      </c>
      <c r="F32" s="83" t="s">
        <v>360</v>
      </c>
      <c r="G32" s="83" t="s">
        <v>361</v>
      </c>
      <c r="H32" s="83" t="s">
        <v>369</v>
      </c>
      <c r="I32" s="83" t="s">
        <v>370</v>
      </c>
      <c r="J32" s="83" t="s">
        <v>371</v>
      </c>
      <c r="K32" s="83" t="s">
        <v>375</v>
      </c>
      <c r="L32" s="83" t="s">
        <v>372</v>
      </c>
      <c r="M32" s="83" t="s">
        <v>373</v>
      </c>
      <c r="O32" s="442" t="s">
        <v>385</v>
      </c>
    </row>
    <row r="33" spans="1:16" ht="15.75" x14ac:dyDescent="0.25">
      <c r="A33" s="512" t="s">
        <v>384</v>
      </c>
      <c r="B33" t="str">
        <f t="shared" ref="B33:B41" si="16">C33 &amp; " US EQUITY"</f>
        <v>CMCSA US EQUITY</v>
      </c>
      <c r="C33" t="s">
        <v>34</v>
      </c>
      <c r="D33" s="4">
        <v>185000</v>
      </c>
      <c r="E33" s="9">
        <f>_xll.BDP(C33&amp;" EQUITY",$E$4)</f>
        <v>38.143799999999999</v>
      </c>
      <c r="F33" s="99">
        <f t="shared" ref="F33:F38" si="17">D33*E33</f>
        <v>7056603</v>
      </c>
      <c r="G33" s="473">
        <v>45156</v>
      </c>
      <c r="H33" s="510">
        <v>47.5</v>
      </c>
      <c r="I33" s="509">
        <f t="shared" ref="I33:I41" si="18">+(H33/E33)-1</f>
        <v>0.24528756967056253</v>
      </c>
      <c r="J33" s="511">
        <v>0.3</v>
      </c>
      <c r="K33" s="9">
        <v>0</v>
      </c>
      <c r="L33" s="9">
        <v>1850</v>
      </c>
      <c r="M33" s="5">
        <f t="shared" ref="M33:M41" si="19">+(J33*D33)-L33-K33</f>
        <v>53650</v>
      </c>
      <c r="O33">
        <v>42.15</v>
      </c>
      <c r="P33" s="8">
        <f t="shared" ref="P33:P41" si="20">+H33/O33-1</f>
        <v>0.12692763938315554</v>
      </c>
    </row>
    <row r="34" spans="1:16" ht="15.75" x14ac:dyDescent="0.25">
      <c r="A34" s="168"/>
      <c r="B34" t="str">
        <f t="shared" si="16"/>
        <v>CMCSA US EQUITY</v>
      </c>
      <c r="C34" t="s">
        <v>34</v>
      </c>
      <c r="D34" s="4">
        <v>185000</v>
      </c>
      <c r="E34" s="9">
        <f>_xll.BDP(C34&amp;" EQUITY",$E$4)</f>
        <v>38.143799999999999</v>
      </c>
      <c r="F34" s="99">
        <f t="shared" ref="F34" si="21">D34*E34</f>
        <v>7056603</v>
      </c>
      <c r="G34" s="473">
        <v>45219</v>
      </c>
      <c r="H34" s="510">
        <v>50</v>
      </c>
      <c r="I34" s="509">
        <f t="shared" si="18"/>
        <v>0.31082902070585527</v>
      </c>
      <c r="J34" s="511">
        <v>0.32</v>
      </c>
      <c r="K34" s="9">
        <v>0</v>
      </c>
      <c r="L34" s="9">
        <v>1850</v>
      </c>
      <c r="M34" s="5">
        <f t="shared" si="19"/>
        <v>57350</v>
      </c>
      <c r="O34">
        <v>42.15</v>
      </c>
      <c r="P34" s="8">
        <f t="shared" si="20"/>
        <v>0.18623962040332143</v>
      </c>
    </row>
    <row r="35" spans="1:16" ht="15.75" x14ac:dyDescent="0.25">
      <c r="B35" t="str">
        <f t="shared" si="16"/>
        <v>XLE US EQUITY</v>
      </c>
      <c r="C35" t="s">
        <v>112</v>
      </c>
      <c r="D35" s="4">
        <v>180000</v>
      </c>
      <c r="E35" s="9">
        <f>_xll.BDP(C35&amp;" EQUITY",$E$4)</f>
        <v>91.084999999999994</v>
      </c>
      <c r="F35" s="99">
        <f t="shared" si="17"/>
        <v>16395299.999999998</v>
      </c>
      <c r="G35" s="473">
        <v>45184</v>
      </c>
      <c r="H35" s="510">
        <v>105</v>
      </c>
      <c r="I35" s="509">
        <f t="shared" si="18"/>
        <v>0.15276939122797395</v>
      </c>
      <c r="J35" s="511">
        <v>0.56000000000000005</v>
      </c>
      <c r="K35" s="9">
        <v>0</v>
      </c>
      <c r="L35" s="9">
        <v>3600</v>
      </c>
      <c r="M35" s="5">
        <f t="shared" si="19"/>
        <v>97200.000000000015</v>
      </c>
      <c r="O35">
        <v>92.94</v>
      </c>
      <c r="P35" s="8">
        <f t="shared" si="20"/>
        <v>0.12976113621691421</v>
      </c>
    </row>
    <row r="36" spans="1:16" ht="15.75" x14ac:dyDescent="0.25">
      <c r="B36" t="str">
        <f t="shared" ref="B36:B37" si="22">C36 &amp; " US EQUITY"</f>
        <v>XLE US EQUITY</v>
      </c>
      <c r="C36" t="s">
        <v>112</v>
      </c>
      <c r="D36" s="4">
        <v>180000</v>
      </c>
      <c r="E36" s="9">
        <f>_xll.BDP(C36&amp;" EQUITY",$E$4)</f>
        <v>91.084999999999994</v>
      </c>
      <c r="F36" s="99">
        <f t="shared" ref="F36:F37" si="23">D36*E36</f>
        <v>16395299.999999998</v>
      </c>
      <c r="G36" s="473">
        <v>45184</v>
      </c>
      <c r="H36" s="510">
        <v>106</v>
      </c>
      <c r="I36" s="509">
        <f t="shared" ref="I36:I37" si="24">+(H36/E36)-1</f>
        <v>0.16374814733490695</v>
      </c>
      <c r="J36" s="511">
        <v>0.46</v>
      </c>
      <c r="K36" s="9">
        <v>0</v>
      </c>
      <c r="L36" s="9">
        <v>3600</v>
      </c>
      <c r="M36" s="5">
        <f t="shared" ref="M36:M37" si="25">+(J36*D36)-L36-K36</f>
        <v>79200</v>
      </c>
      <c r="O36">
        <v>92.94</v>
      </c>
      <c r="P36" s="8">
        <f t="shared" ref="P36:P37" si="26">+H36/O36-1</f>
        <v>0.14052076608564668</v>
      </c>
    </row>
    <row r="37" spans="1:16" ht="15.75" x14ac:dyDescent="0.25">
      <c r="B37" t="str">
        <f t="shared" si="22"/>
        <v>BKNG US EQUITY</v>
      </c>
      <c r="C37" t="s">
        <v>12</v>
      </c>
      <c r="D37" s="4">
        <v>2600</v>
      </c>
      <c r="E37" s="9">
        <f>_xll.BDP(C37&amp;" EQUITY",$E$4)</f>
        <v>4009.42</v>
      </c>
      <c r="F37" s="99">
        <f t="shared" si="23"/>
        <v>10424492</v>
      </c>
      <c r="G37" s="473">
        <v>45184</v>
      </c>
      <c r="H37" s="510">
        <v>3000</v>
      </c>
      <c r="I37" s="509">
        <f t="shared" si="24"/>
        <v>-0.25176210025390211</v>
      </c>
      <c r="J37" s="511">
        <v>32</v>
      </c>
      <c r="K37" s="9">
        <v>0</v>
      </c>
      <c r="L37" s="9">
        <v>3600</v>
      </c>
      <c r="M37" s="5">
        <f t="shared" si="25"/>
        <v>79600</v>
      </c>
      <c r="O37">
        <v>2843</v>
      </c>
      <c r="P37" s="8">
        <f t="shared" si="26"/>
        <v>5.5223355610270808E-2</v>
      </c>
    </row>
    <row r="38" spans="1:16" ht="15.75" x14ac:dyDescent="0.25">
      <c r="B38" t="str">
        <f t="shared" si="16"/>
        <v>BKNG US EQUITY</v>
      </c>
      <c r="C38" t="s">
        <v>12</v>
      </c>
      <c r="D38" s="4">
        <v>2600</v>
      </c>
      <c r="E38" s="9">
        <f>_xll.BDP(C38&amp;" EQUITY",$E$4)</f>
        <v>4009.42</v>
      </c>
      <c r="F38" s="99">
        <f t="shared" si="17"/>
        <v>10424492</v>
      </c>
      <c r="G38" s="473">
        <v>45184</v>
      </c>
      <c r="H38" s="510">
        <v>3350</v>
      </c>
      <c r="I38" s="509">
        <f t="shared" si="18"/>
        <v>-0.16446767861685729</v>
      </c>
      <c r="J38" s="511">
        <v>26</v>
      </c>
      <c r="K38" s="9">
        <v>0</v>
      </c>
      <c r="L38" s="9">
        <v>780</v>
      </c>
      <c r="M38" s="5">
        <f t="shared" si="19"/>
        <v>66820</v>
      </c>
      <c r="O38">
        <v>2843</v>
      </c>
      <c r="P38" s="8">
        <f t="shared" si="20"/>
        <v>0.17833274709813574</v>
      </c>
    </row>
    <row r="39" spans="1:16" ht="15.75" x14ac:dyDescent="0.25">
      <c r="B39" t="str">
        <f t="shared" si="16"/>
        <v>BKNG US EQUITY</v>
      </c>
      <c r="C39" t="s">
        <v>12</v>
      </c>
      <c r="D39" s="4">
        <v>2600</v>
      </c>
      <c r="E39" s="9">
        <f>_xll.BDP(C39&amp;" EQUITY",$E$4)</f>
        <v>4009.42</v>
      </c>
      <c r="F39" s="99">
        <f t="shared" ref="F39:F41" si="27">D39*E39</f>
        <v>10424492</v>
      </c>
      <c r="G39" s="473">
        <v>45219</v>
      </c>
      <c r="H39" s="510">
        <v>3400</v>
      </c>
      <c r="I39" s="509">
        <f t="shared" si="18"/>
        <v>-0.1519970469544224</v>
      </c>
      <c r="J39" s="511">
        <v>21</v>
      </c>
      <c r="K39" s="9">
        <v>0</v>
      </c>
      <c r="L39" s="9">
        <v>780</v>
      </c>
      <c r="M39" s="5">
        <f t="shared" si="19"/>
        <v>53820</v>
      </c>
      <c r="O39">
        <v>2843</v>
      </c>
      <c r="P39" s="8">
        <f t="shared" si="20"/>
        <v>0.19591980302497358</v>
      </c>
    </row>
    <row r="40" spans="1:16" ht="15.75" x14ac:dyDescent="0.25">
      <c r="B40" t="str">
        <f t="shared" si="16"/>
        <v>ULTA US EQUITY</v>
      </c>
      <c r="C40" t="s">
        <v>4</v>
      </c>
      <c r="D40" s="4">
        <v>20000</v>
      </c>
      <c r="E40" s="9">
        <f>_xll.BDP(C40&amp;" EQUITY",$E$4)</f>
        <v>387.98</v>
      </c>
      <c r="F40" s="99">
        <f t="shared" si="27"/>
        <v>7759600</v>
      </c>
      <c r="G40" s="473">
        <v>45184</v>
      </c>
      <c r="H40" s="510">
        <v>560</v>
      </c>
      <c r="I40" s="509">
        <f>+(H40/E40)-1</f>
        <v>0.4433733697613278</v>
      </c>
      <c r="J40" s="511">
        <v>1.8</v>
      </c>
      <c r="K40" s="9">
        <v>0</v>
      </c>
      <c r="L40" s="9">
        <v>780</v>
      </c>
      <c r="M40" s="5">
        <f t="shared" si="19"/>
        <v>35220</v>
      </c>
      <c r="O40">
        <v>475</v>
      </c>
      <c r="P40" s="8">
        <f t="shared" si="20"/>
        <v>0.17894736842105252</v>
      </c>
    </row>
    <row r="41" spans="1:16" ht="15.75" x14ac:dyDescent="0.25">
      <c r="B41" t="str">
        <f t="shared" si="16"/>
        <v>XBI US EQUITY</v>
      </c>
      <c r="C41" t="s">
        <v>51</v>
      </c>
      <c r="D41" s="4">
        <v>195000</v>
      </c>
      <c r="E41" s="9">
        <f>_xll.BDP(C41&amp;" EQUITY",$E$4)</f>
        <v>93.91</v>
      </c>
      <c r="F41" s="99">
        <f t="shared" si="27"/>
        <v>18312450</v>
      </c>
      <c r="G41" s="473">
        <v>45219</v>
      </c>
      <c r="H41" s="510">
        <v>103</v>
      </c>
      <c r="I41" s="509">
        <f t="shared" si="18"/>
        <v>9.67948035352999E-2</v>
      </c>
      <c r="J41" s="511">
        <v>0.38</v>
      </c>
      <c r="K41" s="9">
        <v>0</v>
      </c>
      <c r="L41" s="9">
        <v>780</v>
      </c>
      <c r="M41" s="5">
        <f t="shared" si="19"/>
        <v>73320</v>
      </c>
      <c r="O41">
        <v>86.49</v>
      </c>
      <c r="P41" s="8">
        <f t="shared" si="20"/>
        <v>0.19088912012949488</v>
      </c>
    </row>
    <row r="42" spans="1:16" x14ac:dyDescent="0.25">
      <c r="D42" s="4"/>
      <c r="F42" s="99"/>
      <c r="G42" s="473"/>
    </row>
    <row r="45" spans="1:16" x14ac:dyDescent="0.25">
      <c r="D45" s="4"/>
      <c r="E45" s="9"/>
      <c r="F45" s="99"/>
      <c r="G45" s="473"/>
    </row>
    <row r="46" spans="1:16" x14ac:dyDescent="0.25">
      <c r="C46" s="78"/>
      <c r="D46" s="78" t="s">
        <v>357</v>
      </c>
      <c r="E46" s="78"/>
      <c r="F46" s="78" t="s">
        <v>358</v>
      </c>
      <c r="G46" s="78"/>
      <c r="H46" s="168"/>
      <c r="I46" s="168"/>
    </row>
    <row r="47" spans="1:16" x14ac:dyDescent="0.25">
      <c r="A47" s="34"/>
      <c r="B47" s="34"/>
      <c r="C47" s="83" t="s">
        <v>359</v>
      </c>
      <c r="D47" s="83" t="s">
        <v>360</v>
      </c>
      <c r="E47" s="83" t="s">
        <v>77</v>
      </c>
      <c r="F47" s="83" t="s">
        <v>360</v>
      </c>
      <c r="G47" s="83" t="s">
        <v>361</v>
      </c>
      <c r="H47" s="83" t="s">
        <v>369</v>
      </c>
      <c r="I47" s="83" t="s">
        <v>370</v>
      </c>
      <c r="J47" s="83" t="s">
        <v>371</v>
      </c>
      <c r="K47" s="83" t="s">
        <v>375</v>
      </c>
      <c r="L47" s="83" t="s">
        <v>372</v>
      </c>
      <c r="M47" s="83" t="s">
        <v>373</v>
      </c>
      <c r="O47" s="442" t="s">
        <v>385</v>
      </c>
    </row>
    <row r="48" spans="1:16" x14ac:dyDescent="0.25">
      <c r="A48" s="481" t="s">
        <v>374</v>
      </c>
      <c r="B48" t="str">
        <f t="shared" ref="B48:B50" si="28">C48 &amp; " US EQUITY"</f>
        <v>CMCSA US EQUITY</v>
      </c>
      <c r="C48" t="s">
        <v>34</v>
      </c>
      <c r="D48" s="4">
        <v>185000</v>
      </c>
      <c r="E48" s="9">
        <f>_xll.BDP(C48&amp;" EQUITY",$E$4)</f>
        <v>38.143799999999999</v>
      </c>
      <c r="F48" s="99">
        <f t="shared" ref="F48:F50" si="29">D48*E48</f>
        <v>7056603</v>
      </c>
      <c r="G48" s="473">
        <v>44974</v>
      </c>
      <c r="H48">
        <v>42.5</v>
      </c>
      <c r="I48" s="533">
        <f>+(H48/E48)-1</f>
        <v>0.11420466759997705</v>
      </c>
      <c r="J48" s="9">
        <v>0.28999999999999998</v>
      </c>
      <c r="K48" s="9">
        <v>1.23</v>
      </c>
      <c r="L48" s="9">
        <v>1850</v>
      </c>
      <c r="M48" s="5">
        <f>+(J48*D48)-L48-K48</f>
        <v>51798.76999999999</v>
      </c>
    </row>
    <row r="49" spans="2:16" x14ac:dyDescent="0.25">
      <c r="B49" t="str">
        <f t="shared" si="28"/>
        <v>PYPL US EQUITY</v>
      </c>
      <c r="C49" t="s">
        <v>29</v>
      </c>
      <c r="D49" s="4">
        <v>81000</v>
      </c>
      <c r="E49" s="9">
        <f>_xll.BDP(C49&amp;" EQUITY",$E$4)</f>
        <v>59.17</v>
      </c>
      <c r="F49" s="99">
        <f t="shared" si="29"/>
        <v>4792770</v>
      </c>
      <c r="G49" s="473">
        <v>45002</v>
      </c>
      <c r="H49">
        <v>100</v>
      </c>
      <c r="I49" s="533">
        <f>+(H49/E49)-1</f>
        <v>0.69004563123204332</v>
      </c>
      <c r="J49" s="9">
        <v>1</v>
      </c>
      <c r="K49" s="9">
        <v>1.85</v>
      </c>
      <c r="L49" s="9">
        <v>2430</v>
      </c>
      <c r="M49" s="5">
        <f>+(J49*D49)-L49-K49</f>
        <v>78568.149999999994</v>
      </c>
    </row>
    <row r="50" spans="2:16" x14ac:dyDescent="0.25">
      <c r="B50" t="str">
        <f t="shared" si="28"/>
        <v>CRM US EQUITY</v>
      </c>
      <c r="C50" t="s">
        <v>33</v>
      </c>
      <c r="D50" s="4">
        <v>50000</v>
      </c>
      <c r="E50" s="9">
        <f>_xll.BDP(C50&amp;" EQUITY",$E$4)</f>
        <v>242.08</v>
      </c>
      <c r="F50" s="99">
        <f t="shared" si="29"/>
        <v>12104000</v>
      </c>
      <c r="G50" s="473">
        <v>45037</v>
      </c>
      <c r="H50">
        <v>200</v>
      </c>
      <c r="I50" s="534">
        <f t="shared" ref="I50" si="30">+(H50/E50)-1</f>
        <v>-0.17382683410442834</v>
      </c>
      <c r="J50" s="9">
        <v>2.23</v>
      </c>
      <c r="K50" s="9">
        <v>2.5499999999999998</v>
      </c>
      <c r="L50" s="9">
        <v>1500</v>
      </c>
      <c r="M50" s="5">
        <f t="shared" ref="M50" si="31">+(J50*D50)-L50-K50</f>
        <v>109997.45</v>
      </c>
    </row>
    <row r="51" spans="2:16" x14ac:dyDescent="0.25">
      <c r="B51" t="str">
        <f>C51 &amp; " US EQUITY"</f>
        <v>PYPL US EQUITY</v>
      </c>
      <c r="C51" t="s">
        <v>29</v>
      </c>
      <c r="D51" s="4">
        <v>81000</v>
      </c>
      <c r="E51" s="9">
        <f>_xll.BDP(C51&amp;" EQUITY",$E$4)</f>
        <v>59.17</v>
      </c>
      <c r="F51" s="99">
        <f>D51*E51</f>
        <v>4792770</v>
      </c>
      <c r="G51" s="473">
        <v>45065</v>
      </c>
      <c r="H51">
        <v>90</v>
      </c>
      <c r="I51" s="534">
        <f>+(H51/E51)-1</f>
        <v>0.52104106810883888</v>
      </c>
      <c r="J51" s="9">
        <v>0.63</v>
      </c>
      <c r="K51" s="9">
        <v>0.41</v>
      </c>
      <c r="L51" s="9">
        <v>1620</v>
      </c>
      <c r="M51" s="5">
        <f>+(J51*D51)-L51-K51</f>
        <v>49409.59</v>
      </c>
    </row>
    <row r="52" spans="2:16" x14ac:dyDescent="0.25">
      <c r="B52" t="str">
        <f>C52 &amp; " US EQUITY"</f>
        <v>CMCSA US EQUITY</v>
      </c>
      <c r="C52" t="s">
        <v>34</v>
      </c>
      <c r="D52" s="4">
        <v>185000</v>
      </c>
      <c r="E52" s="9">
        <f>_xll.BDP(C52&amp;" EQUITY",$E$4)</f>
        <v>38.143799999999999</v>
      </c>
      <c r="F52" s="99">
        <f t="shared" ref="F52:F56" si="32">D52*E52</f>
        <v>7056603</v>
      </c>
      <c r="G52" s="473">
        <v>45093</v>
      </c>
      <c r="H52">
        <v>42.5</v>
      </c>
      <c r="I52" s="535">
        <f>+(H52/E52)-1</f>
        <v>0.11420466759997705</v>
      </c>
      <c r="J52" s="9">
        <v>0.48</v>
      </c>
      <c r="K52" s="9">
        <v>0.71</v>
      </c>
      <c r="L52" s="9">
        <v>1850</v>
      </c>
      <c r="M52" s="5">
        <f>+(J52*D52)-L52-K52</f>
        <v>86949.29</v>
      </c>
    </row>
    <row r="53" spans="2:16" x14ac:dyDescent="0.25">
      <c r="B53" t="str">
        <f>C53 &amp; " US EQUITY"</f>
        <v>XLE US EQUITY</v>
      </c>
      <c r="C53" t="s">
        <v>112</v>
      </c>
      <c r="D53" s="4">
        <v>180000</v>
      </c>
      <c r="E53" s="9">
        <f>_xll.BDP(C53&amp;" EQUITY",$E$4)</f>
        <v>91.084999999999994</v>
      </c>
      <c r="F53" s="99">
        <f t="shared" si="32"/>
        <v>16395299.999999998</v>
      </c>
      <c r="G53" s="473">
        <v>45093</v>
      </c>
      <c r="H53">
        <v>100</v>
      </c>
      <c r="I53" s="535">
        <f>+(H53/E53)-1</f>
        <v>9.7875610693308523E-2</v>
      </c>
      <c r="J53" s="9">
        <v>0.57999999999999996</v>
      </c>
      <c r="K53" s="9">
        <v>0.84</v>
      </c>
      <c r="L53" s="9">
        <v>3600</v>
      </c>
      <c r="M53" s="5">
        <f>+(J53*D53)-L53-K53</f>
        <v>100799.16</v>
      </c>
      <c r="O53">
        <v>86.5</v>
      </c>
      <c r="P53" s="8">
        <f t="shared" ref="P53" si="33">+H53/O53-1</f>
        <v>0.1560693641618498</v>
      </c>
    </row>
    <row r="54" spans="2:16" x14ac:dyDescent="0.25">
      <c r="B54" t="str">
        <f>C54 &amp; " US EQUITY"</f>
        <v>ELV US EQUITY</v>
      </c>
      <c r="C54" t="s">
        <v>110</v>
      </c>
      <c r="D54" s="4">
        <v>26000</v>
      </c>
      <c r="E54" s="9">
        <f>_xll.BDP(C54&amp;" EQUITY",$E$4)</f>
        <v>534</v>
      </c>
      <c r="F54" s="99">
        <f t="shared" si="32"/>
        <v>13884000</v>
      </c>
      <c r="G54" s="473">
        <v>45093</v>
      </c>
      <c r="H54">
        <v>520</v>
      </c>
      <c r="I54" s="535">
        <f>+(H54/E54)-1</f>
        <v>-2.6217228464419429E-2</v>
      </c>
      <c r="J54" s="9">
        <v>5.3</v>
      </c>
      <c r="K54" s="9">
        <v>1.1000000000000001</v>
      </c>
      <c r="L54" s="9">
        <v>780</v>
      </c>
      <c r="M54" s="5">
        <f>+(J54*D54)-L54-K54</f>
        <v>137018.9</v>
      </c>
    </row>
    <row r="55" spans="2:16" x14ac:dyDescent="0.25">
      <c r="B55" t="str">
        <f t="shared" ref="B55" si="34">C55 &amp; " US EQUITY"</f>
        <v>CRM US EQUITY</v>
      </c>
      <c r="C55" t="s">
        <v>33</v>
      </c>
      <c r="D55" s="4">
        <v>50000</v>
      </c>
      <c r="E55" s="9">
        <f>_xll.BDP(C55&amp;" EQUITY",$E$4)</f>
        <v>242.08</v>
      </c>
      <c r="F55" s="99">
        <f t="shared" si="32"/>
        <v>12104000</v>
      </c>
      <c r="G55" s="473">
        <v>45093</v>
      </c>
      <c r="H55">
        <v>220</v>
      </c>
      <c r="I55" s="535">
        <f t="shared" ref="I55" si="35">+(H55/E55)-1</f>
        <v>-9.1209517514871163E-2</v>
      </c>
      <c r="J55" s="9">
        <v>1.97</v>
      </c>
      <c r="K55" s="9">
        <v>0.79</v>
      </c>
      <c r="L55" s="9">
        <v>1500</v>
      </c>
      <c r="M55" s="79">
        <f t="shared" ref="M55" si="36">+(J55*D55)-L55-K55</f>
        <v>96999.21</v>
      </c>
    </row>
    <row r="56" spans="2:16" x14ac:dyDescent="0.25">
      <c r="B56" t="str">
        <f>C56 &amp; " US EQUITY"</f>
        <v>ALGN US EQUITY</v>
      </c>
      <c r="C56" t="s">
        <v>10</v>
      </c>
      <c r="D56" s="4">
        <v>10000</v>
      </c>
      <c r="E56" s="9">
        <f>_xll.BDP(C56&amp;" EQUITY",$E$4)</f>
        <v>235.54499999999999</v>
      </c>
      <c r="F56" s="99">
        <f t="shared" si="32"/>
        <v>2355450</v>
      </c>
      <c r="G56" s="473">
        <v>45128</v>
      </c>
      <c r="H56">
        <v>420</v>
      </c>
      <c r="I56" s="535">
        <f>+(H56/E56)-1</f>
        <v>0.78309877093549018</v>
      </c>
      <c r="J56" s="9">
        <v>6.7</v>
      </c>
      <c r="K56" s="9">
        <v>0.54</v>
      </c>
      <c r="L56" s="9">
        <v>300</v>
      </c>
      <c r="M56" s="5">
        <f>+(J56*D56)-L56-K56</f>
        <v>66699.460000000006</v>
      </c>
    </row>
    <row r="57" spans="2:16" x14ac:dyDescent="0.25">
      <c r="B57" t="str">
        <f>C57 &amp; " US EQUITY"</f>
        <v>SOXX US EQUITY</v>
      </c>
      <c r="C57" t="s">
        <v>45</v>
      </c>
      <c r="D57" s="4">
        <v>85000</v>
      </c>
      <c r="E57" s="9">
        <f>_xll.BDP(C57&amp;" EQUITY",$E$4)</f>
        <v>244.33500000000001</v>
      </c>
      <c r="F57" s="99">
        <f t="shared" ref="F57:F61" si="37">D57*E57</f>
        <v>20768475</v>
      </c>
      <c r="G57" s="473">
        <v>45128</v>
      </c>
      <c r="H57">
        <v>550</v>
      </c>
      <c r="I57" s="535">
        <f>+(H57/E57)-1</f>
        <v>1.2510078376000164</v>
      </c>
      <c r="J57" s="9">
        <v>1.2</v>
      </c>
      <c r="K57" s="9">
        <v>0.82</v>
      </c>
      <c r="L57" s="9">
        <v>2430</v>
      </c>
      <c r="M57" s="5">
        <f>+(J57*D57)-L57-K57</f>
        <v>99569.18</v>
      </c>
    </row>
    <row r="58" spans="2:16" x14ac:dyDescent="0.25">
      <c r="B58" t="str">
        <f>C58 &amp; " US EQUITY"</f>
        <v>AMT US EQUITY</v>
      </c>
      <c r="C58" t="s">
        <v>40</v>
      </c>
      <c r="D58" s="4">
        <v>30000</v>
      </c>
      <c r="E58" s="9">
        <f>_xll.BDP(C58&amp;" EQUITY",$E$4)</f>
        <v>193.8</v>
      </c>
      <c r="F58" s="99">
        <f t="shared" si="37"/>
        <v>5814000</v>
      </c>
      <c r="G58" s="473">
        <v>45128</v>
      </c>
      <c r="H58">
        <v>240</v>
      </c>
      <c r="I58" s="535">
        <f>+(H58/E58)-1</f>
        <v>0.23839009287925683</v>
      </c>
      <c r="J58" s="9">
        <v>2.65</v>
      </c>
      <c r="K58" s="9">
        <v>0.64</v>
      </c>
      <c r="L58" s="9">
        <v>900</v>
      </c>
      <c r="M58" s="5">
        <f>+(J58*D58)-L58-K58</f>
        <v>78599.360000000001</v>
      </c>
    </row>
    <row r="59" spans="2:16" x14ac:dyDescent="0.25">
      <c r="B59" t="str">
        <f t="shared" ref="B59:B61" si="38">C59 &amp; " US EQUITY"</f>
        <v>CRM US EQUITY</v>
      </c>
      <c r="C59" t="s">
        <v>33</v>
      </c>
      <c r="D59" s="4">
        <v>50000</v>
      </c>
      <c r="E59" s="9">
        <f>_xll.BDP(C59&amp;" EQUITY",$E$4)</f>
        <v>242.08</v>
      </c>
      <c r="F59" s="99">
        <f t="shared" si="37"/>
        <v>12104000</v>
      </c>
      <c r="G59" s="473">
        <v>45156</v>
      </c>
      <c r="H59">
        <v>240</v>
      </c>
      <c r="I59" s="535">
        <f t="shared" ref="I59:I61" si="39">+(H59/E59)-1</f>
        <v>-8.5922009253139864E-3</v>
      </c>
      <c r="J59" s="9">
        <v>1.83</v>
      </c>
      <c r="K59" s="9">
        <v>0.73</v>
      </c>
      <c r="L59" s="9">
        <v>1500</v>
      </c>
      <c r="M59" s="79">
        <f t="shared" ref="M59:M61" si="40">+(J59*D59)-L59-K59</f>
        <v>89999.27</v>
      </c>
      <c r="P59" s="8"/>
    </row>
    <row r="60" spans="2:16" x14ac:dyDescent="0.25">
      <c r="B60" t="str">
        <f t="shared" si="38"/>
        <v>ELV US EQUITY</v>
      </c>
      <c r="C60" t="s">
        <v>110</v>
      </c>
      <c r="D60" s="4">
        <v>26000</v>
      </c>
      <c r="E60" s="9">
        <f>_xll.BDP(C60&amp;" EQUITY",$E$4)</f>
        <v>534</v>
      </c>
      <c r="F60" s="99">
        <f t="shared" si="37"/>
        <v>13884000</v>
      </c>
      <c r="G60" s="473">
        <v>45184</v>
      </c>
      <c r="H60">
        <v>500</v>
      </c>
      <c r="I60" s="535">
        <f t="shared" si="39"/>
        <v>-6.3670411985018771E-2</v>
      </c>
      <c r="J60" s="9">
        <v>2.4500000000000002</v>
      </c>
      <c r="K60" s="9">
        <v>0.51</v>
      </c>
      <c r="L60" s="9">
        <v>780</v>
      </c>
      <c r="M60" s="5">
        <f t="shared" si="40"/>
        <v>62919.490000000005</v>
      </c>
      <c r="O60">
        <v>462</v>
      </c>
      <c r="P60" s="8">
        <f t="shared" ref="P60:P61" si="41">+H60/O60-1</f>
        <v>8.2251082251082241E-2</v>
      </c>
    </row>
    <row r="61" spans="2:16" x14ac:dyDescent="0.25">
      <c r="B61" t="str">
        <f t="shared" si="38"/>
        <v>CRM US EQUITY</v>
      </c>
      <c r="C61" t="s">
        <v>33</v>
      </c>
      <c r="D61" s="4">
        <v>50000</v>
      </c>
      <c r="E61" s="9">
        <f>_xll.BDP(C61&amp;" EQUITY",$E$4)</f>
        <v>242.08</v>
      </c>
      <c r="F61" s="99">
        <f t="shared" si="37"/>
        <v>12104000</v>
      </c>
      <c r="G61" s="473">
        <v>45184</v>
      </c>
      <c r="H61">
        <v>240</v>
      </c>
      <c r="I61" s="535">
        <f t="shared" si="39"/>
        <v>-8.5922009253139864E-3</v>
      </c>
      <c r="J61" s="9">
        <v>1.06</v>
      </c>
      <c r="K61" s="9">
        <v>0.42</v>
      </c>
      <c r="L61" s="9">
        <v>1500</v>
      </c>
      <c r="M61" s="79">
        <f t="shared" si="40"/>
        <v>51499.58</v>
      </c>
      <c r="O61" s="9">
        <v>211.69</v>
      </c>
      <c r="P61" s="8">
        <f t="shared" si="41"/>
        <v>0.13373328924370553</v>
      </c>
    </row>
    <row r="62" spans="2:16" x14ac:dyDescent="0.25">
      <c r="B62" t="str">
        <f>C62 &amp; " US EQUITY"</f>
        <v>BKNG US EQUITY</v>
      </c>
      <c r="C62" t="s">
        <v>12</v>
      </c>
      <c r="D62" s="4">
        <v>2600</v>
      </c>
      <c r="E62" s="9">
        <f>_xll.BDP(C62&amp;" EQUITY",$E$4)</f>
        <v>4009.42</v>
      </c>
      <c r="F62" s="99">
        <f>D62*E62</f>
        <v>10424492</v>
      </c>
      <c r="G62" s="473">
        <v>45219</v>
      </c>
      <c r="H62">
        <v>3200</v>
      </c>
      <c r="I62" s="535">
        <f>+(H62/E62)-1</f>
        <v>-0.2018795736041622</v>
      </c>
      <c r="J62" s="9">
        <v>43.6</v>
      </c>
      <c r="K62" s="9">
        <v>0.91</v>
      </c>
      <c r="L62" s="9">
        <v>78</v>
      </c>
      <c r="M62" s="79">
        <f>+(J62*D62)-L62-K62</f>
        <v>113281.09</v>
      </c>
      <c r="O62" s="9"/>
      <c r="P62" s="8"/>
    </row>
    <row r="63" spans="2:16" x14ac:dyDescent="0.25">
      <c r="B63" t="str">
        <f t="shared" ref="B63:B64" si="42">C63 &amp; " US EQUITY"</f>
        <v>CMCSA US EQUITY</v>
      </c>
      <c r="C63" t="s">
        <v>34</v>
      </c>
      <c r="D63" s="4">
        <v>185000</v>
      </c>
      <c r="E63" s="9">
        <f>_xll.BDP(C63&amp;" EQUITY",$E$4)</f>
        <v>38.143799999999999</v>
      </c>
      <c r="F63" s="99">
        <f t="shared" ref="F63:F64" si="43">D63*E63</f>
        <v>7056603</v>
      </c>
      <c r="G63" s="473">
        <v>45219</v>
      </c>
      <c r="H63">
        <v>50</v>
      </c>
      <c r="I63" s="535">
        <f t="shared" ref="I63:I64" si="44">+(H63/E63)-1</f>
        <v>0.31082902070585527</v>
      </c>
      <c r="J63" s="9">
        <v>0.32</v>
      </c>
      <c r="K63" s="9">
        <v>0.47</v>
      </c>
      <c r="L63" s="9">
        <v>1850</v>
      </c>
      <c r="M63" s="79">
        <f t="shared" ref="M63:M64" si="45">+(J63*D63)-L63-K63</f>
        <v>57349.53</v>
      </c>
      <c r="O63" s="9">
        <v>45.28</v>
      </c>
      <c r="P63" s="8">
        <f t="shared" ref="P63:P64" si="46">+H63/O63-1</f>
        <v>0.10424028268551244</v>
      </c>
    </row>
    <row r="64" spans="2:16" x14ac:dyDescent="0.25">
      <c r="B64" s="64" t="str">
        <f t="shared" si="42"/>
        <v>CRM US EQUITY</v>
      </c>
      <c r="C64" s="90" t="s">
        <v>33</v>
      </c>
      <c r="D64" s="350">
        <v>50000</v>
      </c>
      <c r="E64" s="351">
        <f>_xll.BDP(C64&amp;" EQUITY",$E$4)</f>
        <v>242.08</v>
      </c>
      <c r="F64" s="419">
        <f t="shared" si="43"/>
        <v>12104000</v>
      </c>
      <c r="G64" s="554">
        <v>45247</v>
      </c>
      <c r="H64" s="90">
        <v>240</v>
      </c>
      <c r="I64" s="697">
        <f t="shared" si="44"/>
        <v>-8.5922009253139864E-3</v>
      </c>
      <c r="J64" s="351">
        <v>1.51</v>
      </c>
      <c r="K64" s="351">
        <v>0.6</v>
      </c>
      <c r="L64" s="351">
        <v>1500</v>
      </c>
      <c r="M64" s="698">
        <f t="shared" si="45"/>
        <v>73999.399999999994</v>
      </c>
      <c r="O64" s="9">
        <v>215</v>
      </c>
      <c r="P64" s="6">
        <f t="shared" si="46"/>
        <v>0.11627906976744184</v>
      </c>
    </row>
    <row r="65" spans="1:18" x14ac:dyDescent="0.25">
      <c r="A65" t="s">
        <v>475</v>
      </c>
      <c r="B65" s="97" t="str">
        <f t="shared" ref="B65:B68" si="47">C65 &amp; " US EQUITY"</f>
        <v>CRM US EQUITY</v>
      </c>
      <c r="C65" s="34" t="s">
        <v>33</v>
      </c>
      <c r="D65" s="116">
        <v>50000</v>
      </c>
      <c r="E65" s="33">
        <f>_xll.BDP(C65&amp;" EQUITY",$E$4)</f>
        <v>242.08</v>
      </c>
      <c r="F65" s="352">
        <f t="shared" ref="F65:F68" si="48">D65*E65</f>
        <v>12104000</v>
      </c>
      <c r="G65" s="495">
        <v>45247</v>
      </c>
      <c r="H65" s="34">
        <v>240</v>
      </c>
      <c r="I65" s="699">
        <f t="shared" ref="I65:I68" si="49">+(H65/E65)-1</f>
        <v>-8.5922009253139864E-3</v>
      </c>
      <c r="J65" s="33">
        <v>-0.04</v>
      </c>
      <c r="K65" s="33">
        <v>0</v>
      </c>
      <c r="L65" s="33">
        <v>50</v>
      </c>
      <c r="M65" s="700">
        <f t="shared" ref="M65:M68" si="50">+(J65*D65)-L65-K65</f>
        <v>-2050</v>
      </c>
      <c r="O65" s="9"/>
      <c r="P65" s="6"/>
    </row>
    <row r="66" spans="1:18" x14ac:dyDescent="0.25">
      <c r="B66" t="str">
        <f t="shared" si="47"/>
        <v>PLNT US EQUITY</v>
      </c>
      <c r="C66" t="s">
        <v>3</v>
      </c>
      <c r="D66" s="4">
        <v>85000</v>
      </c>
      <c r="E66" s="9">
        <f>_xll.BDP(C66&amp;" EQUITY",$E$4)</f>
        <v>73.22</v>
      </c>
      <c r="F66" s="99">
        <f t="shared" si="48"/>
        <v>6223700</v>
      </c>
      <c r="G66" s="473">
        <v>45247</v>
      </c>
      <c r="H66">
        <v>82.5</v>
      </c>
      <c r="I66" s="535">
        <f t="shared" si="49"/>
        <v>0.12674132750614597</v>
      </c>
      <c r="J66" s="9">
        <v>1.0745290000000001</v>
      </c>
      <c r="K66" s="9">
        <v>0.73</v>
      </c>
      <c r="L66" s="9">
        <v>2550</v>
      </c>
      <c r="M66" s="5">
        <f t="shared" si="50"/>
        <v>88784.235000000015</v>
      </c>
      <c r="O66" s="9"/>
      <c r="P66" s="6"/>
    </row>
    <row r="67" spans="1:18" x14ac:dyDescent="0.25">
      <c r="B67" t="str">
        <f t="shared" si="47"/>
        <v>XLE US EQUITY</v>
      </c>
      <c r="C67" t="s">
        <v>112</v>
      </c>
      <c r="D67" s="4">
        <v>180000</v>
      </c>
      <c r="E67" s="9">
        <f>_xll.BDP(C67&amp;" EQUITY",$E$4)</f>
        <v>91.084999999999994</v>
      </c>
      <c r="F67" s="99">
        <f t="shared" si="48"/>
        <v>16395299.999999998</v>
      </c>
      <c r="G67" s="473">
        <v>45275</v>
      </c>
      <c r="H67">
        <v>106</v>
      </c>
      <c r="I67" s="535">
        <f t="shared" si="49"/>
        <v>0.16374814733490695</v>
      </c>
      <c r="J67" s="9">
        <v>0.46</v>
      </c>
      <c r="K67" s="9">
        <v>0.66</v>
      </c>
      <c r="L67" s="9">
        <v>1800</v>
      </c>
      <c r="M67" s="79">
        <f t="shared" si="50"/>
        <v>80999.34</v>
      </c>
      <c r="O67" s="9">
        <v>92.98</v>
      </c>
      <c r="P67" s="8">
        <f t="shared" ref="P67:P68" si="51">+H67/O67-1</f>
        <v>0.14003011400301135</v>
      </c>
    </row>
    <row r="68" spans="1:18" x14ac:dyDescent="0.25">
      <c r="B68" t="str">
        <f t="shared" si="47"/>
        <v>CMCSA US EQUITY</v>
      </c>
      <c r="C68" t="s">
        <v>34</v>
      </c>
      <c r="D68" s="4">
        <v>185000</v>
      </c>
      <c r="E68" s="9">
        <f>_xll.BDP(C68&amp;" EQUITY",$E$4)</f>
        <v>38.143799999999999</v>
      </c>
      <c r="F68" s="99">
        <f t="shared" si="48"/>
        <v>7056603</v>
      </c>
      <c r="G68" s="473">
        <v>45275</v>
      </c>
      <c r="H68">
        <v>47.5</v>
      </c>
      <c r="I68" s="535">
        <f t="shared" si="49"/>
        <v>0.24528756967056253</v>
      </c>
      <c r="J68" s="9">
        <v>0.32</v>
      </c>
      <c r="K68" s="9">
        <v>0.47</v>
      </c>
      <c r="L68" s="9">
        <v>1850</v>
      </c>
      <c r="M68" s="79">
        <f t="shared" si="50"/>
        <v>57349.53</v>
      </c>
      <c r="O68" s="9">
        <v>42.76</v>
      </c>
      <c r="P68" s="8">
        <f t="shared" si="51"/>
        <v>0.11085126286248825</v>
      </c>
      <c r="R68" s="10"/>
    </row>
    <row r="70" spans="1:18" x14ac:dyDescent="0.25">
      <c r="M70" s="16">
        <f>SUM(M48:M69)</f>
        <v>1630539.9850000003</v>
      </c>
    </row>
    <row r="73" spans="1:18" x14ac:dyDescent="0.25">
      <c r="C73" s="78"/>
      <c r="D73" s="78" t="s">
        <v>357</v>
      </c>
      <c r="E73" s="78"/>
      <c r="F73" s="78" t="s">
        <v>358</v>
      </c>
      <c r="G73" s="78"/>
      <c r="H73" s="168"/>
      <c r="I73" s="168"/>
    </row>
    <row r="74" spans="1:18" x14ac:dyDescent="0.25">
      <c r="A74" s="34"/>
      <c r="B74" s="34"/>
      <c r="C74" s="83" t="s">
        <v>359</v>
      </c>
      <c r="D74" s="83" t="s">
        <v>360</v>
      </c>
      <c r="E74" s="83" t="s">
        <v>77</v>
      </c>
      <c r="F74" s="83" t="s">
        <v>360</v>
      </c>
      <c r="G74" s="83" t="s">
        <v>361</v>
      </c>
      <c r="H74" s="83" t="s">
        <v>369</v>
      </c>
      <c r="I74" s="83" t="s">
        <v>370</v>
      </c>
      <c r="J74" s="83" t="s">
        <v>371</v>
      </c>
      <c r="K74" s="83" t="s">
        <v>375</v>
      </c>
      <c r="L74" s="83" t="s">
        <v>372</v>
      </c>
      <c r="M74" s="83" t="s">
        <v>373</v>
      </c>
    </row>
    <row r="75" spans="1:18" ht="15.75" x14ac:dyDescent="0.25">
      <c r="A75" s="481" t="s">
        <v>399</v>
      </c>
      <c r="B75" t="str">
        <f>C75 &amp; " US EQUITY"</f>
        <v>PYPL US EQUITY</v>
      </c>
      <c r="C75" t="s">
        <v>29</v>
      </c>
      <c r="D75" s="4">
        <v>81000</v>
      </c>
      <c r="E75" s="9">
        <f>_xll.BDP(C75&amp;" EQUITY",$E$4)</f>
        <v>59.17</v>
      </c>
      <c r="F75" s="99">
        <f>D75*E75</f>
        <v>4792770</v>
      </c>
      <c r="G75" s="473">
        <v>45128</v>
      </c>
      <c r="H75">
        <v>70</v>
      </c>
      <c r="I75" s="493">
        <f>+(H75/E75)-1</f>
        <v>0.18303194186243021</v>
      </c>
      <c r="J75" s="9">
        <v>1.0980620000000001</v>
      </c>
      <c r="K75" s="9">
        <v>0.71</v>
      </c>
      <c r="L75" s="9">
        <v>2430</v>
      </c>
      <c r="M75" s="5">
        <f>+(J75*D75)-L75-K75</f>
        <v>86512.312000000005</v>
      </c>
    </row>
    <row r="76" spans="1:18" ht="15.75" x14ac:dyDescent="0.25">
      <c r="D76" s="4"/>
      <c r="E76" s="9"/>
      <c r="F76" s="99"/>
      <c r="G76" s="473"/>
      <c r="I76" s="493"/>
      <c r="J76" s="9"/>
      <c r="K76" s="9"/>
      <c r="L76" s="9"/>
      <c r="M76" s="5"/>
    </row>
    <row r="84" spans="13:13" x14ac:dyDescent="0.25">
      <c r="M84" s="16">
        <f>SUM(M75:M83)</f>
        <v>86512.312000000005</v>
      </c>
    </row>
  </sheetData>
  <mergeCells count="1">
    <mergeCell ref="A1:A2"/>
  </mergeCells>
  <pageMargins left="0.7" right="0.7" top="0.75" bottom="0.75" header="0.3" footer="0.3"/>
  <pageSetup orientation="portrait" verticalDpi="1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5B4B-6D2D-49F7-B3B2-17A76D62DCED}">
  <sheetPr codeName="Sheet7"/>
  <dimension ref="A1:CP47"/>
  <sheetViews>
    <sheetView topLeftCell="CD1" zoomScale="90" zoomScaleNormal="90" workbookViewId="0">
      <selection activeCell="CL28" sqref="CL28"/>
    </sheetView>
  </sheetViews>
  <sheetFormatPr defaultRowHeight="15" x14ac:dyDescent="0.25"/>
  <cols>
    <col min="1" max="1" width="9.140625" hidden="1" customWidth="1"/>
    <col min="2" max="2" width="19.7109375" hidden="1" customWidth="1"/>
    <col min="3" max="3" width="10.5703125" hidden="1" customWidth="1"/>
    <col min="4" max="4" width="19.5703125" hidden="1" customWidth="1"/>
    <col min="5" max="5" width="17.140625" hidden="1" customWidth="1"/>
    <col min="6" max="6" width="10.5703125" hidden="1" customWidth="1"/>
    <col min="7" max="7" width="21.28515625" hidden="1" customWidth="1"/>
    <col min="8" max="9" width="19.28515625" hidden="1" customWidth="1"/>
    <col min="10" max="11" width="16.85546875" hidden="1" customWidth="1"/>
    <col min="12" max="12" width="20.28515625" hidden="1" customWidth="1"/>
    <col min="13" max="14" width="16.42578125" hidden="1" customWidth="1"/>
    <col min="15" max="15" width="18.42578125" hidden="1" customWidth="1"/>
    <col min="16" max="16" width="18.85546875" hidden="1" customWidth="1"/>
    <col min="17" max="17" width="20.42578125" hidden="1" customWidth="1"/>
    <col min="18" max="18" width="18.42578125" hidden="1" customWidth="1"/>
    <col min="19" max="19" width="16.42578125" hidden="1" customWidth="1"/>
    <col min="20" max="20" width="21.140625" hidden="1" customWidth="1"/>
    <col min="21" max="21" width="17.5703125" hidden="1" customWidth="1"/>
    <col min="22" max="23" width="16.42578125" hidden="1" customWidth="1"/>
    <col min="24" max="24" width="17.5703125" hidden="1" customWidth="1"/>
    <col min="25" max="25" width="16.42578125" hidden="1" customWidth="1"/>
    <col min="26" max="26" width="18.7109375" hidden="1" customWidth="1"/>
    <col min="27" max="27" width="18.5703125" hidden="1" customWidth="1"/>
    <col min="28" max="28" width="16.42578125" hidden="1" customWidth="1"/>
    <col min="29" max="29" width="19" hidden="1" customWidth="1"/>
    <col min="30" max="30" width="19.140625" hidden="1" customWidth="1"/>
    <col min="31" max="31" width="16.42578125" hidden="1" customWidth="1"/>
    <col min="32" max="32" width="21.140625" hidden="1" customWidth="1"/>
    <col min="33" max="33" width="20.5703125" hidden="1" customWidth="1"/>
    <col min="34" max="34" width="16.42578125" hidden="1" customWidth="1"/>
    <col min="35" max="35" width="21.140625" hidden="1" customWidth="1"/>
    <col min="36" max="36" width="18.5703125" hidden="1" customWidth="1"/>
    <col min="37" max="37" width="16.42578125" hidden="1" customWidth="1"/>
    <col min="38" max="38" width="17.7109375" hidden="1" customWidth="1"/>
    <col min="39" max="39" width="18.5703125" hidden="1" customWidth="1"/>
    <col min="40" max="40" width="16.42578125" hidden="1" customWidth="1"/>
    <col min="41" max="41" width="18.7109375" hidden="1" customWidth="1"/>
    <col min="42" max="42" width="23.42578125" hidden="1" customWidth="1"/>
    <col min="43" max="43" width="16.42578125" hidden="1" customWidth="1"/>
    <col min="44" max="44" width="20.140625" hidden="1" customWidth="1"/>
    <col min="45" max="45" width="18.7109375" hidden="1" customWidth="1"/>
    <col min="46" max="46" width="16.42578125" hidden="1" customWidth="1"/>
    <col min="47" max="47" width="17.85546875" hidden="1" customWidth="1"/>
    <col min="48" max="48" width="21" hidden="1" customWidth="1"/>
    <col min="49" max="49" width="16.42578125" hidden="1" customWidth="1"/>
    <col min="50" max="50" width="17.7109375" hidden="1" customWidth="1"/>
    <col min="51" max="51" width="19.28515625" hidden="1" customWidth="1"/>
    <col min="52" max="52" width="16.42578125" hidden="1" customWidth="1"/>
    <col min="53" max="53" width="19.28515625" hidden="1" customWidth="1"/>
    <col min="54" max="54" width="20.140625" hidden="1" customWidth="1"/>
    <col min="55" max="55" width="16.42578125" hidden="1" customWidth="1"/>
    <col min="56" max="56" width="17.7109375" hidden="1" customWidth="1"/>
    <col min="57" max="57" width="20.7109375" hidden="1" customWidth="1"/>
    <col min="58" max="58" width="16.42578125" hidden="1" customWidth="1"/>
    <col min="59" max="59" width="17.7109375" hidden="1" customWidth="1"/>
    <col min="60" max="60" width="18.85546875" hidden="1" customWidth="1"/>
    <col min="61" max="61" width="16.5703125" hidden="1" customWidth="1"/>
    <col min="62" max="62" width="17.7109375" bestFit="1" customWidth="1"/>
    <col min="63" max="63" width="18.85546875" bestFit="1" customWidth="1"/>
    <col min="64" max="64" width="17" customWidth="1"/>
    <col min="65" max="65" width="17.7109375" bestFit="1" customWidth="1"/>
    <col min="66" max="66" width="18.85546875" bestFit="1" customWidth="1"/>
    <col min="67" max="67" width="16.42578125" customWidth="1"/>
    <col min="68" max="68" width="17.7109375" bestFit="1" customWidth="1"/>
    <col min="69" max="69" width="18.85546875" bestFit="1" customWidth="1"/>
    <col min="70" max="70" width="16.42578125" customWidth="1"/>
    <col min="71" max="71" width="17.7109375" bestFit="1" customWidth="1"/>
    <col min="72" max="72" width="16.42578125" customWidth="1"/>
    <col min="73" max="73" width="18" customWidth="1"/>
    <col min="74" max="74" width="18.7109375" customWidth="1"/>
    <col min="75" max="75" width="19.140625" customWidth="1"/>
    <col min="76" max="76" width="16.42578125" customWidth="1"/>
    <col min="77" max="77" width="18.42578125" customWidth="1"/>
    <col min="78" max="78" width="22.7109375" bestFit="1" customWidth="1"/>
    <col min="79" max="79" width="16.42578125" customWidth="1"/>
    <col min="80" max="80" width="18.42578125" customWidth="1"/>
    <col min="81" max="81" width="22.7109375" bestFit="1" customWidth="1"/>
    <col min="82" max="82" width="16.42578125" customWidth="1"/>
    <col min="83" max="83" width="20.140625" customWidth="1"/>
    <col min="84" max="84" width="22.7109375" bestFit="1" customWidth="1"/>
    <col min="85" max="85" width="14.85546875" customWidth="1"/>
    <col min="86" max="86" width="18.28515625" customWidth="1"/>
    <col min="87" max="87" width="22.85546875" customWidth="1"/>
    <col min="88" max="88" width="19.85546875" customWidth="1"/>
    <col min="89" max="89" width="26.140625" customWidth="1"/>
    <col min="90" max="90" width="17.5703125" customWidth="1"/>
    <col min="91" max="91" width="20.28515625" customWidth="1"/>
    <col min="92" max="92" width="26.140625" customWidth="1"/>
    <col min="93" max="93" width="17.5703125" customWidth="1"/>
    <col min="94" max="94" width="20.28515625" customWidth="1"/>
  </cols>
  <sheetData>
    <row r="1" spans="1:94" x14ac:dyDescent="0.25">
      <c r="I1" s="64"/>
      <c r="J1" s="90"/>
      <c r="K1" s="90"/>
      <c r="L1" s="90"/>
      <c r="M1" s="65"/>
      <c r="N1" s="90"/>
      <c r="O1" s="90"/>
      <c r="P1" s="65"/>
      <c r="Q1" s="90"/>
      <c r="R1" s="90"/>
      <c r="S1" s="65"/>
      <c r="T1" s="90"/>
      <c r="U1" s="90"/>
      <c r="V1" s="65"/>
      <c r="W1" s="90"/>
      <c r="X1" s="90"/>
      <c r="Y1" s="65"/>
      <c r="BW1" s="10"/>
      <c r="BZ1" s="10"/>
      <c r="CC1" s="10"/>
      <c r="CE1" t="s">
        <v>472</v>
      </c>
      <c r="CF1" s="10">
        <f>+CE14</f>
        <v>91507378.672652051</v>
      </c>
      <c r="CH1" t="s">
        <v>472</v>
      </c>
      <c r="CI1" s="10">
        <f>+CH14</f>
        <v>88554953.046205133</v>
      </c>
      <c r="CK1" t="s">
        <v>472</v>
      </c>
      <c r="CL1" s="10">
        <f>+CK14</f>
        <v>95694649.36921899</v>
      </c>
      <c r="CN1" t="s">
        <v>472</v>
      </c>
      <c r="CO1" s="10">
        <f>+CN14</f>
        <v>98296603.616692558</v>
      </c>
    </row>
    <row r="2" spans="1:94" x14ac:dyDescent="0.25">
      <c r="I2" s="2"/>
      <c r="M2" s="28"/>
      <c r="P2" s="28"/>
      <c r="S2" s="28"/>
      <c r="V2" s="28"/>
      <c r="Y2" s="28"/>
      <c r="BW2" s="60"/>
      <c r="BZ2" s="60"/>
      <c r="CC2" s="60"/>
      <c r="CE2" t="s">
        <v>470</v>
      </c>
      <c r="CF2" s="60">
        <f>+'Core Holdings'!$M$67</f>
        <v>622904622.5</v>
      </c>
      <c r="CH2" t="s">
        <v>470</v>
      </c>
      <c r="CI2" s="60">
        <f>+'Core Holdings'!$M$67</f>
        <v>622904622.5</v>
      </c>
      <c r="CK2" t="s">
        <v>470</v>
      </c>
      <c r="CL2" s="60">
        <f>+'Core Holdings'!$M$67</f>
        <v>622904622.5</v>
      </c>
      <c r="CN2" t="s">
        <v>470</v>
      </c>
      <c r="CO2" s="60">
        <f>+'Core Holdings'!$M$67</f>
        <v>622904622.5</v>
      </c>
    </row>
    <row r="3" spans="1:94" ht="15.75" x14ac:dyDescent="0.25">
      <c r="D3" s="610" t="s">
        <v>422</v>
      </c>
      <c r="I3" s="611" t="s">
        <v>423</v>
      </c>
      <c r="M3" s="28"/>
      <c r="P3" s="28"/>
      <c r="S3" s="28"/>
      <c r="V3" s="28"/>
      <c r="Y3" s="28"/>
      <c r="BW3" s="60"/>
      <c r="BZ3" s="60"/>
      <c r="CC3" s="60"/>
      <c r="CE3" t="s">
        <v>471</v>
      </c>
      <c r="CF3" s="148">
        <f>+'Dvd Holdings'!$O$46</f>
        <v>288990127.60000002</v>
      </c>
      <c r="CH3" t="s">
        <v>471</v>
      </c>
      <c r="CI3" s="148">
        <f>+'Dvd Holdings'!$O$46</f>
        <v>288990127.60000002</v>
      </c>
      <c r="CK3" t="s">
        <v>471</v>
      </c>
      <c r="CL3" s="148">
        <f>+'Dvd Holdings'!$O$46</f>
        <v>288990127.60000002</v>
      </c>
      <c r="CN3" t="s">
        <v>471</v>
      </c>
      <c r="CO3" s="148">
        <f>+'Dvd Holdings'!$O$46</f>
        <v>288990127.60000002</v>
      </c>
    </row>
    <row r="4" spans="1:94" x14ac:dyDescent="0.25">
      <c r="D4" s="5">
        <v>933438940</v>
      </c>
      <c r="I4" s="612">
        <v>0</v>
      </c>
      <c r="K4" t="s">
        <v>424</v>
      </c>
      <c r="M4" s="28"/>
      <c r="P4" s="28"/>
      <c r="S4" s="28"/>
      <c r="V4" s="28"/>
      <c r="Y4" s="28"/>
      <c r="AB4" s="28"/>
      <c r="AE4" s="28"/>
      <c r="AH4" s="28"/>
      <c r="AK4" s="28"/>
      <c r="AN4" s="28"/>
      <c r="AQ4" s="28"/>
      <c r="AT4" s="28"/>
      <c r="AW4" s="28"/>
      <c r="AZ4" s="28"/>
      <c r="BC4" s="28"/>
      <c r="BF4" s="28"/>
      <c r="BI4" s="28"/>
      <c r="BL4" s="28"/>
      <c r="BO4" s="28"/>
      <c r="BR4" s="28"/>
      <c r="BW4" s="60"/>
      <c r="BX4" s="196"/>
      <c r="BZ4" s="60"/>
      <c r="CA4" s="196"/>
      <c r="CC4" s="60"/>
      <c r="CD4" s="196"/>
      <c r="CF4" s="60">
        <f>SUM(CF1:CF3)</f>
        <v>1003402128.772652</v>
      </c>
      <c r="CG4" s="196">
        <f>+CF4/CF8</f>
        <v>6.1152551204344471E-2</v>
      </c>
      <c r="CI4" s="60">
        <f>SUM(CI1:CI3)</f>
        <v>1000449703.1462052</v>
      </c>
      <c r="CJ4" s="196">
        <f>+CI4/CI8</f>
        <v>6.0836923620750924E-2</v>
      </c>
      <c r="CL4" s="60">
        <f>SUM(CL1:CL3)</f>
        <v>1007589399.469219</v>
      </c>
      <c r="CM4" s="196">
        <f>+CL4/CL8</f>
        <v>6.1192886335278168E-2</v>
      </c>
      <c r="CO4" s="60">
        <f>SUM(CO1:CO3)</f>
        <v>1010191353.7166926</v>
      </c>
      <c r="CP4" s="196">
        <f>+CO4/CO8</f>
        <v>6.1350908135228747E-2</v>
      </c>
    </row>
    <row r="5" spans="1:94" x14ac:dyDescent="0.25">
      <c r="I5" s="2"/>
      <c r="K5" s="613">
        <v>926958765</v>
      </c>
      <c r="M5" s="28"/>
      <c r="P5" s="28"/>
      <c r="S5" s="614">
        <v>851864494</v>
      </c>
      <c r="U5" s="77">
        <v>872288346</v>
      </c>
      <c r="V5" s="615" t="s">
        <v>425</v>
      </c>
      <c r="W5" s="616">
        <v>779580493.00999999</v>
      </c>
      <c r="X5" s="615" t="s">
        <v>425</v>
      </c>
      <c r="Y5" s="28"/>
      <c r="Z5" s="616">
        <v>777704345</v>
      </c>
      <c r="AA5" s="615" t="s">
        <v>425</v>
      </c>
      <c r="AB5" s="28"/>
      <c r="AC5" s="77"/>
      <c r="AE5" s="28"/>
      <c r="AF5" s="77"/>
      <c r="AH5" s="28"/>
      <c r="AI5" s="77"/>
      <c r="AK5" s="28"/>
      <c r="AL5" s="77"/>
      <c r="AN5" s="28"/>
      <c r="AO5" s="77"/>
      <c r="AQ5" s="28"/>
      <c r="AR5" s="77"/>
      <c r="AT5" s="28"/>
      <c r="AU5" s="77"/>
      <c r="AW5" s="28"/>
      <c r="AX5" s="77"/>
      <c r="AZ5" s="28"/>
      <c r="BA5" s="77"/>
      <c r="BC5" s="28"/>
      <c r="BD5" s="77"/>
      <c r="BF5" s="28"/>
      <c r="BG5" s="77"/>
      <c r="BI5" s="28"/>
      <c r="BJ5" s="77"/>
      <c r="BL5" s="28"/>
      <c r="BM5" s="77"/>
      <c r="BO5" s="28"/>
      <c r="BP5" s="77"/>
      <c r="BR5" s="28"/>
      <c r="BS5" s="77"/>
      <c r="BV5" s="77"/>
      <c r="BX5" s="28"/>
      <c r="BY5" s="77"/>
      <c r="CA5" s="28"/>
      <c r="CB5" s="77"/>
      <c r="CD5" s="28"/>
      <c r="CE5" s="77"/>
      <c r="CG5" s="28"/>
      <c r="CH5" s="77"/>
      <c r="CJ5" s="28"/>
      <c r="CK5" s="77"/>
      <c r="CM5" s="28"/>
      <c r="CN5" s="77"/>
      <c r="CP5" s="28"/>
    </row>
    <row r="6" spans="1:94" x14ac:dyDescent="0.25">
      <c r="A6" s="22"/>
      <c r="B6" s="22">
        <v>16.856000000000002</v>
      </c>
      <c r="E6" s="22"/>
      <c r="F6" s="22"/>
      <c r="G6" s="22"/>
      <c r="H6" s="22"/>
      <c r="I6" s="91"/>
      <c r="J6" s="22"/>
      <c r="K6" s="22"/>
      <c r="L6" s="22"/>
      <c r="M6" s="303"/>
      <c r="N6" s="22"/>
      <c r="O6" s="22"/>
      <c r="P6" s="303"/>
      <c r="Q6" s="22"/>
      <c r="R6" s="22"/>
      <c r="S6" s="303"/>
      <c r="T6" s="22"/>
      <c r="U6" s="22"/>
      <c r="V6" s="303"/>
      <c r="W6" s="22"/>
      <c r="X6" s="22"/>
      <c r="Y6" s="303"/>
      <c r="Z6" s="22"/>
      <c r="AA6" s="22"/>
      <c r="AB6" s="303"/>
      <c r="AC6" s="22"/>
      <c r="AD6" s="22"/>
      <c r="AE6" s="303"/>
      <c r="AF6" s="22"/>
      <c r="AG6" s="22"/>
      <c r="AH6" s="303"/>
      <c r="AI6" s="22"/>
      <c r="AJ6" s="22"/>
      <c r="AK6" s="303"/>
      <c r="AL6" s="22"/>
      <c r="AM6" s="22"/>
      <c r="AN6" s="303"/>
      <c r="AO6" s="22"/>
      <c r="AP6" s="22"/>
      <c r="AQ6" s="303"/>
      <c r="AR6" s="22"/>
      <c r="AS6" s="22"/>
      <c r="AT6" s="303"/>
      <c r="AU6" s="22"/>
      <c r="AV6" s="22"/>
      <c r="AW6" s="303"/>
      <c r="AX6" s="22"/>
      <c r="AY6" s="22"/>
      <c r="AZ6" s="303"/>
      <c r="BA6" s="22"/>
      <c r="BB6" s="22"/>
      <c r="BC6" s="303"/>
      <c r="BD6" s="22"/>
      <c r="BE6" s="22"/>
      <c r="BF6" s="303"/>
      <c r="BG6" s="22"/>
      <c r="BH6" s="22"/>
      <c r="BI6" s="303"/>
      <c r="BJ6" s="22"/>
      <c r="BK6" s="22"/>
      <c r="BL6" s="303"/>
      <c r="BM6" s="22"/>
      <c r="BN6" s="22"/>
      <c r="BO6" s="303"/>
      <c r="BP6" s="22"/>
      <c r="BQ6" s="22"/>
      <c r="BR6" s="303"/>
      <c r="BS6" s="22"/>
      <c r="BV6" s="22"/>
      <c r="BW6" s="22"/>
      <c r="BX6" s="303"/>
      <c r="BY6" s="22"/>
      <c r="BZ6" s="22"/>
      <c r="CA6" s="303"/>
      <c r="CB6" s="22"/>
      <c r="CC6" s="22"/>
      <c r="CD6" s="303"/>
      <c r="CE6" s="22"/>
      <c r="CF6" s="22"/>
      <c r="CG6" s="303"/>
      <c r="CH6" s="22"/>
      <c r="CI6" s="22"/>
      <c r="CJ6" s="303"/>
      <c r="CK6" s="22"/>
      <c r="CL6" s="22"/>
      <c r="CM6" s="303"/>
      <c r="CN6" s="22"/>
      <c r="CO6" s="22"/>
      <c r="CP6" s="303"/>
    </row>
    <row r="7" spans="1:94" ht="15.75" x14ac:dyDescent="0.25">
      <c r="A7" s="22"/>
      <c r="B7" s="617" t="s">
        <v>426</v>
      </c>
      <c r="D7" s="89" t="s">
        <v>427</v>
      </c>
      <c r="E7" s="22"/>
      <c r="F7" s="22"/>
      <c r="G7" s="617" t="s">
        <v>428</v>
      </c>
      <c r="H7" s="22"/>
      <c r="I7" s="618" t="s">
        <v>429</v>
      </c>
      <c r="J7" s="22"/>
      <c r="K7" s="22"/>
      <c r="L7" s="617" t="s">
        <v>429</v>
      </c>
      <c r="M7" s="303"/>
      <c r="N7" s="22"/>
      <c r="O7" s="619" t="s">
        <v>166</v>
      </c>
      <c r="P7" s="303"/>
      <c r="Q7" s="22"/>
      <c r="R7" s="619" t="s">
        <v>430</v>
      </c>
      <c r="S7" s="303"/>
      <c r="T7" s="22"/>
      <c r="U7" s="619" t="s">
        <v>348</v>
      </c>
      <c r="V7" s="303"/>
      <c r="W7" s="22"/>
      <c r="X7" s="619" t="s">
        <v>376</v>
      </c>
      <c r="Y7" s="303"/>
      <c r="Z7" s="22"/>
      <c r="AA7" s="619" t="s">
        <v>431</v>
      </c>
      <c r="AB7" s="303"/>
      <c r="AC7" s="22"/>
      <c r="AD7" s="619" t="s">
        <v>432</v>
      </c>
      <c r="AE7" s="303"/>
      <c r="AF7" s="22"/>
      <c r="AG7" s="619" t="s">
        <v>433</v>
      </c>
      <c r="AH7" s="303"/>
      <c r="AI7" s="22"/>
      <c r="AJ7" s="619" t="s">
        <v>434</v>
      </c>
      <c r="AK7" s="303"/>
      <c r="AL7" s="22"/>
      <c r="AM7" s="619" t="s">
        <v>435</v>
      </c>
      <c r="AN7" s="303"/>
      <c r="AO7" s="22"/>
      <c r="AP7" s="619" t="s">
        <v>436</v>
      </c>
      <c r="AQ7" s="303"/>
      <c r="AR7" s="22"/>
      <c r="AS7" s="619" t="s">
        <v>428</v>
      </c>
      <c r="AT7" s="303"/>
      <c r="AU7" s="22"/>
      <c r="AV7" s="619" t="s">
        <v>429</v>
      </c>
      <c r="AW7" s="303"/>
      <c r="AX7" s="22"/>
      <c r="AY7" s="619" t="s">
        <v>166</v>
      </c>
      <c r="AZ7" s="303"/>
      <c r="BA7" s="22"/>
      <c r="BB7" s="619" t="s">
        <v>437</v>
      </c>
      <c r="BC7" s="303"/>
      <c r="BD7" s="22"/>
      <c r="BE7" s="620">
        <v>44986</v>
      </c>
      <c r="BF7" s="303"/>
      <c r="BG7" s="22"/>
      <c r="BH7" s="620">
        <v>45017</v>
      </c>
      <c r="BI7" s="303"/>
      <c r="BJ7" s="22"/>
      <c r="BK7" s="620">
        <v>45047</v>
      </c>
      <c r="BL7" s="303"/>
      <c r="BM7" s="22"/>
      <c r="BN7" s="620">
        <v>45107</v>
      </c>
      <c r="BO7" s="303"/>
      <c r="BP7" s="22"/>
      <c r="BQ7" s="620">
        <v>45138</v>
      </c>
      <c r="BR7" s="303"/>
      <c r="BS7" s="22"/>
      <c r="BT7" s="695">
        <v>45169</v>
      </c>
      <c r="BU7" s="303"/>
      <c r="BV7" s="22"/>
      <c r="BW7" s="695">
        <v>45199</v>
      </c>
      <c r="BX7" s="303"/>
      <c r="BY7" s="22"/>
      <c r="BZ7" s="729">
        <v>45230</v>
      </c>
      <c r="CA7" s="303"/>
      <c r="CB7" s="22"/>
      <c r="CC7" s="729">
        <v>45260</v>
      </c>
      <c r="CD7" s="303"/>
      <c r="CE7" s="22"/>
      <c r="CF7" s="729">
        <v>45291</v>
      </c>
      <c r="CG7" s="303"/>
      <c r="CH7" s="22"/>
      <c r="CI7" s="729">
        <v>45322</v>
      </c>
      <c r="CJ7" s="303"/>
      <c r="CK7" s="22"/>
      <c r="CL7" s="729">
        <v>45351</v>
      </c>
      <c r="CM7" s="303"/>
      <c r="CN7" s="22"/>
      <c r="CO7" s="814">
        <v>45382</v>
      </c>
      <c r="CP7" s="303"/>
    </row>
    <row r="8" spans="1:94" x14ac:dyDescent="0.25">
      <c r="A8" s="22"/>
      <c r="B8" s="621">
        <v>16115925000</v>
      </c>
      <c r="D8" s="622">
        <v>16236119000</v>
      </c>
      <c r="E8" s="22"/>
      <c r="F8" s="22"/>
      <c r="G8" s="623">
        <v>16244480000</v>
      </c>
      <c r="H8" s="22"/>
      <c r="I8" s="624">
        <v>16112481000</v>
      </c>
      <c r="J8" s="625" t="s">
        <v>439</v>
      </c>
      <c r="K8" s="22"/>
      <c r="L8" s="626">
        <f>+I8</f>
        <v>16112481000</v>
      </c>
      <c r="M8" s="303"/>
      <c r="N8" s="22"/>
      <c r="O8" s="627">
        <v>16094601000</v>
      </c>
      <c r="P8" s="303"/>
      <c r="Q8" s="22"/>
      <c r="R8" s="627">
        <v>16180874000</v>
      </c>
      <c r="S8" s="628" t="s">
        <v>440</v>
      </c>
      <c r="T8" s="22"/>
      <c r="U8" s="627">
        <v>16211100000</v>
      </c>
      <c r="V8" s="628" t="s">
        <v>440</v>
      </c>
      <c r="W8" s="22"/>
      <c r="X8" s="627">
        <v>16198880000</v>
      </c>
      <c r="Y8" s="628" t="s">
        <v>440</v>
      </c>
      <c r="Z8" s="22"/>
      <c r="AA8" s="626">
        <f>+X8</f>
        <v>16198880000</v>
      </c>
      <c r="AB8" s="303"/>
      <c r="AC8" s="22"/>
      <c r="AD8" s="627">
        <v>15936046000</v>
      </c>
      <c r="AE8" s="303"/>
      <c r="AF8" s="22"/>
      <c r="AG8" s="627">
        <v>16109895000</v>
      </c>
      <c r="AH8" s="303"/>
      <c r="AI8" s="22"/>
      <c r="AJ8" s="627">
        <v>16177090000</v>
      </c>
      <c r="AK8" s="303"/>
      <c r="AL8" s="22"/>
      <c r="AM8" s="627">
        <v>15971108000</v>
      </c>
      <c r="AN8" s="303"/>
      <c r="AO8" s="22"/>
      <c r="AP8" s="627">
        <v>16100264000</v>
      </c>
      <c r="AQ8" s="303"/>
      <c r="AR8" s="22"/>
      <c r="AS8" s="627">
        <v>16145346000</v>
      </c>
      <c r="AT8" s="303"/>
      <c r="AU8" s="22"/>
      <c r="AV8" s="627">
        <v>16049294000</v>
      </c>
      <c r="AW8" s="303"/>
      <c r="AX8" s="22"/>
      <c r="AY8" s="627">
        <v>16180790000</v>
      </c>
      <c r="AZ8" s="303"/>
      <c r="BA8" s="22"/>
      <c r="BB8" s="627">
        <v>16183318000</v>
      </c>
      <c r="BC8" s="303"/>
      <c r="BD8" s="22"/>
      <c r="BE8" s="627">
        <v>16195711000</v>
      </c>
      <c r="BF8" s="303"/>
      <c r="BG8" s="22"/>
      <c r="BH8" s="629">
        <v>16269889000</v>
      </c>
      <c r="BI8" s="303"/>
      <c r="BJ8" s="22"/>
      <c r="BK8" s="627">
        <v>16238317000</v>
      </c>
      <c r="BL8" s="303"/>
      <c r="BM8" s="22"/>
      <c r="BN8" s="629">
        <v>16228542000</v>
      </c>
      <c r="BO8" s="303"/>
      <c r="BP8" s="22"/>
      <c r="BQ8" s="629">
        <v>16259195000</v>
      </c>
      <c r="BR8" s="303" t="s">
        <v>449</v>
      </c>
      <c r="BS8" s="22"/>
      <c r="BT8" s="629">
        <v>16233399000</v>
      </c>
      <c r="BU8" s="303" t="s">
        <v>449</v>
      </c>
      <c r="BV8" s="22"/>
      <c r="BW8" s="629">
        <v>16245280000</v>
      </c>
      <c r="BX8" s="303" t="s">
        <v>449</v>
      </c>
      <c r="BY8" s="22"/>
      <c r="BZ8" s="629">
        <v>16213923000</v>
      </c>
      <c r="CA8" s="303" t="s">
        <v>449</v>
      </c>
      <c r="CB8" s="22"/>
      <c r="CC8" s="629">
        <v>16245739000</v>
      </c>
      <c r="CD8" s="303"/>
      <c r="CE8" s="22"/>
      <c r="CF8" s="629">
        <v>16408181000</v>
      </c>
      <c r="CG8" s="303"/>
      <c r="CH8" s="22"/>
      <c r="CI8" s="629">
        <v>16444778000</v>
      </c>
      <c r="CJ8" s="303"/>
      <c r="CK8" s="22"/>
      <c r="CL8" s="629">
        <v>16465793000</v>
      </c>
      <c r="CM8" s="303"/>
      <c r="CN8" s="22"/>
      <c r="CO8" s="817">
        <v>16465793000</v>
      </c>
      <c r="CP8" s="303"/>
    </row>
    <row r="9" spans="1:94" x14ac:dyDescent="0.25">
      <c r="A9" s="630">
        <v>6.25E-2</v>
      </c>
      <c r="B9" s="621">
        <f>+B8*A9</f>
        <v>1007245312.5</v>
      </c>
      <c r="C9" s="630">
        <v>6.25E-2</v>
      </c>
      <c r="D9" s="621">
        <f>+D8*C9</f>
        <v>1014757437.5</v>
      </c>
      <c r="E9" s="22"/>
      <c r="F9" s="22"/>
      <c r="G9" s="621"/>
      <c r="H9" s="22"/>
      <c r="I9" s="91"/>
      <c r="J9" s="613">
        <f>+I8*0.0625</f>
        <v>1007030062.5</v>
      </c>
      <c r="K9" s="613"/>
      <c r="L9" s="613"/>
      <c r="M9" s="303"/>
      <c r="N9" s="613"/>
      <c r="O9" s="613"/>
      <c r="P9" s="303"/>
      <c r="Q9" s="613"/>
      <c r="R9" s="613"/>
      <c r="S9" s="303"/>
      <c r="T9" s="613"/>
      <c r="U9" s="613"/>
      <c r="V9" s="303"/>
      <c r="W9" s="613"/>
      <c r="X9" s="613"/>
      <c r="Y9" s="303"/>
      <c r="Z9" s="613"/>
      <c r="AA9" s="613"/>
      <c r="AB9" s="303"/>
      <c r="AC9" s="613"/>
      <c r="AD9" s="613"/>
      <c r="AE9" s="303"/>
      <c r="AF9" s="613"/>
      <c r="AG9" s="613"/>
      <c r="AH9" s="303"/>
      <c r="AI9" s="613"/>
      <c r="AJ9" s="613"/>
      <c r="AK9" s="303"/>
      <c r="AL9" s="613"/>
      <c r="AM9" s="613"/>
      <c r="AN9" s="303"/>
      <c r="AO9" s="613"/>
      <c r="AP9" s="613"/>
      <c r="AQ9" s="303"/>
      <c r="AR9" s="613"/>
      <c r="AS9" s="613"/>
      <c r="AT9" s="303"/>
      <c r="AU9" s="613"/>
      <c r="AV9" s="613"/>
      <c r="AW9" s="303"/>
      <c r="AX9" s="613"/>
      <c r="AY9" s="613"/>
      <c r="AZ9" s="303"/>
      <c r="BA9" s="613"/>
      <c r="BB9" s="613"/>
      <c r="BC9" s="303"/>
      <c r="BD9" s="613"/>
      <c r="BE9" s="613"/>
      <c r="BF9" s="303"/>
      <c r="BG9" s="613"/>
      <c r="BH9" s="613"/>
      <c r="BI9" s="303"/>
      <c r="BJ9" s="613"/>
      <c r="BK9" s="613"/>
      <c r="BL9" s="303"/>
      <c r="BM9" s="613"/>
      <c r="BN9" s="613"/>
      <c r="BO9" s="303"/>
      <c r="BP9" s="613"/>
      <c r="BQ9" s="613"/>
      <c r="BR9" s="303"/>
      <c r="BS9" s="613"/>
      <c r="BT9" s="613"/>
      <c r="BU9" s="303"/>
      <c r="BV9" s="613"/>
      <c r="BW9" s="613"/>
      <c r="BX9" s="303"/>
      <c r="BY9" s="613"/>
      <c r="BZ9" s="613"/>
      <c r="CA9" s="303"/>
      <c r="CB9" s="613"/>
      <c r="CC9" s="613"/>
      <c r="CD9" s="303"/>
      <c r="CE9" s="613"/>
      <c r="CF9" s="613"/>
      <c r="CG9" s="303"/>
      <c r="CH9" s="613"/>
      <c r="CI9" s="613"/>
      <c r="CJ9" s="303"/>
      <c r="CK9" s="613"/>
      <c r="CL9" s="613"/>
      <c r="CM9" s="303"/>
      <c r="CN9" s="613"/>
      <c r="CO9" s="613"/>
      <c r="CP9" s="303"/>
    </row>
    <row r="10" spans="1:94" x14ac:dyDescent="0.25">
      <c r="A10" s="630">
        <v>6.5000000000000002E-2</v>
      </c>
      <c r="B10" s="621">
        <f>+B8*A10</f>
        <v>1047535125</v>
      </c>
      <c r="C10" s="630">
        <v>6.5000000000000002E-2</v>
      </c>
      <c r="D10" s="621">
        <f>+D8*C10</f>
        <v>1055347735</v>
      </c>
      <c r="E10" s="22"/>
      <c r="F10" s="631"/>
      <c r="G10" s="632"/>
      <c r="H10" s="633"/>
      <c r="I10" s="631"/>
      <c r="J10" s="634"/>
      <c r="K10" s="631"/>
      <c r="L10" s="633"/>
      <c r="M10" s="634"/>
      <c r="N10" s="631"/>
      <c r="O10" s="633"/>
      <c r="P10" s="634"/>
      <c r="Q10" s="631"/>
      <c r="R10" s="633"/>
      <c r="S10" s="634"/>
      <c r="T10" s="631"/>
      <c r="U10" s="633"/>
      <c r="V10" s="634"/>
      <c r="W10" s="631"/>
      <c r="X10" s="633"/>
      <c r="Y10" s="634"/>
      <c r="Z10" s="631"/>
      <c r="AA10" s="633"/>
      <c r="AB10" s="634"/>
      <c r="AC10" s="631"/>
      <c r="AD10" s="633"/>
      <c r="AE10" s="634"/>
      <c r="AF10" s="631"/>
      <c r="AG10" s="633"/>
      <c r="AH10" s="634"/>
      <c r="AI10" s="631"/>
      <c r="AJ10" s="633"/>
      <c r="AK10" s="634"/>
      <c r="AL10" s="631"/>
      <c r="AM10" s="633"/>
      <c r="AN10" s="634"/>
      <c r="AO10" s="631"/>
      <c r="AP10" s="633"/>
      <c r="AQ10" s="634"/>
      <c r="AR10" s="631"/>
      <c r="AS10" s="633"/>
      <c r="AT10" s="634"/>
      <c r="AU10" s="631"/>
      <c r="AV10" s="633"/>
      <c r="AW10" s="634"/>
      <c r="AX10" s="631"/>
      <c r="AY10" s="633"/>
      <c r="AZ10" s="634"/>
      <c r="BA10" s="631"/>
      <c r="BB10" s="633"/>
      <c r="BC10" s="634"/>
      <c r="BD10" s="631"/>
      <c r="BE10" s="633"/>
      <c r="BF10" s="634"/>
      <c r="BG10" s="631"/>
      <c r="BH10" s="633"/>
      <c r="BI10" s="634"/>
      <c r="BJ10" s="631"/>
      <c r="BK10" s="633"/>
      <c r="BL10" s="634"/>
      <c r="BM10" s="631"/>
      <c r="BN10" s="633"/>
      <c r="BO10" s="634"/>
      <c r="BP10" s="631"/>
      <c r="BQ10" s="633"/>
      <c r="BR10" s="634"/>
      <c r="BS10" s="631"/>
      <c r="BT10" s="633"/>
      <c r="BU10" s="634"/>
      <c r="BV10" s="631"/>
      <c r="BW10" s="633"/>
      <c r="BX10" s="634"/>
      <c r="BY10" s="631"/>
      <c r="BZ10" s="633"/>
      <c r="CA10" s="634"/>
      <c r="CB10" s="631"/>
      <c r="CC10" s="633"/>
      <c r="CD10" s="634"/>
      <c r="CE10" s="631"/>
      <c r="CF10" s="633"/>
      <c r="CG10" s="634"/>
      <c r="CH10" s="631"/>
      <c r="CI10" s="633"/>
      <c r="CJ10" s="634"/>
      <c r="CK10" s="631"/>
      <c r="CL10" s="633"/>
      <c r="CM10" s="634"/>
      <c r="CN10" s="631"/>
      <c r="CO10" s="633"/>
      <c r="CP10" s="634"/>
    </row>
    <row r="11" spans="1:94" x14ac:dyDescent="0.25">
      <c r="A11" s="22"/>
      <c r="B11" s="22"/>
      <c r="E11" s="22"/>
      <c r="F11" s="91"/>
      <c r="G11" s="22"/>
      <c r="H11" s="22"/>
      <c r="I11" s="2"/>
      <c r="J11" s="303"/>
      <c r="K11" s="91"/>
      <c r="L11" s="22"/>
      <c r="M11" s="303"/>
      <c r="N11" s="91"/>
      <c r="O11" s="22"/>
      <c r="P11" s="303"/>
      <c r="Q11" s="635" t="s">
        <v>441</v>
      </c>
      <c r="R11" s="22"/>
      <c r="S11" s="303"/>
      <c r="T11" s="91" t="s">
        <v>442</v>
      </c>
      <c r="U11" s="22"/>
      <c r="V11" s="303"/>
      <c r="W11" s="91" t="s">
        <v>443</v>
      </c>
      <c r="X11" s="22"/>
      <c r="Y11" s="303"/>
      <c r="Z11" s="91" t="s">
        <v>444</v>
      </c>
      <c r="AA11" s="22"/>
      <c r="AB11" s="303"/>
      <c r="AC11" s="636">
        <v>44742</v>
      </c>
      <c r="AD11" s="22"/>
      <c r="AE11" s="303"/>
      <c r="AF11" s="636">
        <v>44773</v>
      </c>
      <c r="AG11" s="22"/>
      <c r="AH11" s="303"/>
      <c r="AI11" s="636">
        <v>44804</v>
      </c>
      <c r="AJ11" s="22"/>
      <c r="AK11" s="303"/>
      <c r="AL11" s="636">
        <v>44834</v>
      </c>
      <c r="AM11" s="22"/>
      <c r="AN11" s="303"/>
      <c r="AO11" s="636">
        <v>44865</v>
      </c>
      <c r="AP11" s="22"/>
      <c r="AQ11" s="303"/>
      <c r="AR11" s="636">
        <v>44895</v>
      </c>
      <c r="AS11" s="22"/>
      <c r="AT11" s="303"/>
      <c r="AU11" s="636">
        <v>45291</v>
      </c>
      <c r="AV11" s="22"/>
      <c r="AW11" s="303"/>
      <c r="AX11" s="636">
        <v>44957</v>
      </c>
      <c r="AY11" s="22"/>
      <c r="AZ11" s="303"/>
      <c r="BA11" s="636">
        <v>44985</v>
      </c>
      <c r="BB11" s="22"/>
      <c r="BC11" s="303"/>
      <c r="BD11" s="636">
        <v>45016</v>
      </c>
      <c r="BE11" s="22"/>
      <c r="BF11" s="303"/>
      <c r="BG11" s="636">
        <v>45046</v>
      </c>
      <c r="BH11" s="22"/>
      <c r="BI11" s="303"/>
      <c r="BJ11" s="636">
        <v>45077</v>
      </c>
      <c r="BK11" s="22"/>
      <c r="BL11" s="303"/>
      <c r="BM11" s="637">
        <v>45107</v>
      </c>
      <c r="BN11" s="22"/>
      <c r="BO11" s="303"/>
      <c r="BP11" s="637">
        <v>45138</v>
      </c>
      <c r="BQ11" s="22"/>
      <c r="BR11" s="303"/>
      <c r="BS11" s="637">
        <v>45169</v>
      </c>
      <c r="BT11" s="22"/>
      <c r="BU11" s="303"/>
      <c r="BV11" s="637">
        <v>45199</v>
      </c>
      <c r="BW11" s="22"/>
      <c r="BX11" s="303"/>
      <c r="BY11" s="637">
        <v>45230</v>
      </c>
      <c r="BZ11" s="22"/>
      <c r="CA11" s="303"/>
      <c r="CB11" s="637">
        <v>45626</v>
      </c>
      <c r="CC11" s="22"/>
      <c r="CD11" s="303"/>
      <c r="CE11" s="637">
        <v>45291</v>
      </c>
      <c r="CF11" s="22"/>
      <c r="CG11" s="303"/>
      <c r="CH11" s="637">
        <v>45322</v>
      </c>
      <c r="CI11" s="22"/>
      <c r="CJ11" s="303"/>
      <c r="CK11" s="637">
        <v>45351</v>
      </c>
      <c r="CL11" s="22"/>
      <c r="CM11" s="303"/>
      <c r="CN11" s="637">
        <v>45382</v>
      </c>
      <c r="CO11" s="22"/>
      <c r="CP11" s="303"/>
    </row>
    <row r="12" spans="1:94" x14ac:dyDescent="0.25">
      <c r="A12" s="638">
        <f>+B12/B8</f>
        <v>5.4421409258233702E-2</v>
      </c>
      <c r="B12" s="621">
        <v>877051350</v>
      </c>
      <c r="D12" s="639">
        <f>+D4</f>
        <v>933438940</v>
      </c>
      <c r="E12" s="640"/>
      <c r="F12" s="641"/>
      <c r="G12" s="77">
        <f>+CE15</f>
        <v>0</v>
      </c>
      <c r="H12" s="642"/>
      <c r="I12" s="643">
        <v>933288049</v>
      </c>
      <c r="J12" s="303"/>
      <c r="K12" s="643">
        <v>933288049</v>
      </c>
      <c r="L12" s="142" t="s">
        <v>445</v>
      </c>
      <c r="M12" s="303"/>
      <c r="N12" s="624">
        <v>891947041</v>
      </c>
      <c r="O12" s="142"/>
      <c r="P12" s="303"/>
      <c r="Q12" s="644">
        <v>816342933.89999998</v>
      </c>
      <c r="R12" s="142"/>
      <c r="S12" s="303"/>
      <c r="T12" s="644">
        <v>872544226</v>
      </c>
      <c r="U12" s="142"/>
      <c r="V12" s="303"/>
      <c r="W12" s="644">
        <v>779717613</v>
      </c>
      <c r="X12" s="142"/>
      <c r="Y12" s="303"/>
      <c r="Z12" s="644">
        <v>777704345</v>
      </c>
      <c r="AA12" s="142" t="s">
        <v>445</v>
      </c>
      <c r="AB12" s="303"/>
      <c r="AC12" s="644">
        <v>724167793</v>
      </c>
      <c r="AD12" s="142" t="s">
        <v>445</v>
      </c>
      <c r="AE12" s="303"/>
      <c r="AF12" s="645">
        <v>791707034</v>
      </c>
      <c r="AG12" s="142" t="s">
        <v>446</v>
      </c>
      <c r="AH12" s="303"/>
      <c r="AI12" s="645">
        <v>756785125</v>
      </c>
      <c r="AJ12" s="142" t="s">
        <v>446</v>
      </c>
      <c r="AK12" s="303"/>
      <c r="AL12" s="645">
        <v>685233691</v>
      </c>
      <c r="AM12" s="142" t="s">
        <v>446</v>
      </c>
      <c r="AN12" s="303"/>
      <c r="AO12" s="645">
        <v>734831614.00999999</v>
      </c>
      <c r="AP12" s="142" t="s">
        <v>446</v>
      </c>
      <c r="AQ12" s="303"/>
      <c r="AR12" s="645">
        <v>771484177</v>
      </c>
      <c r="AS12" s="142" t="s">
        <v>446</v>
      </c>
      <c r="AT12" s="303"/>
      <c r="AU12" s="645">
        <v>716090466</v>
      </c>
      <c r="AV12" s="142" t="s">
        <v>446</v>
      </c>
      <c r="AW12" s="303"/>
      <c r="AX12" s="645">
        <v>756188822.99000001</v>
      </c>
      <c r="AY12" s="142" t="s">
        <v>446</v>
      </c>
      <c r="AZ12" s="303"/>
      <c r="BA12" s="645">
        <v>685751793</v>
      </c>
      <c r="BB12" s="142" t="s">
        <v>446</v>
      </c>
      <c r="BC12" s="303"/>
      <c r="BD12" s="645">
        <v>693022972.29999995</v>
      </c>
      <c r="BE12" s="142" t="s">
        <v>446</v>
      </c>
      <c r="BF12" s="303"/>
      <c r="BG12" s="645">
        <v>617466436</v>
      </c>
      <c r="BH12" s="142" t="s">
        <v>446</v>
      </c>
      <c r="BI12" s="303"/>
      <c r="BJ12" s="645">
        <v>580688652</v>
      </c>
      <c r="BK12" s="142" t="s">
        <v>446</v>
      </c>
      <c r="BL12" s="303"/>
      <c r="BM12" s="649">
        <v>575016688</v>
      </c>
      <c r="BN12" s="142" t="s">
        <v>446</v>
      </c>
      <c r="BO12" s="303"/>
      <c r="BP12" s="649">
        <v>565682328.01999998</v>
      </c>
      <c r="BQ12" s="142" t="s">
        <v>446</v>
      </c>
      <c r="BR12" s="303"/>
      <c r="BS12" s="649">
        <v>539833507.99000001</v>
      </c>
      <c r="BT12" s="142" t="s">
        <v>446</v>
      </c>
      <c r="BU12" s="303"/>
      <c r="BV12" s="649">
        <v>502642715.00999999</v>
      </c>
      <c r="BW12" s="142" t="s">
        <v>446</v>
      </c>
      <c r="BX12" s="303"/>
      <c r="BY12" s="649">
        <v>486283820.02999997</v>
      </c>
      <c r="BZ12" s="142" t="s">
        <v>446</v>
      </c>
      <c r="CA12" s="303"/>
      <c r="CB12" s="649">
        <v>543664923.51999998</v>
      </c>
      <c r="CC12" s="142" t="s">
        <v>446</v>
      </c>
      <c r="CD12" s="303"/>
      <c r="CE12" s="649">
        <v>574137287.16000009</v>
      </c>
      <c r="CF12" s="142" t="s">
        <v>446</v>
      </c>
      <c r="CG12" s="303"/>
      <c r="CH12" s="649">
        <v>558365330.52999997</v>
      </c>
      <c r="CI12" s="142" t="s">
        <v>446</v>
      </c>
      <c r="CJ12" s="303"/>
      <c r="CK12" s="649">
        <v>592062551.29999995</v>
      </c>
      <c r="CL12" s="142" t="s">
        <v>446</v>
      </c>
      <c r="CM12" s="303"/>
      <c r="CN12" s="827">
        <v>592062551</v>
      </c>
      <c r="CO12" s="142" t="s">
        <v>446</v>
      </c>
      <c r="CP12" s="303"/>
    </row>
    <row r="13" spans="1:94" x14ac:dyDescent="0.25">
      <c r="A13" s="22"/>
      <c r="B13" s="646" t="e">
        <f>+#REF!</f>
        <v>#REF!</v>
      </c>
      <c r="D13" s="646">
        <v>115878597.81</v>
      </c>
      <c r="E13" s="22" t="s">
        <v>447</v>
      </c>
      <c r="F13" s="91"/>
      <c r="G13" s="77">
        <v>109798690.17274198</v>
      </c>
      <c r="H13" s="22" t="s">
        <v>448</v>
      </c>
      <c r="I13" s="647">
        <f>+M21</f>
        <v>110158599.64148891</v>
      </c>
      <c r="J13" s="303"/>
      <c r="K13" s="648">
        <f>+M21</f>
        <v>110158599.64148891</v>
      </c>
      <c r="L13" s="96"/>
      <c r="M13" s="303"/>
      <c r="N13" s="648">
        <f>+O21</f>
        <v>95381217.50644882</v>
      </c>
      <c r="O13" s="96"/>
      <c r="P13" s="303"/>
      <c r="Q13" s="648">
        <f>+R21</f>
        <v>86000000</v>
      </c>
      <c r="R13" s="96"/>
      <c r="S13" s="614">
        <f>+N12-Q12</f>
        <v>75604107.100000024</v>
      </c>
      <c r="T13" s="648">
        <f>+U21</f>
        <v>92900000</v>
      </c>
      <c r="U13" s="96"/>
      <c r="V13" s="614">
        <f>+Q12-T12</f>
        <v>-56201292.100000024</v>
      </c>
      <c r="W13" s="648">
        <f>+X21</f>
        <v>81302162.35994789</v>
      </c>
      <c r="X13" s="96"/>
      <c r="Y13" s="614">
        <f>+T12-W12</f>
        <v>92826613</v>
      </c>
      <c r="Z13" s="648">
        <f>+AA21</f>
        <v>79707938.037253112</v>
      </c>
      <c r="AA13" s="96"/>
      <c r="AB13" s="614">
        <f>+W12-Z12</f>
        <v>2013268</v>
      </c>
      <c r="AC13" s="648">
        <f>+AD21</f>
        <v>74722165.551056966</v>
      </c>
      <c r="AD13" s="96"/>
      <c r="AE13" s="614">
        <f>+Z12-AC12</f>
        <v>53536552</v>
      </c>
      <c r="AF13" s="648">
        <f>+AG21</f>
        <v>83066348.910957307</v>
      </c>
      <c r="AG13" s="96"/>
      <c r="AH13" s="614">
        <f>+AC12-AF12</f>
        <v>-67539241</v>
      </c>
      <c r="AI13" s="648">
        <f>+AJ21</f>
        <v>82215825.139495939</v>
      </c>
      <c r="AJ13" s="96"/>
      <c r="AK13" s="614">
        <f>+AF12-AI12</f>
        <v>34921909</v>
      </c>
      <c r="AL13" s="648">
        <f>+AM21</f>
        <v>74775755.318642959</v>
      </c>
      <c r="AM13" s="96"/>
      <c r="AN13" s="614">
        <f>+AI12-AL12</f>
        <v>71551434</v>
      </c>
      <c r="AO13" s="648">
        <f>+AP21</f>
        <v>81847823.065275028</v>
      </c>
      <c r="AP13" s="96"/>
      <c r="AQ13" s="614">
        <f>+AL12-AO12</f>
        <v>-49597923.00999999</v>
      </c>
      <c r="AR13" s="648">
        <f>+AS21</f>
        <v>83069769.534420252</v>
      </c>
      <c r="AS13" s="96"/>
      <c r="AT13" s="614">
        <f>+AO12-AR12</f>
        <v>-36652562.99000001</v>
      </c>
      <c r="AU13" s="648">
        <f>+AV21</f>
        <v>77685066.836859137</v>
      </c>
      <c r="AV13" s="96"/>
      <c r="AW13" s="614">
        <f>+AR12-AU12</f>
        <v>55393711</v>
      </c>
      <c r="AX13" s="648">
        <f>+AY21</f>
        <v>85389807.398156822</v>
      </c>
      <c r="AY13" s="96"/>
      <c r="AZ13" s="614">
        <f>+AU12-AX12</f>
        <v>-40098356.99000001</v>
      </c>
      <c r="BA13" s="648">
        <f>+BB21</f>
        <v>84406093.100607395</v>
      </c>
      <c r="BB13" s="96"/>
      <c r="BC13" s="614">
        <f>+AX12-BA12</f>
        <v>70437029.99000001</v>
      </c>
      <c r="BD13" s="648">
        <f>+BE21</f>
        <v>82239840.766725332</v>
      </c>
      <c r="BE13" s="96"/>
      <c r="BF13" s="614">
        <f>+BA12-BD12</f>
        <v>-7271179.2999999523</v>
      </c>
      <c r="BG13" s="648">
        <f>+BH21</f>
        <v>81256554.047108755</v>
      </c>
      <c r="BH13" s="96"/>
      <c r="BI13" s="614"/>
      <c r="BJ13" s="728">
        <v>245274748</v>
      </c>
      <c r="BK13" s="142" t="s">
        <v>446</v>
      </c>
      <c r="BL13" s="303"/>
      <c r="BM13" s="649">
        <v>274223173</v>
      </c>
      <c r="BN13" s="142" t="s">
        <v>446</v>
      </c>
      <c r="BO13" s="303"/>
      <c r="BP13" s="649">
        <v>285204000</v>
      </c>
      <c r="BQ13" s="142" t="s">
        <v>446</v>
      </c>
      <c r="BR13" s="303"/>
      <c r="BS13" s="649">
        <v>280400000</v>
      </c>
      <c r="BT13" s="142" t="s">
        <v>446</v>
      </c>
      <c r="BU13" s="303"/>
      <c r="BV13" s="649">
        <v>259305000</v>
      </c>
      <c r="BW13" s="142" t="s">
        <v>446</v>
      </c>
      <c r="BX13" s="303"/>
      <c r="BY13" s="649">
        <v>247592273</v>
      </c>
      <c r="BZ13" s="142" t="s">
        <v>446</v>
      </c>
      <c r="CA13" s="303"/>
      <c r="CB13" s="649">
        <v>265600000</v>
      </c>
      <c r="CC13" s="142" t="s">
        <v>446</v>
      </c>
      <c r="CD13" s="303"/>
      <c r="CE13" s="649">
        <v>285995000</v>
      </c>
      <c r="CF13" s="142" t="s">
        <v>446</v>
      </c>
      <c r="CG13" s="303"/>
      <c r="CH13" s="649">
        <v>282014631</v>
      </c>
      <c r="CI13" s="142" t="s">
        <v>785</v>
      </c>
      <c r="CJ13" s="303"/>
      <c r="CK13" s="649">
        <v>288800000</v>
      </c>
      <c r="CL13" s="142" t="s">
        <v>446</v>
      </c>
      <c r="CM13" s="303"/>
      <c r="CN13" s="827">
        <v>288800000</v>
      </c>
      <c r="CO13" s="142" t="s">
        <v>446</v>
      </c>
      <c r="CP13" s="303"/>
    </row>
    <row r="14" spans="1:94" x14ac:dyDescent="0.25">
      <c r="A14" s="22"/>
      <c r="B14" s="22"/>
      <c r="E14" s="22" t="s">
        <v>450</v>
      </c>
      <c r="F14" s="91"/>
      <c r="G14" s="22"/>
      <c r="H14" s="22"/>
      <c r="I14" s="91"/>
      <c r="J14" s="303"/>
      <c r="K14" s="91"/>
      <c r="L14" s="22"/>
      <c r="M14" s="303"/>
      <c r="N14" s="91"/>
      <c r="O14" s="22"/>
      <c r="P14" s="303"/>
      <c r="Q14" s="91"/>
      <c r="R14" s="22"/>
      <c r="S14" s="303"/>
      <c r="T14" s="91"/>
      <c r="U14" s="22"/>
      <c r="V14" s="303"/>
      <c r="W14" s="91"/>
      <c r="X14" s="22"/>
      <c r="Y14" s="303"/>
      <c r="Z14" s="91"/>
      <c r="AA14" s="22"/>
      <c r="AB14" s="303"/>
      <c r="AC14" s="91"/>
      <c r="AD14" s="22"/>
      <c r="AE14" s="303"/>
      <c r="AF14" s="91"/>
      <c r="AG14" s="22"/>
      <c r="AH14" s="303"/>
      <c r="AI14" s="91"/>
      <c r="AJ14" s="22"/>
      <c r="AK14" s="303"/>
      <c r="AL14" s="91"/>
      <c r="AM14" s="22"/>
      <c r="AN14" s="303"/>
      <c r="AO14" s="91"/>
      <c r="AP14" s="22"/>
      <c r="AQ14" s="303"/>
      <c r="AR14" s="91"/>
      <c r="AS14" s="22"/>
      <c r="AT14" s="303"/>
      <c r="AU14" s="91"/>
      <c r="AV14" s="22"/>
      <c r="AW14" s="303"/>
      <c r="AX14" s="91"/>
      <c r="AY14" s="22"/>
      <c r="AZ14" s="303"/>
      <c r="BA14" s="91"/>
      <c r="BB14" s="22"/>
      <c r="BC14" s="303"/>
      <c r="BD14" s="91"/>
      <c r="BE14" s="22"/>
      <c r="BF14" s="303"/>
      <c r="BG14" s="91"/>
      <c r="BH14" s="22"/>
      <c r="BI14" s="303"/>
      <c r="BJ14" s="648">
        <v>79166596.439999998</v>
      </c>
      <c r="BK14" s="96" t="s">
        <v>451</v>
      </c>
      <c r="BL14" s="614"/>
      <c r="BM14" s="648">
        <f>+BN22</f>
        <v>87865554.892445832</v>
      </c>
      <c r="BN14" s="96"/>
      <c r="BO14" s="614"/>
      <c r="BP14" s="648">
        <f>+BQ22</f>
        <v>91955907.924229577</v>
      </c>
      <c r="BQ14" s="96"/>
      <c r="BR14" s="614"/>
      <c r="BS14" s="648">
        <f>+BT22</f>
        <v>87094275.564542487</v>
      </c>
      <c r="BT14" s="96"/>
      <c r="BU14" s="614"/>
      <c r="BV14" s="648">
        <f>+BW22</f>
        <v>81309359.921817839</v>
      </c>
      <c r="BW14" s="96"/>
      <c r="BX14" s="614"/>
      <c r="BY14" s="648">
        <f>+BZ22</f>
        <v>75018548.321522653</v>
      </c>
      <c r="BZ14" s="96"/>
      <c r="CA14" s="614"/>
      <c r="CB14" s="648">
        <f>+CC22</f>
        <v>81762877.582612142</v>
      </c>
      <c r="CC14" s="96"/>
      <c r="CD14" s="614"/>
      <c r="CE14" s="648">
        <f>+CF22</f>
        <v>91507378.672652051</v>
      </c>
      <c r="CF14" s="96"/>
      <c r="CG14" s="614"/>
      <c r="CH14" s="648">
        <f>+CI22</f>
        <v>88554953.046205133</v>
      </c>
      <c r="CI14" s="96"/>
      <c r="CJ14" s="614"/>
      <c r="CK14" s="648">
        <f>+CL22</f>
        <v>95694649.36921899</v>
      </c>
      <c r="CL14" s="96"/>
      <c r="CM14" s="614"/>
      <c r="CN14" s="648">
        <f>+CO22</f>
        <v>98296603.616692558</v>
      </c>
      <c r="CO14" s="96"/>
      <c r="CP14" s="614"/>
    </row>
    <row r="15" spans="1:94" x14ac:dyDescent="0.25">
      <c r="A15" s="638" t="e">
        <f>+B15/B8</f>
        <v>#REF!</v>
      </c>
      <c r="B15" s="651" t="e">
        <f>SUM(B12:B14)</f>
        <v>#REF!</v>
      </c>
      <c r="C15" s="638">
        <f>+D15/D8</f>
        <v>6.4628593681162347E-2</v>
      </c>
      <c r="D15" s="651">
        <f>SUM(D12:D14)</f>
        <v>1049317537.8099999</v>
      </c>
      <c r="E15" s="621">
        <v>1043756734</v>
      </c>
      <c r="F15" s="652">
        <f>+G15/G8</f>
        <v>6.7591384995236521E-3</v>
      </c>
      <c r="G15" s="651">
        <f>SUM(G12:G14)</f>
        <v>109798690.17274198</v>
      </c>
      <c r="H15" s="91"/>
      <c r="I15" s="651">
        <f>SUM(I12:I14)</f>
        <v>1043446648.6414889</v>
      </c>
      <c r="J15" s="653">
        <f>+I15/I8</f>
        <v>6.4760147654572192E-2</v>
      </c>
      <c r="K15" s="651">
        <f>SUM(K12:K14)</f>
        <v>1043446648.6414889</v>
      </c>
      <c r="L15" s="654">
        <f>+K15/L8</f>
        <v>6.4760147654572192E-2</v>
      </c>
      <c r="M15" s="655">
        <f>+K15-I15</f>
        <v>0</v>
      </c>
      <c r="N15" s="651">
        <f>SUM(N12:N14)</f>
        <v>987328258.50644886</v>
      </c>
      <c r="O15" s="654">
        <f>+N15/O8</f>
        <v>6.1345308187910272E-2</v>
      </c>
      <c r="P15" s="656">
        <v>979993900</v>
      </c>
      <c r="Q15" s="651">
        <f>SUM(Q12:Q14)</f>
        <v>902342933.89999998</v>
      </c>
      <c r="R15" s="654">
        <f>+Q15/R8</f>
        <v>5.5766019431336029E-2</v>
      </c>
      <c r="S15" s="656">
        <v>947996597</v>
      </c>
      <c r="T15" s="651">
        <f>SUM(T12:T14)</f>
        <v>965444226</v>
      </c>
      <c r="U15" s="654">
        <f>+T15/U8</f>
        <v>5.9554516720025166E-2</v>
      </c>
      <c r="V15" s="656">
        <v>968473041</v>
      </c>
      <c r="W15" s="651">
        <f>SUM(W12:W14)</f>
        <v>861019775.35994792</v>
      </c>
      <c r="X15" s="654">
        <f>+W15/X8</f>
        <v>5.3153043627704379E-2</v>
      </c>
      <c r="Y15" s="656">
        <v>864591498</v>
      </c>
      <c r="Z15" s="651">
        <f>SUM(Z12:Z14)</f>
        <v>857412283.03725314</v>
      </c>
      <c r="AA15" s="654">
        <f>+Z15/AA8</f>
        <v>5.2930343519876258E-2</v>
      </c>
      <c r="AB15" s="655"/>
      <c r="AC15" s="651">
        <f>SUM(AC12:AC14)</f>
        <v>798889958.55105698</v>
      </c>
      <c r="AD15" s="654">
        <f>+AC15/AD8</f>
        <v>5.0131002291977381E-2</v>
      </c>
      <c r="AE15" s="656">
        <v>799336914</v>
      </c>
      <c r="AF15" s="651">
        <f>SUM(AF12:AF14)</f>
        <v>874773382.91095734</v>
      </c>
      <c r="AG15" s="654">
        <f>+AF15/AG8</f>
        <v>5.4300377681602355E-2</v>
      </c>
      <c r="AH15" s="656">
        <v>876783987</v>
      </c>
      <c r="AI15" s="651">
        <f>SUM(AI12:AI14)</f>
        <v>839000950.13949597</v>
      </c>
      <c r="AJ15" s="654">
        <f>+AI15/AJ8</f>
        <v>5.1863527379738629E-2</v>
      </c>
      <c r="AK15" s="656">
        <v>842990829</v>
      </c>
      <c r="AL15" s="651">
        <f>SUM(AL12:AL14)</f>
        <v>760009446.31864297</v>
      </c>
      <c r="AM15" s="654">
        <f>+AL15/AM8</f>
        <v>4.7586519752959092E-2</v>
      </c>
      <c r="AN15" s="656">
        <v>764585327</v>
      </c>
      <c r="AO15" s="651">
        <f>SUM(AO12:AO14)</f>
        <v>816679437.07527506</v>
      </c>
      <c r="AP15" s="654">
        <f>+AO15/AP8</f>
        <v>5.072459911683902E-2</v>
      </c>
      <c r="AQ15" s="656">
        <v>819461719</v>
      </c>
      <c r="AR15" s="651">
        <f>SUM(AR12:AR14)</f>
        <v>854553946.53442025</v>
      </c>
      <c r="AS15" s="654">
        <f>+AR15/AS8</f>
        <v>5.2928809734670304E-2</v>
      </c>
      <c r="AT15" s="656">
        <v>859897958</v>
      </c>
      <c r="AU15" s="651">
        <f>SUM(AU12:AU14)</f>
        <v>793775532.83685911</v>
      </c>
      <c r="AV15" s="654">
        <f>+AU15/AV8</f>
        <v>4.9458595053268953E-2</v>
      </c>
      <c r="AW15" s="656">
        <v>796848605</v>
      </c>
      <c r="AX15" s="651">
        <f>SUM(AX12:AX14)</f>
        <v>841578630.38815689</v>
      </c>
      <c r="AY15" s="654">
        <f>+AX15/AY8</f>
        <v>5.20109729122099E-2</v>
      </c>
      <c r="AZ15" s="656">
        <v>843352245</v>
      </c>
      <c r="BA15" s="651">
        <f>SUM(BA12:BA14)</f>
        <v>770157886.1006074</v>
      </c>
      <c r="BB15" s="654">
        <f>+BA15/BB8</f>
        <v>4.7589615806882583E-2</v>
      </c>
      <c r="BC15" s="656">
        <v>772469985</v>
      </c>
      <c r="BD15" s="651">
        <f>SUM(BD12:BD14)</f>
        <v>775262813.06672525</v>
      </c>
      <c r="BE15" s="654">
        <f>+BD15/BE8</f>
        <v>4.7868402508955937E-2</v>
      </c>
      <c r="BF15" s="656">
        <v>718850981</v>
      </c>
      <c r="BG15" s="651">
        <f>SUM(BG12:BG14)</f>
        <v>698722990.04710877</v>
      </c>
      <c r="BH15" s="654">
        <f>+BG15/BH8</f>
        <v>4.2945774863436918E-2</v>
      </c>
      <c r="BI15" s="656">
        <v>701267183</v>
      </c>
      <c r="BJ15" s="91"/>
      <c r="BK15" s="22"/>
      <c r="BL15" s="657">
        <v>663882248</v>
      </c>
      <c r="BM15" s="22"/>
      <c r="BN15" s="22"/>
      <c r="BO15" s="657">
        <v>666081574</v>
      </c>
      <c r="BP15" s="91"/>
      <c r="BQ15" s="22"/>
      <c r="BR15" s="657">
        <v>657852799</v>
      </c>
      <c r="BS15" s="91"/>
      <c r="BT15" s="22"/>
      <c r="BU15" s="657">
        <v>626166380</v>
      </c>
      <c r="BV15" s="91"/>
      <c r="BW15" s="22"/>
      <c r="BX15" s="657">
        <v>583525721</v>
      </c>
      <c r="BY15" s="91"/>
      <c r="BZ15" s="22"/>
      <c r="CA15" s="657">
        <v>561593434</v>
      </c>
      <c r="CB15" s="91"/>
      <c r="CC15" s="22"/>
      <c r="CD15" s="657">
        <v>618942122</v>
      </c>
      <c r="CE15" s="91"/>
      <c r="CF15" s="22"/>
      <c r="CG15" s="657">
        <v>663837302</v>
      </c>
      <c r="CH15" s="91"/>
      <c r="CI15" s="22"/>
      <c r="CJ15" s="825">
        <v>647779965</v>
      </c>
      <c r="CK15" s="91"/>
      <c r="CL15" s="22"/>
      <c r="CM15" s="825">
        <v>691249166</v>
      </c>
      <c r="CN15" s="91"/>
      <c r="CO15" s="22"/>
      <c r="CP15" s="815">
        <v>691249166</v>
      </c>
    </row>
    <row r="16" spans="1:94" x14ac:dyDescent="0.25">
      <c r="A16" s="22"/>
      <c r="B16" s="650" t="e">
        <f>+B9-B15</f>
        <v>#REF!</v>
      </c>
      <c r="C16" s="22"/>
      <c r="D16" s="650">
        <f>+D9-D15</f>
        <v>-34560100.309999943</v>
      </c>
      <c r="E16" s="22"/>
      <c r="F16" s="91"/>
      <c r="G16" s="22"/>
      <c r="H16" s="22"/>
      <c r="I16" s="658"/>
      <c r="J16" s="614">
        <f>+D9-I15</f>
        <v>-28689211.14148891</v>
      </c>
      <c r="K16" s="658"/>
      <c r="L16" s="650">
        <f>+D9-K15</f>
        <v>-28689211.14148891</v>
      </c>
      <c r="M16" s="659">
        <f>+(L16+J16)/2</f>
        <v>-28689211.14148891</v>
      </c>
      <c r="N16" s="658"/>
      <c r="O16" s="650">
        <f>+G9-N15</f>
        <v>-987328258.50644886</v>
      </c>
      <c r="P16" s="660">
        <f>+P15/O8</f>
        <v>6.0889605153927086E-2</v>
      </c>
      <c r="Q16" s="658"/>
      <c r="R16" s="650"/>
      <c r="S16" s="660">
        <f>+S15/R8</f>
        <v>5.85874778457579E-2</v>
      </c>
      <c r="T16" s="658"/>
      <c r="U16" s="650"/>
      <c r="V16" s="660">
        <f>+V15/U8</f>
        <v>5.9741352591742694E-2</v>
      </c>
      <c r="W16" s="658"/>
      <c r="X16" s="650"/>
      <c r="Y16" s="660">
        <f>+Y15/X8</f>
        <v>5.337353557776834E-2</v>
      </c>
      <c r="Z16" s="658"/>
      <c r="AA16" s="650"/>
      <c r="AB16" s="28"/>
      <c r="AC16" s="658"/>
      <c r="AD16" s="650"/>
      <c r="AE16" s="660">
        <f>+AE15/AD8</f>
        <v>5.0159049114190557E-2</v>
      </c>
      <c r="AF16" s="658"/>
      <c r="AG16" s="650"/>
      <c r="AH16" s="660">
        <f>+AH15/AG8</f>
        <v>5.4425183218140154E-2</v>
      </c>
      <c r="AI16" s="658"/>
      <c r="AJ16" s="650"/>
      <c r="AK16" s="660">
        <f>+AK15/AJ8</f>
        <v>5.2110164992591378E-2</v>
      </c>
      <c r="AL16" s="658"/>
      <c r="AM16" s="650"/>
      <c r="AN16" s="660">
        <f>+AN15/AM8</f>
        <v>4.7873029660810008E-2</v>
      </c>
      <c r="AO16" s="658"/>
      <c r="AP16" s="650"/>
      <c r="AQ16" s="660">
        <f>+AQ15/AP8</f>
        <v>5.0897408825097523E-2</v>
      </c>
      <c r="AR16" s="658"/>
      <c r="AS16" s="650"/>
      <c r="AT16" s="660">
        <f>+AT15/AS8</f>
        <v>5.3259803661067404E-2</v>
      </c>
      <c r="AU16" s="658"/>
      <c r="AV16" s="650"/>
      <c r="AW16" s="660">
        <f>+AW15/AV8</f>
        <v>4.9650072146475724E-2</v>
      </c>
      <c r="AX16" s="658"/>
      <c r="AY16" s="650"/>
      <c r="AZ16" s="660">
        <f>+AZ15/AY8</f>
        <v>5.2120585274266586E-2</v>
      </c>
      <c r="BA16" s="658"/>
      <c r="BB16" s="650"/>
      <c r="BC16" s="660">
        <f>+BC15/BB8</f>
        <v>4.7732485081242303E-2</v>
      </c>
      <c r="BD16" s="658"/>
      <c r="BE16" s="650"/>
      <c r="BF16" s="660">
        <f>+BF15/BE8</f>
        <v>4.4385268482501322E-2</v>
      </c>
      <c r="BG16" s="658"/>
      <c r="BH16" s="650"/>
      <c r="BI16" s="660">
        <f>+BI15/BH8</f>
        <v>4.3102149191060861E-2</v>
      </c>
      <c r="BJ16" s="651">
        <f>SUM(BJ12:BJ15)</f>
        <v>905129996.44000006</v>
      </c>
      <c r="BK16" s="654">
        <f>+BJ16/BK8</f>
        <v>5.5740382235425018E-2</v>
      </c>
      <c r="BL16" s="420">
        <v>272674478</v>
      </c>
      <c r="BM16" s="661">
        <f>SUM(BM12:BM15)</f>
        <v>937105415.8924458</v>
      </c>
      <c r="BN16" s="654">
        <f>+BM16/BN8</f>
        <v>5.7744276466268243E-2</v>
      </c>
      <c r="BO16" s="420">
        <v>301283903</v>
      </c>
      <c r="BP16" s="651">
        <f>SUM(BP12:BP15)</f>
        <v>942842235.9442296</v>
      </c>
      <c r="BQ16" s="654">
        <f>+BP16/BQ8</f>
        <v>5.7988248246252636E-2</v>
      </c>
      <c r="BR16" s="420">
        <v>312473150</v>
      </c>
      <c r="BS16" s="651">
        <f>SUM(BS12:BS15)</f>
        <v>907327783.55454254</v>
      </c>
      <c r="BT16" s="654">
        <f>+BS16/BT8</f>
        <v>5.5892655848263355E-2</v>
      </c>
      <c r="BU16" s="420">
        <v>311783056</v>
      </c>
      <c r="BV16" s="651">
        <f>SUM(BV12:BV15)</f>
        <v>843257074.93181777</v>
      </c>
      <c r="BW16" s="654">
        <f>+BV16/BW8</f>
        <v>5.1907820298069209E-2</v>
      </c>
      <c r="BX16" s="420">
        <v>292121267</v>
      </c>
      <c r="BY16" s="651">
        <f>SUM(BY12:BY15)</f>
        <v>808894641.35152268</v>
      </c>
      <c r="BZ16" s="654">
        <f>+BY16/BZ8</f>
        <v>4.9888891254233951E-2</v>
      </c>
      <c r="CA16" s="420">
        <v>280409003</v>
      </c>
      <c r="CB16" s="651">
        <f>SUM(CB12:CB15)</f>
        <v>891027801.10261214</v>
      </c>
      <c r="CC16" s="654">
        <f>+CB16/CC8</f>
        <v>5.4846861758804086E-2</v>
      </c>
      <c r="CD16" s="420">
        <v>298380728</v>
      </c>
      <c r="CE16" s="651">
        <f>SUM(CE12:CE15)</f>
        <v>951639665.83265209</v>
      </c>
      <c r="CF16" s="654">
        <f>+CE16/CF8</f>
        <v>5.7997877146324268E-2</v>
      </c>
      <c r="CG16" s="420">
        <v>318771923</v>
      </c>
      <c r="CH16" s="651">
        <f>SUM(CH12:CH15)</f>
        <v>928934914.57620513</v>
      </c>
      <c r="CI16" s="654">
        <f>+(CH16+CH17)/CI8</f>
        <v>5.8483711034360279E-2</v>
      </c>
      <c r="CJ16" s="826">
        <v>314831361</v>
      </c>
      <c r="CK16" s="651">
        <f>SUM(CK12:CK15)</f>
        <v>976557200.6692189</v>
      </c>
      <c r="CL16" s="654">
        <f>+(CK16+CK17)/CL8</f>
        <v>6.130370949453931E-2</v>
      </c>
      <c r="CM16" s="826">
        <v>321656990</v>
      </c>
      <c r="CN16" s="651">
        <f>SUM(CN12:CN15)</f>
        <v>979159154.61669254</v>
      </c>
      <c r="CO16" s="654">
        <f>+(CN16+CN17)/CO8</f>
        <v>6.1461731276270297E-2</v>
      </c>
      <c r="CP16" s="816">
        <v>321656990</v>
      </c>
    </row>
    <row r="17" spans="1:94" x14ac:dyDescent="0.25">
      <c r="A17" s="22"/>
      <c r="B17" s="22" t="s">
        <v>452</v>
      </c>
      <c r="C17" s="22"/>
      <c r="D17" s="22" t="s">
        <v>452</v>
      </c>
      <c r="E17" s="22"/>
      <c r="F17" s="91"/>
      <c r="G17" s="651">
        <v>1040691791</v>
      </c>
      <c r="H17" s="22" t="s">
        <v>453</v>
      </c>
      <c r="I17" s="662"/>
      <c r="J17" s="303"/>
      <c r="K17" s="662"/>
      <c r="L17" s="22"/>
      <c r="M17" s="663" t="s">
        <v>454</v>
      </c>
      <c r="N17" s="664">
        <f>0.0625*O8</f>
        <v>1005912562.5</v>
      </c>
      <c r="O17" s="665">
        <v>6.25E-2</v>
      </c>
      <c r="P17" s="666" t="s">
        <v>455</v>
      </c>
      <c r="Q17" s="664">
        <f>0.0625*R8</f>
        <v>1011304625</v>
      </c>
      <c r="R17" s="665">
        <v>6.25E-2</v>
      </c>
      <c r="S17" s="667" t="s">
        <v>455</v>
      </c>
      <c r="T17" s="664">
        <f>0.0625*U8</f>
        <v>1013193750</v>
      </c>
      <c r="U17" s="665">
        <v>6.25E-2</v>
      </c>
      <c r="V17" s="667" t="s">
        <v>455</v>
      </c>
      <c r="W17" s="664">
        <f>0.0625*X8</f>
        <v>1012430000</v>
      </c>
      <c r="X17" s="665">
        <v>6.25E-2</v>
      </c>
      <c r="Y17" s="667" t="s">
        <v>455</v>
      </c>
      <c r="Z17" s="664">
        <f>0.0625*AA8</f>
        <v>1012430000</v>
      </c>
      <c r="AA17" s="665">
        <v>6.25E-2</v>
      </c>
      <c r="AB17" s="28"/>
      <c r="AC17" s="664">
        <f>0.0625*AD8</f>
        <v>996002875</v>
      </c>
      <c r="AD17" s="665">
        <v>6.25E-2</v>
      </c>
      <c r="AE17" s="667" t="s">
        <v>455</v>
      </c>
      <c r="AF17" s="664">
        <f>0.0625*AG8</f>
        <v>1006868437.5</v>
      </c>
      <c r="AG17" s="665">
        <v>6.25E-2</v>
      </c>
      <c r="AH17" s="667" t="s">
        <v>455</v>
      </c>
      <c r="AI17" s="664">
        <f>0.0625*AJ8</f>
        <v>1011068125</v>
      </c>
      <c r="AJ17" s="665">
        <v>6.25E-2</v>
      </c>
      <c r="AK17" s="667" t="s">
        <v>455</v>
      </c>
      <c r="AL17" s="664">
        <f>0.0625*AM8</f>
        <v>998194250</v>
      </c>
      <c r="AM17" s="665">
        <v>6.25E-2</v>
      </c>
      <c r="AN17" s="667" t="s">
        <v>455</v>
      </c>
      <c r="AO17" s="664">
        <f>0.0625*AP8</f>
        <v>1006266500</v>
      </c>
      <c r="AP17" s="665">
        <v>6.25E-2</v>
      </c>
      <c r="AQ17" s="667" t="s">
        <v>455</v>
      </c>
      <c r="AR17" s="664">
        <f>0.0625*AS8</f>
        <v>1009084125</v>
      </c>
      <c r="AS17" s="665">
        <v>6.25E-2</v>
      </c>
      <c r="AT17" s="667" t="s">
        <v>455</v>
      </c>
      <c r="AU17" s="664">
        <f>0.0625*AV8</f>
        <v>1003080875</v>
      </c>
      <c r="AV17" s="665">
        <v>6.25E-2</v>
      </c>
      <c r="AW17" s="667" t="s">
        <v>455</v>
      </c>
      <c r="AX17" s="664">
        <f>0.0625*AY8</f>
        <v>1011299375</v>
      </c>
      <c r="AY17" s="665">
        <v>6.25E-2</v>
      </c>
      <c r="AZ17" s="667" t="s">
        <v>455</v>
      </c>
      <c r="BA17" s="664">
        <f>0.0625*BB8</f>
        <v>1011457375</v>
      </c>
      <c r="BB17" s="665">
        <v>6.25E-2</v>
      </c>
      <c r="BC17" s="667" t="s">
        <v>455</v>
      </c>
      <c r="BD17" s="664">
        <f>0.0625*BE8</f>
        <v>1012231937.5</v>
      </c>
      <c r="BE17" s="665">
        <v>6.25E-2</v>
      </c>
      <c r="BF17" s="667" t="s">
        <v>455</v>
      </c>
      <c r="BG17" s="664">
        <f>0.0625*BH8</f>
        <v>1016868062.5</v>
      </c>
      <c r="BH17" s="665">
        <v>6.25E-2</v>
      </c>
      <c r="BI17" s="667" t="s">
        <v>455</v>
      </c>
      <c r="BJ17" s="658"/>
      <c r="BK17" s="650"/>
      <c r="BL17" s="660">
        <f>+(BL16+BL15)/BK8</f>
        <v>5.7675726246753281E-2</v>
      </c>
      <c r="BM17" s="650"/>
      <c r="BN17" s="650"/>
      <c r="BO17" s="660">
        <f>+(BO16+BO15)/BN8</f>
        <v>5.9608896289019678E-2</v>
      </c>
      <c r="BP17" s="658"/>
      <c r="BQ17" s="650"/>
      <c r="BR17" s="660">
        <f>+(BR16+BR15)/BQ8</f>
        <v>5.967859718762214E-2</v>
      </c>
      <c r="BS17" s="658"/>
      <c r="BT17" s="650"/>
      <c r="BU17" s="660">
        <f>+(BU16+BU15)/BT8</f>
        <v>5.7778992310852456E-2</v>
      </c>
      <c r="BV17" s="658"/>
      <c r="BW17" s="650"/>
      <c r="BX17" s="660">
        <f>+(BX16+BX15)/BW8</f>
        <v>5.3901624841184638E-2</v>
      </c>
      <c r="BY17" s="658">
        <f>+CA32</f>
        <v>32816730</v>
      </c>
      <c r="BZ17" s="650"/>
      <c r="CA17" s="660">
        <f>+(CA16+CA15)/BZ8</f>
        <v>5.1930827412958604E-2</v>
      </c>
      <c r="CB17" s="658">
        <f>+CD32</f>
        <v>32780728</v>
      </c>
      <c r="CC17" s="650"/>
      <c r="CD17" s="660">
        <f>+(CD16+CD15)/CC8</f>
        <v>5.6465443030938756E-2</v>
      </c>
      <c r="CE17" s="658">
        <f>+CG32</f>
        <v>32776923</v>
      </c>
      <c r="CF17" s="650"/>
      <c r="CG17" s="660">
        <f>+(CG16+CG15)/CF8</f>
        <v>5.988532336399751E-2</v>
      </c>
      <c r="CH17" s="658">
        <f>+CJ32</f>
        <v>32816730</v>
      </c>
      <c r="CI17" s="650"/>
      <c r="CJ17" s="660">
        <f>+(CJ16+CJ15)/CI8</f>
        <v>5.8535987898407631E-2</v>
      </c>
      <c r="CK17" s="658">
        <f>+CM32</f>
        <v>32856990</v>
      </c>
      <c r="CL17" s="650"/>
      <c r="CM17" s="660">
        <f>+(CM16+CM15)/CL8</f>
        <v>6.151578341838744E-2</v>
      </c>
      <c r="CN17" s="658">
        <f>+CP32</f>
        <v>32856990</v>
      </c>
      <c r="CO17" s="650"/>
      <c r="CP17" s="660">
        <f>+(CP16+CP15)/CO8</f>
        <v>6.151578341838744E-2</v>
      </c>
    </row>
    <row r="18" spans="1:94" x14ac:dyDescent="0.25">
      <c r="A18" s="22"/>
      <c r="B18" s="22"/>
      <c r="E18" s="22"/>
      <c r="F18" s="91"/>
      <c r="G18" s="668">
        <f>+G17-G15</f>
        <v>930893100.82725799</v>
      </c>
      <c r="H18" s="669" t="s">
        <v>456</v>
      </c>
      <c r="I18" s="91"/>
      <c r="J18" s="670"/>
      <c r="K18" s="91"/>
      <c r="L18" s="613"/>
      <c r="M18" s="659">
        <f>+AVERAGE(K15,I15)</f>
        <v>1043446648.6414889</v>
      </c>
      <c r="N18" s="671">
        <f>+N17-N15</f>
        <v>18584303.993551135</v>
      </c>
      <c r="O18" s="672"/>
      <c r="P18" s="337">
        <f>+N17-P15</f>
        <v>25918662.5</v>
      </c>
      <c r="Q18" s="671">
        <f>+Q17-Q15</f>
        <v>108961691.10000002</v>
      </c>
      <c r="R18" s="672"/>
      <c r="S18" s="336">
        <f>+Q17-S15</f>
        <v>63308028</v>
      </c>
      <c r="T18" s="671">
        <f>+T17-T15</f>
        <v>47749524</v>
      </c>
      <c r="U18" s="672"/>
      <c r="V18" s="336">
        <f>+T17-V15</f>
        <v>44720709</v>
      </c>
      <c r="W18" s="671">
        <f>+W17-W15</f>
        <v>151410224.64005208</v>
      </c>
      <c r="X18" s="672"/>
      <c r="Y18" s="336">
        <f>+W17-Y15</f>
        <v>147838502</v>
      </c>
      <c r="Z18" s="671">
        <f>+Z17-Z15</f>
        <v>155017716.96274686</v>
      </c>
      <c r="AA18" s="672"/>
      <c r="AB18" s="28"/>
      <c r="AC18" s="671">
        <f>+AC17-AC15</f>
        <v>197112916.44894302</v>
      </c>
      <c r="AD18" s="672"/>
      <c r="AE18" s="336">
        <f>+AC17-AE15</f>
        <v>196665961</v>
      </c>
      <c r="AF18" s="671">
        <f>+AF17-AF15</f>
        <v>132095054.58904266</v>
      </c>
      <c r="AG18" s="672"/>
      <c r="AH18" s="336">
        <f>+AF17-AH15</f>
        <v>130084450.5</v>
      </c>
      <c r="AI18" s="671">
        <f>+AI17-AI15</f>
        <v>172067174.86050403</v>
      </c>
      <c r="AJ18" s="672"/>
      <c r="AK18" s="336">
        <f>+AI17-AK15</f>
        <v>168077296</v>
      </c>
      <c r="AL18" s="671">
        <f>+AL17-AL15</f>
        <v>238184803.68135703</v>
      </c>
      <c r="AM18" s="672"/>
      <c r="AN18" s="336">
        <f>+AL17-AN15</f>
        <v>233608923</v>
      </c>
      <c r="AO18" s="671">
        <f>+AO17-AO15</f>
        <v>189587062.92472494</v>
      </c>
      <c r="AP18" s="672"/>
      <c r="AQ18" s="336">
        <f>+AO17-AQ15</f>
        <v>186804781</v>
      </c>
      <c r="AR18" s="671">
        <f>+AR17-AR15</f>
        <v>154530178.46557975</v>
      </c>
      <c r="AS18" s="672"/>
      <c r="AT18" s="336">
        <f>+AR17-AT15</f>
        <v>149186167</v>
      </c>
      <c r="AU18" s="671">
        <f>+AU17-AU15</f>
        <v>209305342.16314089</v>
      </c>
      <c r="AV18" s="672"/>
      <c r="AW18" s="336">
        <f>+AU17-AW15</f>
        <v>206232270</v>
      </c>
      <c r="AX18" s="671">
        <f>+AX17-AX15</f>
        <v>169720744.61184311</v>
      </c>
      <c r="AY18" s="672"/>
      <c r="AZ18" s="336">
        <f>+AX17-AZ15</f>
        <v>167947130</v>
      </c>
      <c r="BA18" s="671">
        <f>+BA17-BA15</f>
        <v>241299488.8993926</v>
      </c>
      <c r="BB18" s="672"/>
      <c r="BC18" s="336">
        <f>+BA17-BC15</f>
        <v>238987390</v>
      </c>
      <c r="BD18" s="671">
        <f>+BD17-BD15</f>
        <v>236969124.43327475</v>
      </c>
      <c r="BE18" s="672"/>
      <c r="BF18" s="336">
        <f>+BD17-BF15</f>
        <v>293380956.5</v>
      </c>
      <c r="BG18" s="671">
        <f>+BG17-BG15</f>
        <v>318145072.45289123</v>
      </c>
      <c r="BH18" s="672"/>
      <c r="BI18" s="336">
        <f>+BG17-BI15</f>
        <v>315600879.5</v>
      </c>
      <c r="BJ18" s="664">
        <f>0.0625*BK8</f>
        <v>1014894812.5</v>
      </c>
      <c r="BK18" s="665">
        <v>6.25E-2</v>
      </c>
      <c r="BL18" s="667" t="s">
        <v>455</v>
      </c>
      <c r="BM18" s="664">
        <f>0.0625*BN8</f>
        <v>1014283875</v>
      </c>
      <c r="BN18" s="665">
        <v>6.25E-2</v>
      </c>
      <c r="BO18" s="667" t="s">
        <v>455</v>
      </c>
      <c r="BP18" s="664">
        <f>0.0625*BQ8</f>
        <v>1016199687.5</v>
      </c>
      <c r="BQ18" s="665">
        <v>6.25E-2</v>
      </c>
      <c r="BR18" s="667" t="s">
        <v>455</v>
      </c>
      <c r="BS18" s="664">
        <f>0.0625*BT8</f>
        <v>1014587437.5</v>
      </c>
      <c r="BT18" s="665">
        <v>6.25E-2</v>
      </c>
      <c r="BU18" s="667" t="s">
        <v>455</v>
      </c>
      <c r="BV18" s="664">
        <f>0.0625*BW8</f>
        <v>1015330000</v>
      </c>
      <c r="BW18" s="665">
        <v>6.25E-2</v>
      </c>
      <c r="BX18" s="667" t="s">
        <v>455</v>
      </c>
      <c r="BY18" s="664">
        <f>0.0625*BZ8</f>
        <v>1013370187.5</v>
      </c>
      <c r="BZ18" s="665">
        <v>6.25E-2</v>
      </c>
      <c r="CA18" s="667" t="s">
        <v>455</v>
      </c>
      <c r="CB18" s="664">
        <f>0.0625*CC8</f>
        <v>1015358687.5</v>
      </c>
      <c r="CC18" s="665">
        <v>6.25E-2</v>
      </c>
      <c r="CD18" s="667" t="s">
        <v>455</v>
      </c>
      <c r="CE18" s="664">
        <f>0.0625*CF8</f>
        <v>1025511312.5</v>
      </c>
      <c r="CF18" s="665">
        <v>6.25E-2</v>
      </c>
      <c r="CG18" s="667" t="s">
        <v>455</v>
      </c>
      <c r="CH18" s="664">
        <f>0.0625*CI8</f>
        <v>1027798625</v>
      </c>
      <c r="CI18" s="665">
        <v>6.25E-2</v>
      </c>
      <c r="CJ18" s="667" t="s">
        <v>455</v>
      </c>
      <c r="CK18" s="664">
        <f>0.0625*CL8</f>
        <v>1029112062.5</v>
      </c>
      <c r="CL18" s="665">
        <v>6.25E-2</v>
      </c>
      <c r="CM18" s="667" t="s">
        <v>455</v>
      </c>
      <c r="CN18" s="664">
        <f>0.0625*CO8</f>
        <v>1029112062.5</v>
      </c>
      <c r="CO18" s="665">
        <v>6.25E-2</v>
      </c>
      <c r="CP18" s="667" t="s">
        <v>455</v>
      </c>
    </row>
    <row r="19" spans="1:94" ht="21" customHeight="1" x14ac:dyDescent="0.25">
      <c r="A19" s="22"/>
      <c r="D19" s="22"/>
      <c r="E19" s="22"/>
      <c r="F19" s="673"/>
      <c r="G19" s="674"/>
      <c r="H19" s="674"/>
      <c r="I19" s="673"/>
      <c r="J19" s="675"/>
      <c r="K19" s="97"/>
      <c r="L19" s="34"/>
      <c r="M19" s="676">
        <f>+M18/$L$8</f>
        <v>6.4760147654572192E-2</v>
      </c>
      <c r="N19" s="97"/>
      <c r="O19" s="34"/>
      <c r="P19" s="44"/>
      <c r="Q19" s="97"/>
      <c r="R19" s="34"/>
      <c r="S19" s="44"/>
      <c r="T19" s="97"/>
      <c r="U19" s="34"/>
      <c r="V19" s="44"/>
      <c r="W19" s="97"/>
      <c r="X19" s="34"/>
      <c r="Y19" s="44"/>
      <c r="Z19" s="97"/>
      <c r="AA19" s="34"/>
      <c r="AB19" s="44"/>
      <c r="AC19" s="97"/>
      <c r="AD19" s="34"/>
      <c r="AE19" s="44"/>
      <c r="AF19" s="97"/>
      <c r="AG19" s="34"/>
      <c r="AH19" s="44"/>
      <c r="AI19" s="97"/>
      <c r="AJ19" s="34"/>
      <c r="AK19" s="44"/>
      <c r="AL19" s="97"/>
      <c r="AM19" s="34"/>
      <c r="AN19" s="44"/>
      <c r="AO19" s="97"/>
      <c r="AP19" s="34"/>
      <c r="AQ19" s="44"/>
      <c r="AR19" s="97"/>
      <c r="AS19" s="34"/>
      <c r="AT19" s="44"/>
      <c r="AU19" s="97"/>
      <c r="AV19" s="34"/>
      <c r="AW19" s="44"/>
      <c r="AX19" s="97"/>
      <c r="AY19" s="34"/>
      <c r="AZ19" s="44"/>
      <c r="BA19" s="97"/>
      <c r="BB19" s="34"/>
      <c r="BC19" s="44"/>
      <c r="BD19" s="97"/>
      <c r="BE19" s="34"/>
      <c r="BF19" s="44"/>
      <c r="BG19" s="97"/>
      <c r="BH19" s="34"/>
      <c r="BI19" s="44"/>
      <c r="BJ19" s="671">
        <f>+BJ18-BJ16</f>
        <v>109764816.05999994</v>
      </c>
      <c r="BK19" s="672"/>
      <c r="BL19" s="336">
        <f>+BJ18-(BL16+BL15)</f>
        <v>78338086.5</v>
      </c>
      <c r="BM19" s="671">
        <f>+BM18-BM16</f>
        <v>77178459.107554197</v>
      </c>
      <c r="BN19" s="672"/>
      <c r="BO19" s="336">
        <f>+BM18-(BO16+BO15)</f>
        <v>46918398</v>
      </c>
      <c r="BP19" s="671">
        <f>+BP18-BP16</f>
        <v>73357451.555770397</v>
      </c>
      <c r="BQ19" s="672"/>
      <c r="BR19" s="336">
        <f>+BP18-(BR16+BR15)</f>
        <v>45873738.5</v>
      </c>
      <c r="BS19" s="671">
        <f>+BS18-BS16</f>
        <v>107259653.94545746</v>
      </c>
      <c r="BT19" s="672"/>
      <c r="BU19" s="336">
        <f>+BS18-(BU16+BU15)</f>
        <v>76638001.5</v>
      </c>
      <c r="BV19" s="671">
        <f>+BV18-BV16</f>
        <v>172072925.06818223</v>
      </c>
      <c r="BW19" s="672"/>
      <c r="BX19" s="336">
        <f>+BV18-(BX16+BX15)</f>
        <v>139683012</v>
      </c>
      <c r="BY19" s="671">
        <f>+BY18-BY16-BY17</f>
        <v>171658816.14847732</v>
      </c>
      <c r="BZ19" s="672"/>
      <c r="CA19" s="336">
        <f>+BY18-(CA16+CA15)</f>
        <v>171367750.5</v>
      </c>
      <c r="CB19" s="671">
        <f>+CB18-CB16</f>
        <v>124330886.39738786</v>
      </c>
      <c r="CC19" s="672"/>
      <c r="CD19" s="336">
        <f>+CB18-(CD16+CD15)</f>
        <v>98035837.5</v>
      </c>
      <c r="CE19" s="671">
        <f>+CE18-CE16</f>
        <v>73871646.667347908</v>
      </c>
      <c r="CF19" s="672"/>
      <c r="CG19" s="336">
        <f>+CE18-(CG16+CG15)</f>
        <v>42902087.5</v>
      </c>
      <c r="CH19" s="671">
        <f>+CH18-CH16</f>
        <v>98863710.423794866</v>
      </c>
      <c r="CI19" s="672"/>
      <c r="CJ19" s="336">
        <f>+CH18-(CJ16+CJ15)</f>
        <v>65187299</v>
      </c>
      <c r="CK19" s="671">
        <f>+CK18-CK16</f>
        <v>52554861.830781102</v>
      </c>
      <c r="CL19" s="672"/>
      <c r="CM19" s="336">
        <f>+CK18-(CM16+CM15)</f>
        <v>16205906.5</v>
      </c>
      <c r="CN19" s="671">
        <f>+CN18-CN16</f>
        <v>49952907.883307457</v>
      </c>
      <c r="CO19" s="672"/>
      <c r="CP19" s="336">
        <f>+CN18-(CP16+CP15)</f>
        <v>16205906.5</v>
      </c>
    </row>
    <row r="20" spans="1:94" ht="15.75" x14ac:dyDescent="0.25">
      <c r="D20" s="970" t="s">
        <v>457</v>
      </c>
      <c r="E20" s="971"/>
      <c r="I20" s="2"/>
      <c r="J20" s="677" t="s">
        <v>458</v>
      </c>
      <c r="K20" s="677" t="s">
        <v>459</v>
      </c>
      <c r="L20" s="677" t="s">
        <v>458</v>
      </c>
      <c r="M20" s="678" t="s">
        <v>460</v>
      </c>
      <c r="N20" s="677" t="s">
        <v>458</v>
      </c>
      <c r="O20" s="677" t="s">
        <v>166</v>
      </c>
      <c r="P20" s="28"/>
      <c r="Q20" s="677" t="s">
        <v>458</v>
      </c>
      <c r="R20" s="677" t="s">
        <v>430</v>
      </c>
      <c r="S20" s="28"/>
      <c r="T20" s="677" t="s">
        <v>458</v>
      </c>
      <c r="U20" s="677" t="str">
        <f>+U7</f>
        <v>March</v>
      </c>
      <c r="V20" s="28"/>
      <c r="W20" s="677" t="s">
        <v>458</v>
      </c>
      <c r="X20" s="677" t="str">
        <f>+X7</f>
        <v>April</v>
      </c>
      <c r="Y20" s="28"/>
      <c r="Z20" s="677" t="s">
        <v>458</v>
      </c>
      <c r="AA20" s="677" t="str">
        <f>+AA7</f>
        <v>May</v>
      </c>
      <c r="AB20" s="28"/>
      <c r="AC20" s="677" t="s">
        <v>458</v>
      </c>
      <c r="AD20" s="677" t="str">
        <f>+AD7</f>
        <v>June</v>
      </c>
      <c r="AE20" s="28"/>
      <c r="AF20" s="677" t="s">
        <v>458</v>
      </c>
      <c r="AG20" s="677" t="str">
        <f>+AG7</f>
        <v>July</v>
      </c>
      <c r="AH20" s="28"/>
      <c r="AI20" s="677" t="s">
        <v>458</v>
      </c>
      <c r="AJ20" s="677" t="str">
        <f>+AJ7</f>
        <v>August</v>
      </c>
      <c r="AK20" s="28"/>
      <c r="AL20" s="677" t="s">
        <v>458</v>
      </c>
      <c r="AM20" s="677" t="str">
        <f>+AM7</f>
        <v>September</v>
      </c>
      <c r="AN20" s="28"/>
      <c r="AO20" s="677" t="s">
        <v>458</v>
      </c>
      <c r="AP20" s="677" t="str">
        <f>+AP7</f>
        <v>October</v>
      </c>
      <c r="AQ20" s="28"/>
      <c r="AR20" s="677" t="s">
        <v>458</v>
      </c>
      <c r="AS20" s="677" t="str">
        <f>+AS7</f>
        <v>November</v>
      </c>
      <c r="AT20" s="28"/>
      <c r="AU20" s="677" t="s">
        <v>458</v>
      </c>
      <c r="AV20" s="677" t="str">
        <f>+AV7</f>
        <v>December</v>
      </c>
      <c r="AW20" s="28"/>
      <c r="AX20" s="677" t="s">
        <v>458</v>
      </c>
      <c r="AY20" s="677" t="str">
        <f>+AY7</f>
        <v>January</v>
      </c>
      <c r="AZ20" s="28"/>
      <c r="BA20" s="677" t="s">
        <v>458</v>
      </c>
      <c r="BB20" s="677" t="str">
        <f>+BB7</f>
        <v>Feburary</v>
      </c>
      <c r="BC20" s="28"/>
      <c r="BD20" s="677" t="s">
        <v>458</v>
      </c>
      <c r="BE20" s="677" t="s">
        <v>348</v>
      </c>
      <c r="BF20" s="28"/>
      <c r="BG20" s="677" t="s">
        <v>458</v>
      </c>
      <c r="BH20" s="677" t="s">
        <v>376</v>
      </c>
      <c r="BI20" s="28"/>
      <c r="BJ20" s="97"/>
      <c r="BK20" s="34"/>
      <c r="BL20" s="44"/>
      <c r="BM20" s="97"/>
      <c r="BN20" s="34"/>
      <c r="BO20" s="44"/>
      <c r="BP20" s="97"/>
      <c r="BQ20" s="34"/>
      <c r="BR20" s="44"/>
      <c r="BS20" s="97"/>
      <c r="BT20" s="34"/>
      <c r="BU20" s="44"/>
      <c r="BV20" s="97"/>
      <c r="BW20" s="34"/>
      <c r="BX20" s="44"/>
      <c r="BY20" s="97"/>
      <c r="BZ20" s="34"/>
      <c r="CA20" s="44"/>
      <c r="CB20" s="97"/>
      <c r="CC20" s="34"/>
      <c r="CD20" s="44"/>
      <c r="CE20" s="97"/>
      <c r="CF20" s="34"/>
      <c r="CG20" s="44"/>
      <c r="CH20" s="97"/>
      <c r="CI20" s="34"/>
      <c r="CJ20" s="44"/>
      <c r="CK20" s="97"/>
      <c r="CL20" s="34"/>
      <c r="CM20" s="44"/>
      <c r="CN20" s="97"/>
      <c r="CO20" s="34"/>
      <c r="CP20" s="44"/>
    </row>
    <row r="21" spans="1:94" x14ac:dyDescent="0.25">
      <c r="A21" s="621"/>
      <c r="D21" s="22" t="s">
        <v>461</v>
      </c>
      <c r="E21" s="650">
        <f>+D13</f>
        <v>115878597.81</v>
      </c>
      <c r="I21" s="2"/>
      <c r="J21">
        <f>+E27</f>
        <v>0.95063801015361027</v>
      </c>
      <c r="K21" s="613">
        <v>109798690.17</v>
      </c>
      <c r="L21" s="679">
        <f>+K27</f>
        <v>1.0039704589769753</v>
      </c>
      <c r="M21" s="670">
        <f>+E21*J21</f>
        <v>110158599.64148891</v>
      </c>
      <c r="N21" s="679">
        <f>+O27</f>
        <v>0.86585357672362329</v>
      </c>
      <c r="O21" s="613">
        <f>+M21*N21</f>
        <v>95381217.50644882</v>
      </c>
      <c r="P21" s="28"/>
      <c r="Q21" s="679">
        <f>+R27</f>
        <v>1.0039375508464725</v>
      </c>
      <c r="R21" s="626">
        <v>86000000</v>
      </c>
      <c r="S21" s="28"/>
      <c r="T21" s="679">
        <f>+U27</f>
        <v>1.0060892221539641</v>
      </c>
      <c r="U21" s="613">
        <v>92900000</v>
      </c>
      <c r="V21" s="28"/>
      <c r="W21" s="679">
        <f>+X27</f>
        <v>0.87515782949351872</v>
      </c>
      <c r="X21" s="613">
        <f>+U21*W21</f>
        <v>81302162.35994789</v>
      </c>
      <c r="Y21" s="28"/>
      <c r="Z21" s="679">
        <f>+AA27</f>
        <v>0.98039136627588463</v>
      </c>
      <c r="AA21" s="613">
        <f>+X21*Z21</f>
        <v>79707938.037253112</v>
      </c>
      <c r="AB21" s="28"/>
      <c r="AC21" s="679">
        <f>+AD27</f>
        <v>0.9374494860992898</v>
      </c>
      <c r="AD21" s="613">
        <f>+AA21*AC21</f>
        <v>74722165.551056966</v>
      </c>
      <c r="AE21" s="28"/>
      <c r="AF21" s="679">
        <f>+AG27</f>
        <v>1.1116694530781344</v>
      </c>
      <c r="AG21" s="613">
        <f>+AD21*AF21</f>
        <v>83066348.910957307</v>
      </c>
      <c r="AH21" s="28"/>
      <c r="AI21" s="679">
        <f>+AJ27</f>
        <v>0.98976091061407923</v>
      </c>
      <c r="AJ21" s="613">
        <f>+AG21*AI21</f>
        <v>82215825.139495939</v>
      </c>
      <c r="AK21" s="28"/>
      <c r="AL21" s="679">
        <f>+AM27</f>
        <v>0.90950562366515963</v>
      </c>
      <c r="AM21" s="613">
        <f>+AJ21*AL21</f>
        <v>74775755.318642959</v>
      </c>
      <c r="AN21" s="28"/>
      <c r="AO21" s="679">
        <f>+AP27</f>
        <v>1.0945770151902281</v>
      </c>
      <c r="AP21" s="613">
        <f>+AM21*AO21</f>
        <v>81847823.065275028</v>
      </c>
      <c r="AQ21" s="28"/>
      <c r="AR21" s="679">
        <f>+AS27</f>
        <v>1.0149294926044727</v>
      </c>
      <c r="AS21" s="613">
        <f>+AP21*AR21</f>
        <v>83069769.534420252</v>
      </c>
      <c r="AT21" s="28"/>
      <c r="AU21" s="679">
        <f>+AV27</f>
        <v>0.93517855258608917</v>
      </c>
      <c r="AV21" s="613">
        <f>+AS21*AU21</f>
        <v>77685066.836859137</v>
      </c>
      <c r="AW21" s="28"/>
      <c r="AX21" s="679">
        <f>+AY27</f>
        <v>1.0991791714291481</v>
      </c>
      <c r="AY21" s="613">
        <f>+AV21*AX21</f>
        <v>85389807.398156822</v>
      </c>
      <c r="AZ21" s="28"/>
      <c r="BA21" s="679">
        <f>+BB27</f>
        <v>0.98847972225815484</v>
      </c>
      <c r="BB21" s="613">
        <f>+AY21*BA21</f>
        <v>84406093.100607395</v>
      </c>
      <c r="BC21" s="28"/>
      <c r="BD21" s="679">
        <f>+BE27</f>
        <v>0.97433535596417176</v>
      </c>
      <c r="BE21" s="613">
        <f>+BB21*BD21</f>
        <v>82239840.766725332</v>
      </c>
      <c r="BF21" s="28"/>
      <c r="BG21" s="679">
        <f>+BH27</f>
        <v>0.98804366946179178</v>
      </c>
      <c r="BH21" s="613">
        <f>+BE21*BG21</f>
        <v>81256554.047108755</v>
      </c>
      <c r="BI21" s="28"/>
      <c r="BJ21" s="677" t="s">
        <v>458</v>
      </c>
      <c r="BK21" s="677" t="s">
        <v>431</v>
      </c>
      <c r="BL21" s="28"/>
      <c r="BM21" s="677" t="s">
        <v>458</v>
      </c>
      <c r="BN21" s="677" t="s">
        <v>432</v>
      </c>
      <c r="BO21" s="28"/>
      <c r="BP21" s="677" t="s">
        <v>458</v>
      </c>
      <c r="BQ21" s="677" t="s">
        <v>433</v>
      </c>
      <c r="BR21" s="28"/>
      <c r="BS21" s="677" t="s">
        <v>458</v>
      </c>
      <c r="BT21" s="677" t="s">
        <v>434</v>
      </c>
      <c r="BU21" s="28"/>
      <c r="BV21" s="677" t="s">
        <v>458</v>
      </c>
      <c r="BW21" s="677" t="s">
        <v>435</v>
      </c>
      <c r="BX21" s="28"/>
      <c r="BY21" s="677" t="s">
        <v>458</v>
      </c>
      <c r="BZ21" s="677" t="s">
        <v>436</v>
      </c>
      <c r="CA21" s="28"/>
      <c r="CB21" s="677" t="s">
        <v>458</v>
      </c>
      <c r="CC21" s="677" t="s">
        <v>428</v>
      </c>
      <c r="CD21" s="28"/>
      <c r="CE21" s="677" t="s">
        <v>458</v>
      </c>
      <c r="CF21" s="677" t="s">
        <v>429</v>
      </c>
      <c r="CG21" s="28"/>
      <c r="CH21" s="677" t="s">
        <v>458</v>
      </c>
      <c r="CI21" s="677" t="s">
        <v>166</v>
      </c>
      <c r="CJ21" s="28"/>
      <c r="CK21" s="677" t="s">
        <v>458</v>
      </c>
      <c r="CL21" s="677" t="s">
        <v>430</v>
      </c>
      <c r="CM21" s="28"/>
      <c r="CN21" s="677" t="s">
        <v>458</v>
      </c>
      <c r="CO21" s="677" t="s">
        <v>348</v>
      </c>
      <c r="CP21" s="28"/>
    </row>
    <row r="22" spans="1:94" x14ac:dyDescent="0.25">
      <c r="A22" s="22"/>
      <c r="D22" s="22"/>
      <c r="E22" s="22"/>
      <c r="I22" s="2"/>
      <c r="J22" s="22"/>
      <c r="K22" s="613"/>
      <c r="L22" s="22"/>
      <c r="M22" s="303"/>
      <c r="N22" s="22"/>
      <c r="P22" s="28"/>
      <c r="Q22" s="22"/>
      <c r="S22" s="28"/>
      <c r="T22" s="22"/>
      <c r="V22" s="28"/>
      <c r="W22" s="22"/>
      <c r="Y22" s="28"/>
      <c r="Z22" s="22"/>
      <c r="AB22" s="28"/>
      <c r="AC22" s="22"/>
      <c r="AE22" s="28"/>
      <c r="AF22" s="22"/>
      <c r="AH22" s="28"/>
      <c r="AI22" s="22"/>
      <c r="AK22" s="28"/>
      <c r="AL22" s="22"/>
      <c r="AN22" s="28"/>
      <c r="AO22" s="22"/>
      <c r="AQ22" s="28"/>
      <c r="AR22" s="22"/>
      <c r="AT22" s="28"/>
      <c r="AU22" s="22"/>
      <c r="AW22" s="28"/>
      <c r="AX22" s="22"/>
      <c r="AZ22" s="28"/>
      <c r="BA22" s="22"/>
      <c r="BC22" s="28"/>
      <c r="BD22" s="22"/>
      <c r="BF22" s="28"/>
      <c r="BG22" s="22"/>
      <c r="BI22" s="28"/>
      <c r="BJ22" s="679">
        <f>+BK28</f>
        <v>0.99918700969536989</v>
      </c>
      <c r="BK22" s="613">
        <f>+BH21*BJ22</f>
        <v>81190493.256480798</v>
      </c>
      <c r="BL22" s="28"/>
      <c r="BM22" s="679">
        <f>+BN28</f>
        <v>1.0822148181176645</v>
      </c>
      <c r="BN22" s="613">
        <f>+BK22*BM22</f>
        <v>87865554.892445832</v>
      </c>
      <c r="BO22" s="28"/>
      <c r="BP22" s="679">
        <f>+BQ28</f>
        <v>1.0465524065350824</v>
      </c>
      <c r="BQ22" s="613">
        <f>+BN22*BP22</f>
        <v>91955907.924229577</v>
      </c>
      <c r="BR22" s="28"/>
      <c r="BS22" s="679">
        <f>+BT28</f>
        <v>0.94713083183635127</v>
      </c>
      <c r="BT22" s="613">
        <f>+BQ22*BS22</f>
        <v>87094275.564542487</v>
      </c>
      <c r="BU22" s="28"/>
      <c r="BV22" s="679">
        <f>+BW28</f>
        <v>0.93357869268414029</v>
      </c>
      <c r="BW22" s="613">
        <f>+BT22*BV22</f>
        <v>81309359.921817839</v>
      </c>
      <c r="BX22" s="28"/>
      <c r="BY22" s="679">
        <f>+BZ28</f>
        <v>0.92263115087433911</v>
      </c>
      <c r="BZ22" s="613">
        <f>+BW22*BY22</f>
        <v>75018548.321522653</v>
      </c>
      <c r="CA22" s="28"/>
      <c r="CB22" s="679">
        <f>+CC28</f>
        <v>1.0899021563598366</v>
      </c>
      <c r="CC22" s="613">
        <f>+BZ22*CB22</f>
        <v>81762877.582612142</v>
      </c>
      <c r="CD22" s="28"/>
      <c r="CE22" s="679">
        <f>+CF28</f>
        <v>1.1191800163857271</v>
      </c>
      <c r="CF22" s="613">
        <f>+CC22*CE22</f>
        <v>91507378.672652051</v>
      </c>
      <c r="CG22" s="28"/>
      <c r="CH22" s="679">
        <f>+CI28</f>
        <v>0.96773565509937087</v>
      </c>
      <c r="CI22" s="613">
        <f>+CF22*CH22</f>
        <v>88554953.046205133</v>
      </c>
      <c r="CJ22" s="28"/>
      <c r="CK22" s="679">
        <f>+CL28</f>
        <v>1.0806244718947409</v>
      </c>
      <c r="CL22" s="613">
        <f>+CI22*CK22</f>
        <v>95694649.36921899</v>
      </c>
      <c r="CM22" s="28"/>
      <c r="CN22" s="679">
        <f>+CO28</f>
        <v>1.0271901748386625</v>
      </c>
      <c r="CO22" s="613">
        <f>+CL22*CN22</f>
        <v>98296603.616692558</v>
      </c>
      <c r="CP22" s="28"/>
    </row>
    <row r="23" spans="1:94" x14ac:dyDescent="0.25">
      <c r="A23" s="22"/>
      <c r="D23" s="22"/>
      <c r="E23" s="22"/>
      <c r="I23" s="2"/>
      <c r="J23" s="22"/>
      <c r="K23" s="22"/>
      <c r="L23" s="22"/>
      <c r="M23" s="303"/>
      <c r="N23" s="22"/>
      <c r="O23" s="22"/>
      <c r="P23" s="28"/>
      <c r="Q23" s="22"/>
      <c r="R23" s="22"/>
      <c r="S23" s="28"/>
      <c r="T23" s="22"/>
      <c r="U23" s="22"/>
      <c r="V23" s="28"/>
      <c r="W23" s="22"/>
      <c r="X23" s="22"/>
      <c r="Y23" s="28"/>
      <c r="Z23" s="22"/>
      <c r="AA23" s="22"/>
      <c r="AB23" s="28"/>
      <c r="AC23" s="22"/>
      <c r="AD23" s="22"/>
      <c r="AE23" s="28"/>
      <c r="AF23" s="22"/>
      <c r="AG23" s="22"/>
      <c r="AH23" s="28"/>
      <c r="AI23" s="22"/>
      <c r="AJ23" s="22"/>
      <c r="AK23" s="28"/>
      <c r="AL23" s="22"/>
      <c r="AM23" s="22"/>
      <c r="AN23" s="28"/>
      <c r="AO23" s="22"/>
      <c r="AP23" s="22"/>
      <c r="AQ23" s="28"/>
      <c r="AR23" s="22"/>
      <c r="AS23" s="22"/>
      <c r="AT23" s="28"/>
      <c r="AU23" s="22"/>
      <c r="AV23" s="22"/>
      <c r="AW23" s="28"/>
      <c r="AX23" s="22"/>
      <c r="AY23" s="22"/>
      <c r="AZ23" s="28"/>
      <c r="BA23" s="22"/>
      <c r="BB23" s="22"/>
      <c r="BC23" s="28"/>
      <c r="BD23" s="22"/>
      <c r="BE23" s="22"/>
      <c r="BF23" s="28"/>
      <c r="BG23" s="22"/>
      <c r="BH23" s="22"/>
      <c r="BI23" s="28"/>
      <c r="BJ23" s="22"/>
      <c r="BL23" s="28"/>
      <c r="BM23" s="22"/>
      <c r="BO23" s="28"/>
      <c r="BP23" s="22"/>
      <c r="BR23" s="28"/>
      <c r="BS23" s="22"/>
      <c r="BU23" s="28"/>
      <c r="BV23" s="22"/>
      <c r="BX23" s="28"/>
      <c r="BY23" s="22"/>
      <c r="CA23" s="28"/>
      <c r="CB23" s="22"/>
      <c r="CD23" s="28"/>
      <c r="CE23" s="22"/>
      <c r="CG23" s="28"/>
      <c r="CH23" s="22"/>
      <c r="CJ23" s="28"/>
      <c r="CK23" s="22"/>
      <c r="CM23" s="28"/>
      <c r="CN23" s="22"/>
      <c r="CP23" s="28"/>
    </row>
    <row r="24" spans="1:94" x14ac:dyDescent="0.25">
      <c r="E24" s="284" t="s">
        <v>462</v>
      </c>
      <c r="I24" s="2"/>
      <c r="K24" s="284" t="s">
        <v>462</v>
      </c>
      <c r="M24" s="28"/>
      <c r="O24" s="284" t="s">
        <v>462</v>
      </c>
      <c r="P24" s="28"/>
      <c r="R24" s="284" t="s">
        <v>462</v>
      </c>
      <c r="S24" s="28"/>
      <c r="U24" s="284" t="s">
        <v>462</v>
      </c>
      <c r="V24" s="28"/>
      <c r="X24" s="284" t="s">
        <v>462</v>
      </c>
      <c r="Y24" s="28"/>
      <c r="AA24" s="284" t="s">
        <v>462</v>
      </c>
      <c r="AB24" s="28"/>
      <c r="AD24" s="284" t="s">
        <v>462</v>
      </c>
      <c r="AE24" s="28"/>
      <c r="AG24" s="284" t="s">
        <v>462</v>
      </c>
      <c r="AH24" s="28"/>
      <c r="AJ24" s="284" t="s">
        <v>462</v>
      </c>
      <c r="AK24" s="28"/>
      <c r="AM24" s="284" t="s">
        <v>462</v>
      </c>
      <c r="AN24" s="28"/>
      <c r="AP24" s="284" t="s">
        <v>462</v>
      </c>
      <c r="AQ24" s="28"/>
      <c r="AS24" s="284" t="s">
        <v>462</v>
      </c>
      <c r="AT24" s="28"/>
      <c r="AV24" s="284" t="s">
        <v>462</v>
      </c>
      <c r="AW24" s="28"/>
      <c r="AY24" s="284" t="s">
        <v>462</v>
      </c>
      <c r="AZ24" s="28"/>
      <c r="BB24" s="284" t="s">
        <v>462</v>
      </c>
      <c r="BC24" s="28"/>
      <c r="BE24" s="284" t="s">
        <v>462</v>
      </c>
      <c r="BF24" s="28"/>
      <c r="BH24" s="284" t="s">
        <v>462</v>
      </c>
      <c r="BI24" s="28"/>
      <c r="BL24" s="28"/>
      <c r="BO24" s="28"/>
      <c r="BR24" s="28"/>
      <c r="BU24" s="28"/>
      <c r="BX24" s="28"/>
      <c r="CA24" s="28"/>
      <c r="CD24" s="28"/>
      <c r="CG24" s="28"/>
      <c r="CJ24" s="28"/>
      <c r="CM24" s="28"/>
      <c r="CP24" s="28"/>
    </row>
    <row r="25" spans="1:94" x14ac:dyDescent="0.25">
      <c r="D25" s="473">
        <v>44498</v>
      </c>
      <c r="E25" s="79">
        <v>1561.809</v>
      </c>
      <c r="I25" s="2"/>
      <c r="J25" s="473">
        <v>44530</v>
      </c>
      <c r="K25" s="84">
        <f>+E26</f>
        <v>1484.7149999999999</v>
      </c>
      <c r="M25" s="28"/>
      <c r="N25" s="473">
        <v>44926</v>
      </c>
      <c r="O25" s="84">
        <f>+K26</f>
        <v>1490.61</v>
      </c>
      <c r="P25" s="28"/>
      <c r="Q25" s="473">
        <v>44592</v>
      </c>
      <c r="R25" s="84">
        <v>1290.6500000000001</v>
      </c>
      <c r="S25" s="28"/>
      <c r="T25" s="473">
        <v>44620</v>
      </c>
      <c r="U25" s="84">
        <f>+R26</f>
        <v>1295.732</v>
      </c>
      <c r="V25" s="28"/>
      <c r="W25" s="473">
        <v>44651</v>
      </c>
      <c r="X25" s="84">
        <f>+U26</f>
        <v>1303.6220000000001</v>
      </c>
      <c r="Y25" s="28"/>
      <c r="Z25" s="473">
        <v>44680</v>
      </c>
      <c r="AA25" s="84">
        <f>+X26</f>
        <v>1140.875</v>
      </c>
      <c r="AB25" s="28"/>
      <c r="AC25" s="473">
        <v>44712</v>
      </c>
      <c r="AD25" s="84">
        <f>+AA26</f>
        <v>1118.5039999999999</v>
      </c>
      <c r="AE25" s="28"/>
      <c r="AF25" s="473">
        <v>44742</v>
      </c>
      <c r="AG25" s="84">
        <f>+AD26</f>
        <v>1048.5409999999999</v>
      </c>
      <c r="AH25" s="28"/>
      <c r="AI25" s="473">
        <v>44771</v>
      </c>
      <c r="AJ25" s="84">
        <f>+AG26</f>
        <v>1165.6310000000001</v>
      </c>
      <c r="AK25" s="28"/>
      <c r="AL25" s="473">
        <v>44804</v>
      </c>
      <c r="AM25" s="84">
        <f>+AJ26</f>
        <v>1153.6959999999999</v>
      </c>
      <c r="AN25" s="28"/>
      <c r="AO25" s="473">
        <v>44834</v>
      </c>
      <c r="AP25" s="84">
        <f>+AM26</f>
        <v>1049.2929999999999</v>
      </c>
      <c r="AQ25" s="28"/>
      <c r="AR25" s="473">
        <v>44865</v>
      </c>
      <c r="AS25" s="84">
        <f>+AP26</f>
        <v>1148.5319999999999</v>
      </c>
      <c r="AT25" s="28"/>
      <c r="AU25" s="473">
        <v>44895</v>
      </c>
      <c r="AV25" s="84">
        <f>+AS26</f>
        <v>1165.6790000000001</v>
      </c>
      <c r="AW25" s="28"/>
      <c r="AX25" s="473">
        <v>44926</v>
      </c>
      <c r="AY25" s="84">
        <f>+AV26</f>
        <v>1090.1179999999999</v>
      </c>
      <c r="AZ25" s="28"/>
      <c r="BA25" s="473">
        <v>44957</v>
      </c>
      <c r="BB25" s="84">
        <f>+AY26</f>
        <v>1198.2349999999999</v>
      </c>
      <c r="BC25" s="28"/>
      <c r="BD25" s="473">
        <v>44985</v>
      </c>
      <c r="BE25" s="84">
        <f>+BB26</f>
        <v>1184.431</v>
      </c>
      <c r="BF25" s="28"/>
      <c r="BG25" s="473">
        <v>45016</v>
      </c>
      <c r="BH25" s="84">
        <f>+BE26</f>
        <v>1154.0329999999999</v>
      </c>
      <c r="BI25" s="28"/>
      <c r="BK25" s="284" t="s">
        <v>462</v>
      </c>
      <c r="BL25" s="28"/>
      <c r="BN25" s="284" t="s">
        <v>462</v>
      </c>
      <c r="BO25" s="28"/>
      <c r="BQ25" s="284" t="s">
        <v>462</v>
      </c>
      <c r="BR25" s="28"/>
      <c r="BT25" s="284" t="s">
        <v>462</v>
      </c>
      <c r="BU25" s="28"/>
      <c r="BW25" s="284" t="s">
        <v>462</v>
      </c>
      <c r="BX25" s="28"/>
      <c r="BZ25" s="284" t="s">
        <v>462</v>
      </c>
      <c r="CA25" s="28"/>
      <c r="CC25" s="284" t="s">
        <v>462</v>
      </c>
      <c r="CD25" s="28"/>
      <c r="CF25" s="284" t="s">
        <v>462</v>
      </c>
      <c r="CG25" s="28"/>
      <c r="CI25" s="284" t="s">
        <v>462</v>
      </c>
      <c r="CJ25" s="28"/>
      <c r="CL25" s="284" t="s">
        <v>462</v>
      </c>
      <c r="CM25" s="28"/>
      <c r="CO25" s="284" t="s">
        <v>462</v>
      </c>
      <c r="CP25" s="28"/>
    </row>
    <row r="26" spans="1:94" x14ac:dyDescent="0.25">
      <c r="D26" s="473">
        <v>44530</v>
      </c>
      <c r="E26">
        <v>1484.7149999999999</v>
      </c>
      <c r="I26" s="2"/>
      <c r="J26" s="473">
        <v>44926</v>
      </c>
      <c r="K26" s="680">
        <v>1490.61</v>
      </c>
      <c r="M26" s="28"/>
      <c r="N26" s="473">
        <v>44592</v>
      </c>
      <c r="O26">
        <v>1290.6500000000001</v>
      </c>
      <c r="P26" s="28"/>
      <c r="Q26" s="473">
        <v>44620</v>
      </c>
      <c r="R26">
        <v>1295.732</v>
      </c>
      <c r="S26" s="28"/>
      <c r="T26" s="473">
        <v>44651</v>
      </c>
      <c r="U26">
        <v>1303.6220000000001</v>
      </c>
      <c r="V26" s="28"/>
      <c r="W26" s="473">
        <v>44680</v>
      </c>
      <c r="X26">
        <v>1140.875</v>
      </c>
      <c r="Y26" s="28"/>
      <c r="Z26" s="473">
        <v>44712</v>
      </c>
      <c r="AA26">
        <v>1118.5039999999999</v>
      </c>
      <c r="AB26" s="28"/>
      <c r="AC26" s="473">
        <v>44742</v>
      </c>
      <c r="AD26">
        <v>1048.5409999999999</v>
      </c>
      <c r="AE26" s="28"/>
      <c r="AF26" s="473">
        <v>44771</v>
      </c>
      <c r="AG26">
        <v>1165.6310000000001</v>
      </c>
      <c r="AH26" s="28"/>
      <c r="AI26" s="473">
        <v>44804</v>
      </c>
      <c r="AJ26">
        <v>1153.6959999999999</v>
      </c>
      <c r="AK26" s="28"/>
      <c r="AL26" s="473">
        <v>44834</v>
      </c>
      <c r="AM26">
        <v>1049.2929999999999</v>
      </c>
      <c r="AN26" s="28"/>
      <c r="AO26" s="473">
        <v>44865</v>
      </c>
      <c r="AP26">
        <v>1148.5319999999999</v>
      </c>
      <c r="AQ26" s="28"/>
      <c r="AR26" s="473">
        <v>44895</v>
      </c>
      <c r="AS26">
        <v>1165.6790000000001</v>
      </c>
      <c r="AT26" s="28"/>
      <c r="AU26" s="473">
        <v>44926</v>
      </c>
      <c r="AV26">
        <v>1090.1179999999999</v>
      </c>
      <c r="AW26" s="28"/>
      <c r="AX26" s="473">
        <v>44957</v>
      </c>
      <c r="AY26">
        <v>1198.2349999999999</v>
      </c>
      <c r="AZ26" s="28"/>
      <c r="BA26" s="473">
        <v>44985</v>
      </c>
      <c r="BB26">
        <v>1184.431</v>
      </c>
      <c r="BC26" s="28"/>
      <c r="BD26" s="473">
        <v>45016</v>
      </c>
      <c r="BE26">
        <v>1154.0329999999999</v>
      </c>
      <c r="BF26" s="28"/>
      <c r="BG26" s="473">
        <v>45046</v>
      </c>
      <c r="BH26">
        <v>1140.2349999999999</v>
      </c>
      <c r="BI26" s="28"/>
      <c r="BJ26" s="473">
        <v>45046</v>
      </c>
      <c r="BK26" s="84">
        <f>+BH26</f>
        <v>1140.2349999999999</v>
      </c>
      <c r="BL26" s="28"/>
      <c r="BM26" s="473">
        <v>45077</v>
      </c>
      <c r="BN26" s="84">
        <f>+BK27</f>
        <v>1139.308</v>
      </c>
      <c r="BO26" s="28"/>
      <c r="BP26" s="473">
        <v>45107</v>
      </c>
      <c r="BQ26" s="84">
        <f>+BN27</f>
        <v>1232.9760000000001</v>
      </c>
      <c r="BR26" s="28"/>
      <c r="BS26" s="473">
        <v>45138</v>
      </c>
      <c r="BT26" s="84">
        <f>+BQ27</f>
        <v>1290.374</v>
      </c>
      <c r="BU26" s="28"/>
      <c r="BV26" s="473">
        <v>45169</v>
      </c>
      <c r="BW26" s="84">
        <f>+BT27</f>
        <v>1222.153</v>
      </c>
      <c r="BX26" s="28"/>
      <c r="BY26" s="473">
        <v>45199</v>
      </c>
      <c r="BZ26" s="84">
        <f>+BW27</f>
        <v>1140.9760000000001</v>
      </c>
      <c r="CA26" s="28"/>
      <c r="CB26" s="473">
        <v>45230</v>
      </c>
      <c r="CC26" s="84">
        <f>+BZ27</f>
        <v>1052.7</v>
      </c>
      <c r="CD26" s="28"/>
      <c r="CE26" s="473">
        <v>45260</v>
      </c>
      <c r="CF26" s="84">
        <f>+CC27</f>
        <v>1147.3399999999999</v>
      </c>
      <c r="CG26" s="28"/>
      <c r="CH26" s="473">
        <v>45291</v>
      </c>
      <c r="CI26" s="84">
        <f>+CF27</f>
        <v>1284.08</v>
      </c>
      <c r="CJ26" s="28"/>
      <c r="CK26" s="473">
        <v>45322</v>
      </c>
      <c r="CL26" s="84">
        <f>+CI27</f>
        <v>1242.6500000000001</v>
      </c>
      <c r="CM26" s="28"/>
      <c r="CN26" s="473">
        <v>45351</v>
      </c>
      <c r="CO26" s="84">
        <f>+CL27</f>
        <v>1342.838</v>
      </c>
      <c r="CP26" s="28"/>
    </row>
    <row r="27" spans="1:94" x14ac:dyDescent="0.25">
      <c r="E27">
        <f>+E26/E25</f>
        <v>0.95063801015361027</v>
      </c>
      <c r="I27" s="2"/>
      <c r="K27" s="10">
        <f>+K26/K25</f>
        <v>1.0039704589769753</v>
      </c>
      <c r="M27" s="28"/>
      <c r="O27" s="10">
        <f>+O26/O25</f>
        <v>0.86585357672362329</v>
      </c>
      <c r="P27" s="28"/>
      <c r="R27" s="10">
        <f>+R26/R25</f>
        <v>1.0039375508464725</v>
      </c>
      <c r="S27" s="28"/>
      <c r="U27" s="10">
        <f>+U26/U25</f>
        <v>1.0060892221539641</v>
      </c>
      <c r="V27" s="28"/>
      <c r="X27" s="10">
        <f>+X26/X25</f>
        <v>0.87515782949351872</v>
      </c>
      <c r="Y27" s="28"/>
      <c r="AA27" s="10">
        <f>+AA26/AA25</f>
        <v>0.98039136627588463</v>
      </c>
      <c r="AB27" s="28"/>
      <c r="AD27" s="10">
        <f>+AD26/AD25</f>
        <v>0.9374494860992898</v>
      </c>
      <c r="AE27" s="28"/>
      <c r="AG27" s="10">
        <f>+AG26/AG25</f>
        <v>1.1116694530781344</v>
      </c>
      <c r="AH27" s="28"/>
      <c r="AJ27" s="10">
        <f>+AJ26/AJ25</f>
        <v>0.98976091061407923</v>
      </c>
      <c r="AK27" s="28"/>
      <c r="AM27" s="10">
        <f>+AM26/AM25</f>
        <v>0.90950562366515963</v>
      </c>
      <c r="AN27" s="28"/>
      <c r="AP27" s="10">
        <f>+AP26/AP25</f>
        <v>1.0945770151902281</v>
      </c>
      <c r="AQ27" s="28"/>
      <c r="AS27" s="10">
        <f>+AS26/AS25</f>
        <v>1.0149294926044727</v>
      </c>
      <c r="AT27" s="28"/>
      <c r="AV27" s="10">
        <f>+AV26/AV25</f>
        <v>0.93517855258608917</v>
      </c>
      <c r="AW27" s="28"/>
      <c r="AY27" s="10">
        <f>+AY26/AY25</f>
        <v>1.0991791714291481</v>
      </c>
      <c r="AZ27" s="28"/>
      <c r="BB27" s="10">
        <f>+BB26/BB25</f>
        <v>0.98847972225815484</v>
      </c>
      <c r="BC27" s="28"/>
      <c r="BE27" s="10">
        <f>+BE26/BE25</f>
        <v>0.97433535596417176</v>
      </c>
      <c r="BF27" s="28"/>
      <c r="BH27" s="10">
        <f>+BH26/BH25</f>
        <v>0.98804366946179178</v>
      </c>
      <c r="BI27" s="28"/>
      <c r="BJ27" s="473">
        <v>45077</v>
      </c>
      <c r="BK27">
        <v>1139.308</v>
      </c>
      <c r="BL27" s="28"/>
      <c r="BM27" s="473">
        <v>45107</v>
      </c>
      <c r="BN27">
        <v>1232.9760000000001</v>
      </c>
      <c r="BO27" s="28"/>
      <c r="BP27" s="473">
        <v>45138</v>
      </c>
      <c r="BQ27">
        <v>1290.374</v>
      </c>
      <c r="BR27" s="28"/>
      <c r="BS27" s="473">
        <v>45169</v>
      </c>
      <c r="BT27" s="5">
        <v>1222.153</v>
      </c>
      <c r="BU27" s="28"/>
      <c r="BV27" s="681" t="s">
        <v>438</v>
      </c>
      <c r="BW27" s="5">
        <v>1140.9760000000001</v>
      </c>
      <c r="BX27" s="28"/>
      <c r="BY27" s="681">
        <v>45230</v>
      </c>
      <c r="BZ27" s="5">
        <v>1052.7</v>
      </c>
      <c r="CA27" s="28"/>
      <c r="CB27" s="681">
        <v>45626</v>
      </c>
      <c r="CC27" s="84">
        <v>1147.3399999999999</v>
      </c>
      <c r="CD27" s="28"/>
      <c r="CE27" s="681">
        <v>45291</v>
      </c>
      <c r="CF27" s="84">
        <v>1284.08</v>
      </c>
      <c r="CG27" s="28"/>
      <c r="CH27" s="681">
        <v>45322</v>
      </c>
      <c r="CI27" s="84">
        <v>1242.6500000000001</v>
      </c>
      <c r="CJ27" s="28"/>
      <c r="CK27" s="681">
        <v>45351</v>
      </c>
      <c r="CL27" s="84">
        <v>1342.838</v>
      </c>
      <c r="CM27" s="28"/>
      <c r="CN27" s="681">
        <v>45382</v>
      </c>
      <c r="CO27" s="84">
        <v>1379.35</v>
      </c>
      <c r="CP27" s="28"/>
    </row>
    <row r="28" spans="1:94" x14ac:dyDescent="0.25">
      <c r="I28" s="2"/>
      <c r="M28" s="28"/>
      <c r="P28" s="28"/>
      <c r="S28" s="28"/>
      <c r="V28" s="28"/>
      <c r="Y28" s="28"/>
      <c r="AB28" s="28"/>
      <c r="AE28" s="28"/>
      <c r="AH28" s="28"/>
      <c r="AK28" s="28"/>
      <c r="AN28" s="28"/>
      <c r="AQ28" s="28"/>
      <c r="AT28" s="28"/>
      <c r="AW28" s="28"/>
      <c r="AZ28" s="28"/>
      <c r="BC28" s="28"/>
      <c r="BF28" s="28"/>
      <c r="BI28" s="28"/>
      <c r="BK28" s="10">
        <f>+BK27/BK26</f>
        <v>0.99918700969536989</v>
      </c>
      <c r="BL28" s="28"/>
      <c r="BN28" s="10">
        <f>+BN27/BN26</f>
        <v>1.0822148181176645</v>
      </c>
      <c r="BO28" s="28"/>
      <c r="BQ28" s="10">
        <f>+BQ27/BQ26</f>
        <v>1.0465524065350824</v>
      </c>
      <c r="BR28" s="28"/>
      <c r="BT28" s="10">
        <f>+BT27/BT26</f>
        <v>0.94713083183635127</v>
      </c>
      <c r="BU28" s="28"/>
      <c r="BW28" s="10">
        <f>+BW27/BW26</f>
        <v>0.93357869268414029</v>
      </c>
      <c r="BX28" s="28"/>
      <c r="BZ28" s="10">
        <f>+BZ27/BZ26</f>
        <v>0.92263115087433911</v>
      </c>
      <c r="CA28" s="28"/>
      <c r="CC28" s="10">
        <f>+CC27/CC26</f>
        <v>1.0899021563598366</v>
      </c>
      <c r="CD28" s="28"/>
      <c r="CF28" s="10">
        <f>+CF27/CF26</f>
        <v>1.1191800163857271</v>
      </c>
      <c r="CG28" s="28"/>
      <c r="CI28" s="10">
        <f>+CI27/CI26</f>
        <v>0.96773565509937087</v>
      </c>
      <c r="CJ28" s="28"/>
      <c r="CL28" s="10">
        <f>+CL27/CL26</f>
        <v>1.0806244718947409</v>
      </c>
      <c r="CM28" s="28"/>
      <c r="CO28" s="10">
        <f>+CO27/CO26</f>
        <v>1.0271901748386625</v>
      </c>
      <c r="CP28" s="28"/>
    </row>
    <row r="29" spans="1:94" x14ac:dyDescent="0.25">
      <c r="I29" s="2"/>
      <c r="M29" s="28"/>
      <c r="P29" s="28"/>
      <c r="S29" s="28"/>
      <c r="V29" s="28"/>
      <c r="Y29" s="28"/>
      <c r="AB29" s="28"/>
      <c r="AE29" s="28"/>
      <c r="AH29" s="28"/>
      <c r="AK29" s="28"/>
      <c r="AN29" s="28"/>
      <c r="AQ29" s="28"/>
      <c r="AT29" s="28"/>
      <c r="AW29" s="28"/>
      <c r="AZ29" s="28"/>
      <c r="BC29" s="28"/>
      <c r="BF29" s="28"/>
      <c r="BI29" s="28"/>
      <c r="BL29" s="28"/>
      <c r="BO29" s="28"/>
      <c r="BR29" s="28"/>
      <c r="BU29" s="28"/>
      <c r="BX29" s="28"/>
      <c r="CA29" s="28"/>
      <c r="CD29" s="28"/>
      <c r="CG29" s="28"/>
      <c r="CJ29" s="28"/>
      <c r="CM29" s="28"/>
      <c r="CP29" s="28"/>
    </row>
    <row r="30" spans="1:94" x14ac:dyDescent="0.25">
      <c r="D30" s="682" t="s">
        <v>463</v>
      </c>
      <c r="I30" s="97"/>
      <c r="J30" s="34"/>
      <c r="K30" s="34"/>
      <c r="L30" s="34"/>
      <c r="M30" s="44"/>
      <c r="N30" s="34"/>
      <c r="O30" s="34"/>
      <c r="P30" s="44"/>
      <c r="Q30" s="34"/>
      <c r="R30" s="34"/>
      <c r="S30" s="44"/>
      <c r="T30" s="34"/>
      <c r="U30" s="34"/>
      <c r="V30" s="44"/>
      <c r="W30" s="34"/>
      <c r="X30" s="34"/>
      <c r="Y30" s="44"/>
      <c r="Z30" s="34"/>
      <c r="AA30" s="34"/>
      <c r="AB30" s="44"/>
      <c r="AC30" s="34"/>
      <c r="AD30" s="34"/>
      <c r="AE30" s="44"/>
      <c r="AF30" s="34"/>
      <c r="AG30" s="34"/>
      <c r="AH30" s="44"/>
      <c r="AI30" s="34"/>
      <c r="AJ30" s="34"/>
      <c r="AK30" s="44"/>
      <c r="AL30" s="34"/>
      <c r="AM30" s="34"/>
      <c r="AN30" s="44"/>
      <c r="AO30" s="34"/>
      <c r="AP30" s="34"/>
      <c r="AQ30" s="44"/>
      <c r="AR30" s="34"/>
      <c r="AS30" s="34"/>
      <c r="AT30" s="44"/>
      <c r="AU30" s="34"/>
      <c r="AV30" s="34"/>
      <c r="AW30" s="44"/>
      <c r="AX30" s="34"/>
      <c r="AY30" s="34"/>
      <c r="AZ30" s="44"/>
      <c r="BA30" s="34"/>
      <c r="BB30" s="34">
        <v>1</v>
      </c>
      <c r="BC30" s="44"/>
      <c r="BD30" s="34"/>
      <c r="BE30" s="34"/>
      <c r="BF30" s="44"/>
      <c r="BG30" s="34"/>
      <c r="BH30" s="34"/>
      <c r="BI30" s="44"/>
      <c r="BK30" s="64"/>
      <c r="BL30" s="691" t="s">
        <v>473</v>
      </c>
      <c r="BN30" s="64"/>
      <c r="BO30" s="691" t="s">
        <v>473</v>
      </c>
      <c r="BQ30" s="64"/>
      <c r="BR30" s="691" t="s">
        <v>473</v>
      </c>
      <c r="BT30" s="64"/>
      <c r="BU30" s="691" t="s">
        <v>473</v>
      </c>
      <c r="BW30" s="64"/>
      <c r="BX30" s="691" t="s">
        <v>473</v>
      </c>
      <c r="BZ30" s="64"/>
      <c r="CA30" s="691" t="s">
        <v>473</v>
      </c>
      <c r="CC30" s="64"/>
      <c r="CD30" s="691" t="s">
        <v>473</v>
      </c>
      <c r="CF30" s="64"/>
      <c r="CG30" s="691" t="s">
        <v>473</v>
      </c>
      <c r="CI30" s="64"/>
      <c r="CJ30" s="691" t="s">
        <v>473</v>
      </c>
      <c r="CL30" s="64"/>
      <c r="CM30" s="691" t="s">
        <v>473</v>
      </c>
      <c r="CO30" s="64"/>
      <c r="CP30" s="691" t="s">
        <v>473</v>
      </c>
    </row>
    <row r="31" spans="1:94" x14ac:dyDescent="0.25">
      <c r="D31" s="5">
        <v>106558216.62</v>
      </c>
      <c r="BJ31" s="97"/>
      <c r="BK31" s="692" t="s">
        <v>472</v>
      </c>
      <c r="BL31" s="690">
        <f>+BL15-BJ12</f>
        <v>83193596</v>
      </c>
      <c r="BM31" s="34"/>
      <c r="BN31" s="692" t="s">
        <v>472</v>
      </c>
      <c r="BO31" s="690">
        <f>+BO15-BM12</f>
        <v>91064886</v>
      </c>
      <c r="BP31" s="34"/>
      <c r="BQ31" s="692" t="s">
        <v>472</v>
      </c>
      <c r="BR31" s="690">
        <f>+BR15-BP12</f>
        <v>92170470.980000019</v>
      </c>
      <c r="BS31" s="34"/>
      <c r="BT31" s="692" t="s">
        <v>472</v>
      </c>
      <c r="BU31" s="690">
        <f>+BU15-BS12</f>
        <v>86332872.00999999</v>
      </c>
      <c r="BV31" s="34"/>
      <c r="BW31" s="692" t="s">
        <v>472</v>
      </c>
      <c r="BX31" s="690">
        <f>+BX15-BV12</f>
        <v>80883005.99000001</v>
      </c>
      <c r="BY31" s="34"/>
      <c r="BZ31" s="692" t="s">
        <v>472</v>
      </c>
      <c r="CA31" s="690">
        <f>+CA15-BY12</f>
        <v>75309613.970000029</v>
      </c>
      <c r="CB31" s="34"/>
      <c r="CC31" s="692" t="s">
        <v>472</v>
      </c>
      <c r="CD31" s="690">
        <f>+CD15-CB12</f>
        <v>75277198.480000019</v>
      </c>
      <c r="CE31" s="34"/>
      <c r="CF31" s="692" t="s">
        <v>472</v>
      </c>
      <c r="CG31" s="690">
        <f>+CG15-CE12</f>
        <v>89700014.839999914</v>
      </c>
      <c r="CH31" s="34"/>
      <c r="CI31" s="692" t="s">
        <v>472</v>
      </c>
      <c r="CJ31" s="690">
        <f>+CJ15-CH12</f>
        <v>89414634.470000029</v>
      </c>
      <c r="CK31" s="34"/>
      <c r="CL31" s="692" t="s">
        <v>472</v>
      </c>
      <c r="CM31" s="690">
        <f>+CM15-CK12</f>
        <v>99186614.700000048</v>
      </c>
      <c r="CN31" s="34"/>
      <c r="CO31" s="692" t="s">
        <v>472</v>
      </c>
      <c r="CP31" s="690">
        <f>+CP15-CN12</f>
        <v>99186615</v>
      </c>
    </row>
    <row r="32" spans="1:94" x14ac:dyDescent="0.25">
      <c r="T32" s="683" t="s">
        <v>464</v>
      </c>
      <c r="U32" s="684">
        <f>+(U33/U34)-1</f>
        <v>-4.9467288268592591E-2</v>
      </c>
      <c r="BK32" s="693" t="s">
        <v>474</v>
      </c>
      <c r="BL32" s="694">
        <f>+BL16-BJ13</f>
        <v>27399730</v>
      </c>
      <c r="BN32" s="693" t="s">
        <v>474</v>
      </c>
      <c r="BO32" s="694">
        <f>+BO16-BM13</f>
        <v>27060730</v>
      </c>
      <c r="BQ32" s="693" t="s">
        <v>474</v>
      </c>
      <c r="BR32" s="694">
        <f>+BR16-BP13</f>
        <v>27269150</v>
      </c>
      <c r="BT32" s="693" t="s">
        <v>474</v>
      </c>
      <c r="BU32" s="694">
        <f>+BU16-BS13</f>
        <v>31383056</v>
      </c>
      <c r="BW32" s="693" t="s">
        <v>474</v>
      </c>
      <c r="BX32" s="694">
        <f>+BX16-BV13</f>
        <v>32816267</v>
      </c>
      <c r="BZ32" s="693" t="s">
        <v>474</v>
      </c>
      <c r="CA32" s="694">
        <f>+CA16-BY13</f>
        <v>32816730</v>
      </c>
      <c r="CC32" s="693" t="s">
        <v>474</v>
      </c>
      <c r="CD32" s="694">
        <f>+CD16-CB13</f>
        <v>32780728</v>
      </c>
      <c r="CF32" s="693" t="s">
        <v>474</v>
      </c>
      <c r="CG32" s="694">
        <f>+CG16-CE13</f>
        <v>32776923</v>
      </c>
      <c r="CI32" s="693" t="s">
        <v>474</v>
      </c>
      <c r="CJ32" s="694">
        <f>+CJ16-CH13</f>
        <v>32816730</v>
      </c>
      <c r="CL32" s="693" t="s">
        <v>474</v>
      </c>
      <c r="CM32" s="694">
        <f>+CM16-CK13</f>
        <v>32856990</v>
      </c>
      <c r="CO32" s="693" t="s">
        <v>474</v>
      </c>
      <c r="CP32" s="694">
        <f>+CP16-CN13</f>
        <v>32856990</v>
      </c>
    </row>
    <row r="33" spans="9:21" x14ac:dyDescent="0.25">
      <c r="T33" s="685">
        <v>44651</v>
      </c>
      <c r="U33" s="686">
        <v>4530.41</v>
      </c>
    </row>
    <row r="34" spans="9:21" x14ac:dyDescent="0.25">
      <c r="T34" s="687">
        <v>44926</v>
      </c>
      <c r="U34" s="688">
        <v>4766.18</v>
      </c>
    </row>
    <row r="35" spans="9:21" x14ac:dyDescent="0.25">
      <c r="I35" s="4">
        <v>16236119000</v>
      </c>
      <c r="J35" t="s">
        <v>465</v>
      </c>
    </row>
    <row r="36" spans="9:21" x14ac:dyDescent="0.25">
      <c r="I36" s="5"/>
    </row>
    <row r="37" spans="9:21" x14ac:dyDescent="0.25">
      <c r="I37" s="4">
        <v>929596131.5</v>
      </c>
      <c r="J37" t="s">
        <v>466</v>
      </c>
    </row>
    <row r="38" spans="9:21" x14ac:dyDescent="0.25">
      <c r="I38" s="4">
        <v>110158599.64148891</v>
      </c>
      <c r="J38" t="s">
        <v>467</v>
      </c>
    </row>
    <row r="39" spans="9:21" x14ac:dyDescent="0.25">
      <c r="I39" s="4"/>
    </row>
    <row r="40" spans="9:21" x14ac:dyDescent="0.25">
      <c r="I40" s="4">
        <f>SUM(I37:I39)</f>
        <v>1039754731.1414889</v>
      </c>
      <c r="J40" s="86" t="s">
        <v>468</v>
      </c>
    </row>
    <row r="41" spans="9:21" x14ac:dyDescent="0.25">
      <c r="I41" s="86">
        <f>+I40/I35</f>
        <v>6.4039610152000548E-2</v>
      </c>
      <c r="J41" t="s">
        <v>469</v>
      </c>
    </row>
    <row r="43" spans="9:21" x14ac:dyDescent="0.25">
      <c r="I43" s="5"/>
    </row>
    <row r="44" spans="9:21" x14ac:dyDescent="0.25">
      <c r="I44" s="5"/>
    </row>
    <row r="45" spans="9:21" x14ac:dyDescent="0.25">
      <c r="I45" s="5"/>
    </row>
    <row r="46" spans="9:21" x14ac:dyDescent="0.25">
      <c r="I46" s="5"/>
    </row>
    <row r="47" spans="9:21" x14ac:dyDescent="0.25">
      <c r="I47" s="5"/>
    </row>
  </sheetData>
  <mergeCells count="1">
    <mergeCell ref="D20:E20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4D9B-82A1-4A07-88E0-2153D8FB7E34}">
  <sheetPr codeName="Sheet17"/>
  <dimension ref="A1:AA25"/>
  <sheetViews>
    <sheetView zoomScale="80" zoomScaleNormal="80" workbookViewId="0">
      <selection activeCell="T21" sqref="T21"/>
    </sheetView>
  </sheetViews>
  <sheetFormatPr defaultRowHeight="15" x14ac:dyDescent="0.25"/>
  <cols>
    <col min="1" max="1" width="17.42578125" customWidth="1"/>
    <col min="2" max="2" width="11" customWidth="1"/>
    <col min="7" max="7" width="12.7109375" customWidth="1"/>
    <col min="12" max="12" width="14.28515625" customWidth="1"/>
    <col min="14" max="14" width="19.140625" customWidth="1"/>
    <col min="15" max="15" width="16.140625" customWidth="1"/>
    <col min="16" max="16" width="16.42578125" customWidth="1"/>
    <col min="19" max="19" width="11" customWidth="1"/>
    <col min="20" max="20" width="15.7109375" customWidth="1"/>
    <col min="21" max="21" width="9.28515625" customWidth="1"/>
    <col min="22" max="22" width="14.5703125" customWidth="1"/>
    <col min="23" max="23" width="13.5703125" customWidth="1"/>
    <col min="24" max="25" width="14.140625" customWidth="1"/>
    <col min="26" max="26" width="14.5703125" customWidth="1"/>
  </cols>
  <sheetData>
    <row r="1" spans="1:27" ht="29.25" thickBot="1" x14ac:dyDescent="0.3">
      <c r="D1" s="329" t="s">
        <v>135</v>
      </c>
      <c r="E1" s="894" t="s">
        <v>241</v>
      </c>
      <c r="F1" s="895"/>
      <c r="G1" s="895"/>
      <c r="H1" s="895"/>
      <c r="I1" s="895"/>
      <c r="J1" s="896"/>
      <c r="K1" s="897">
        <v>2023</v>
      </c>
      <c r="L1" s="898"/>
      <c r="M1" s="434" t="s">
        <v>77</v>
      </c>
      <c r="N1" s="434" t="s">
        <v>87</v>
      </c>
      <c r="O1" s="434" t="s">
        <v>88</v>
      </c>
      <c r="P1" s="899" t="s">
        <v>117</v>
      </c>
      <c r="Q1" s="900"/>
      <c r="R1" s="171">
        <f>+'Dvd Holdings'!S1</f>
        <v>0.14524836314921075</v>
      </c>
      <c r="S1" s="47"/>
      <c r="T1" s="47"/>
      <c r="U1" s="47"/>
    </row>
    <row r="2" spans="1:27" ht="18.75" x14ac:dyDescent="0.25">
      <c r="C2" s="743" t="s">
        <v>136</v>
      </c>
      <c r="E2" s="47"/>
      <c r="F2" s="470">
        <v>38</v>
      </c>
      <c r="G2" s="195"/>
      <c r="H2" s="195"/>
      <c r="I2" s="195"/>
      <c r="J2" s="435"/>
      <c r="K2" s="906" t="s">
        <v>113</v>
      </c>
      <c r="L2" s="907"/>
      <c r="M2" s="189"/>
      <c r="N2" s="908" t="s">
        <v>0</v>
      </c>
      <c r="O2" s="189"/>
      <c r="P2" s="1">
        <v>45291</v>
      </c>
      <c r="Q2" s="49" t="s">
        <v>1</v>
      </c>
      <c r="R2" s="80" t="s">
        <v>57</v>
      </c>
      <c r="S2" s="197" t="s">
        <v>58</v>
      </c>
      <c r="T2" t="s">
        <v>194</v>
      </c>
      <c r="V2" s="1">
        <v>44926</v>
      </c>
      <c r="W2" s="49" t="s">
        <v>98</v>
      </c>
      <c r="X2" s="80" t="s">
        <v>57</v>
      </c>
      <c r="Y2" t="s">
        <v>194</v>
      </c>
      <c r="Z2" s="49" t="s">
        <v>540</v>
      </c>
    </row>
    <row r="3" spans="1:27" ht="15" customHeight="1" x14ac:dyDescent="0.25">
      <c r="B3" s="44" t="s">
        <v>397</v>
      </c>
      <c r="C3" s="744"/>
      <c r="D3" s="69"/>
      <c r="E3" s="96" t="s">
        <v>413</v>
      </c>
      <c r="F3" s="12"/>
      <c r="G3" s="52"/>
      <c r="H3" s="74" t="s">
        <v>2</v>
      </c>
      <c r="I3" s="115" t="s">
        <v>89</v>
      </c>
      <c r="J3" s="128" t="s">
        <v>90</v>
      </c>
      <c r="K3" s="156"/>
      <c r="L3" s="131"/>
      <c r="N3" s="909"/>
      <c r="P3" s="2"/>
      <c r="S3" s="45"/>
      <c r="V3" s="2"/>
      <c r="X3" s="28"/>
    </row>
    <row r="4" spans="1:27" ht="15.75" x14ac:dyDescent="0.25">
      <c r="A4" s="10">
        <f t="shared" ref="A4:A13" si="0">+C4*N4</f>
        <v>2008800.0297546384</v>
      </c>
      <c r="B4" s="523">
        <f>+C4*E4</f>
        <v>1.0528302042739196E-2</v>
      </c>
      <c r="C4" s="356">
        <f>_xll.BDP(F4&amp;" EQUITY",$D$1)*0.01</f>
        <v>5.3090189091632337E-2</v>
      </c>
      <c r="D4" s="85"/>
      <c r="E4" s="519">
        <f t="shared" ref="E4:E13" si="1">+N4/$N$20</f>
        <v>0.19830974842767296</v>
      </c>
      <c r="F4" s="582" t="s">
        <v>533</v>
      </c>
      <c r="G4" s="583">
        <v>750000</v>
      </c>
      <c r="H4" s="584">
        <f>_xll.BDP(F4&amp;" EQUITY",$M$1)</f>
        <v>50.45</v>
      </c>
      <c r="I4" s="112">
        <f>_xll.BDP(F4&amp;" EQUITY",$N$1)</f>
        <v>0</v>
      </c>
      <c r="J4" s="127">
        <f>_xll.BDP(F4&amp;" EQUITY",$O$1)*0.01</f>
        <v>0</v>
      </c>
      <c r="K4" s="132"/>
      <c r="L4" s="161">
        <f t="shared" ref="L4:L13" si="2">+I4*G4</f>
        <v>0</v>
      </c>
      <c r="M4" s="99"/>
      <c r="N4" s="587">
        <f t="shared" ref="N4:N13" si="3">+H4*G4</f>
        <v>37837500</v>
      </c>
      <c r="O4" s="99"/>
      <c r="P4" s="173">
        <v>50.23</v>
      </c>
      <c r="Q4" s="749">
        <f t="shared" ref="Q4:Q13" si="4">+H4/P4-1</f>
        <v>4.3798526776828162E-3</v>
      </c>
      <c r="R4" s="82">
        <f t="shared" ref="R4:R13" si="5">+RANK(Q4,$Q$4:$Q$17)</f>
        <v>6</v>
      </c>
      <c r="S4" s="45"/>
      <c r="T4" s="746">
        <f>+Q4*E4</f>
        <v>8.6856748266154907E-4</v>
      </c>
      <c r="V4" s="173">
        <v>50.13</v>
      </c>
      <c r="W4" s="749">
        <f>+P4/V4-1</f>
        <v>1.9948134849390176E-3</v>
      </c>
      <c r="X4" s="106">
        <f>+RANK(W4,$W$4:$W$17)</f>
        <v>4</v>
      </c>
      <c r="Y4" s="747">
        <f>+W4*E4</f>
        <v>3.9559096035838616E-4</v>
      </c>
      <c r="Z4" s="747">
        <f t="shared" ref="Z4:Z7" si="6">+H4/V4-1</f>
        <v>6.3834031518053003E-3</v>
      </c>
      <c r="AA4" s="746"/>
    </row>
    <row r="5" spans="1:27" ht="15.75" x14ac:dyDescent="0.25">
      <c r="A5" s="10">
        <f t="shared" si="0"/>
        <v>527707.20720291149</v>
      </c>
      <c r="B5" s="523">
        <f t="shared" ref="B5:B13" si="7">+C5*E5</f>
        <v>2.7657610440404161E-3</v>
      </c>
      <c r="C5" s="357">
        <f>_xll.BDP(F5&amp;" EQUITY",$D$1)*0.01</f>
        <v>1.2943755580564063E-2</v>
      </c>
      <c r="D5" s="85"/>
      <c r="E5" s="740">
        <f t="shared" si="1"/>
        <v>0.2136753144654088</v>
      </c>
      <c r="F5" s="582" t="s">
        <v>539</v>
      </c>
      <c r="G5" s="585">
        <v>75000</v>
      </c>
      <c r="H5" s="584">
        <f>_xll.BDP(F5&amp;" EQUITY",$M$1)</f>
        <v>543.59</v>
      </c>
      <c r="I5" s="112">
        <f>_xll.BDP(F5&amp;" EQUITY",$N$1)</f>
        <v>0.85</v>
      </c>
      <c r="J5" s="127">
        <f>_xll.BDP(F5&amp;" EQUITY",$O$1)*0.01</f>
        <v>1.5661270000000001E-3</v>
      </c>
      <c r="K5" s="132"/>
      <c r="L5" s="161">
        <f t="shared" si="2"/>
        <v>63750</v>
      </c>
      <c r="M5" s="99"/>
      <c r="N5" s="587">
        <f t="shared" si="3"/>
        <v>40769250</v>
      </c>
      <c r="O5" s="99"/>
      <c r="P5" s="173">
        <v>475.31</v>
      </c>
      <c r="Q5" s="749">
        <f t="shared" si="4"/>
        <v>0.14365361553512446</v>
      </c>
      <c r="R5" s="82">
        <f t="shared" si="5"/>
        <v>1</v>
      </c>
      <c r="S5" s="45" t="s">
        <v>61</v>
      </c>
      <c r="T5" s="746">
        <f t="shared" ref="T5:T13" si="8">+Q5*E5</f>
        <v>3.0695231473560652E-2</v>
      </c>
      <c r="V5" s="173">
        <v>382.43</v>
      </c>
      <c r="W5" s="749">
        <f t="shared" ref="W5:W13" si="9">+P5/V5-1</f>
        <v>0.24286797583871556</v>
      </c>
      <c r="X5" s="106">
        <f t="shared" ref="X5:X13" si="10">+RANK(W5,$W$4:$W$17)</f>
        <v>1</v>
      </c>
      <c r="Y5" s="747">
        <f t="shared" ref="Y5:Y13" si="11">+W5*E5</f>
        <v>5.1894891110914852E-2</v>
      </c>
      <c r="Z5" s="747">
        <f t="shared" si="6"/>
        <v>0.42141045420076884</v>
      </c>
      <c r="AA5" s="746"/>
    </row>
    <row r="6" spans="1:27" ht="15.75" x14ac:dyDescent="0.25">
      <c r="A6" s="10">
        <f t="shared" si="0"/>
        <v>2161619.9016571045</v>
      </c>
      <c r="B6" s="523">
        <f t="shared" si="7"/>
        <v>1.1329244767594887E-2</v>
      </c>
      <c r="C6" s="357">
        <f>_xll.BDP(F6&amp;" EQUITY",$D$1)*0.01</f>
        <v>7.594023842321132E-2</v>
      </c>
      <c r="D6" s="85"/>
      <c r="E6" s="740">
        <f t="shared" si="1"/>
        <v>0.14918632075471699</v>
      </c>
      <c r="F6" s="582" t="s">
        <v>532</v>
      </c>
      <c r="G6" s="583">
        <v>500000</v>
      </c>
      <c r="H6" s="584">
        <f>_xll.BDP(F6&amp;" EQUITY",$M$1)</f>
        <v>56.929499999999997</v>
      </c>
      <c r="I6" s="112">
        <f>_xll.BDP(F6&amp;" EQUITY",$N$1)</f>
        <v>-2.0500000000000001E-2</v>
      </c>
      <c r="J6" s="127">
        <f>_xll.BDP(F6&amp;" EQUITY",$O$1)*0.01</f>
        <v>-3.5996489999999998E-4</v>
      </c>
      <c r="K6" s="132"/>
      <c r="L6" s="161">
        <f t="shared" si="2"/>
        <v>-10250</v>
      </c>
      <c r="M6" s="99"/>
      <c r="N6" s="587">
        <f t="shared" si="3"/>
        <v>28464750</v>
      </c>
      <c r="O6" s="99"/>
      <c r="P6" s="173">
        <v>54.98</v>
      </c>
      <c r="Q6" s="749">
        <f t="shared" si="4"/>
        <v>3.5458348490360114E-2</v>
      </c>
      <c r="R6" s="82">
        <f t="shared" si="5"/>
        <v>4</v>
      </c>
      <c r="S6" s="45" t="s">
        <v>61</v>
      </c>
      <c r="T6" s="746">
        <f t="shared" si="8"/>
        <v>5.2899005513153989E-3</v>
      </c>
      <c r="V6" s="173">
        <v>54.49</v>
      </c>
      <c r="W6" s="749">
        <f t="shared" si="9"/>
        <v>8.9924756836115005E-3</v>
      </c>
      <c r="X6" s="106">
        <f t="shared" si="10"/>
        <v>2</v>
      </c>
      <c r="Y6" s="747">
        <f t="shared" si="11"/>
        <v>1.3415543617142584E-3</v>
      </c>
      <c r="Z6" s="747">
        <f t="shared" si="6"/>
        <v>4.4769682510552355E-2</v>
      </c>
      <c r="AA6" s="746"/>
    </row>
    <row r="7" spans="1:27" ht="15.75" x14ac:dyDescent="0.25">
      <c r="A7" s="10">
        <f t="shared" si="0"/>
        <v>1949999.928474426</v>
      </c>
      <c r="B7" s="523">
        <f t="shared" si="7"/>
        <v>1.0220125411291541E-2</v>
      </c>
      <c r="C7" s="357">
        <f>_xll.BDP(F7&amp;" EQUITY",$D$1)*0.01</f>
        <v>0.12925676881096537</v>
      </c>
      <c r="D7" s="85"/>
      <c r="E7" s="520">
        <f t="shared" si="1"/>
        <v>7.906839622641508E-2</v>
      </c>
      <c r="F7" s="582" t="s">
        <v>537</v>
      </c>
      <c r="G7" s="583">
        <v>750000</v>
      </c>
      <c r="H7" s="584">
        <f>_xll.BDP(F7&amp;" EQUITY",$M$1)</f>
        <v>20.114999999999998</v>
      </c>
      <c r="I7" s="112">
        <f>_xll.BDP(F7&amp;" EQUITY",$N$1)</f>
        <v>-5.5E-2</v>
      </c>
      <c r="J7" s="127">
        <f>_xll.BDP(F7&amp;" EQUITY",$O$1)*0.01</f>
        <v>-2.7268219999999998E-3</v>
      </c>
      <c r="K7" s="132"/>
      <c r="L7" s="161">
        <f t="shared" si="2"/>
        <v>-41250</v>
      </c>
      <c r="M7" s="99"/>
      <c r="N7" s="587">
        <f t="shared" si="3"/>
        <v>15086249.999999998</v>
      </c>
      <c r="O7" s="99"/>
      <c r="P7" s="173">
        <v>19.37</v>
      </c>
      <c r="Q7" s="749">
        <f t="shared" si="4"/>
        <v>3.8461538461538325E-2</v>
      </c>
      <c r="R7" s="82">
        <f t="shared" si="5"/>
        <v>3</v>
      </c>
      <c r="S7" s="45" t="s">
        <v>61</v>
      </c>
      <c r="T7" s="746">
        <f t="shared" si="8"/>
        <v>3.0410921625544153E-3</v>
      </c>
      <c r="V7" s="173">
        <v>21.08</v>
      </c>
      <c r="W7" s="749">
        <f t="shared" si="9"/>
        <v>-8.1119544592030191E-2</v>
      </c>
      <c r="X7" s="106">
        <f t="shared" si="10"/>
        <v>10</v>
      </c>
      <c r="Y7" s="747">
        <f t="shared" si="11"/>
        <v>-6.41399229350899E-3</v>
      </c>
      <c r="Z7" s="747">
        <f t="shared" si="6"/>
        <v>-4.5777988614800758E-2</v>
      </c>
      <c r="AA7" s="746"/>
    </row>
    <row r="8" spans="1:27" ht="15.75" x14ac:dyDescent="0.25">
      <c r="A8" s="10">
        <f t="shared" si="0"/>
        <v>265368.00861358643</v>
      </c>
      <c r="B8" s="523">
        <f t="shared" si="7"/>
        <v>1.3908176552074761E-3</v>
      </c>
      <c r="C8" s="357">
        <f>_xll.BDP(F8&amp;" EQUITY",$D$1)*0.01</f>
        <v>1.6058578433499934E-2</v>
      </c>
      <c r="D8" s="85"/>
      <c r="E8" s="520">
        <f t="shared" si="1"/>
        <v>8.6609014675052415E-2</v>
      </c>
      <c r="F8" s="582" t="s">
        <v>538</v>
      </c>
      <c r="G8" s="583">
        <v>100000</v>
      </c>
      <c r="H8" s="584">
        <f>_xll.BDP(F8&amp;" EQUITY",$M$1)</f>
        <v>165.25</v>
      </c>
      <c r="I8" s="112">
        <f>_xll.BDP(F8&amp;" EQUITY",$N$1)</f>
        <v>-0.47</v>
      </c>
      <c r="J8" s="127">
        <f>_xll.BDP(F8&amp;" EQUITY",$O$1)*0.01</f>
        <v>-2.8361089999999999E-3</v>
      </c>
      <c r="K8" s="132"/>
      <c r="L8" s="161">
        <f t="shared" si="2"/>
        <v>-47000</v>
      </c>
      <c r="M8" s="99"/>
      <c r="N8" s="587">
        <f t="shared" si="3"/>
        <v>16525000</v>
      </c>
      <c r="O8" s="99"/>
      <c r="P8" s="173">
        <v>157.74</v>
      </c>
      <c r="Q8" s="749">
        <f t="shared" si="4"/>
        <v>4.7609991124635487E-2</v>
      </c>
      <c r="R8" s="82">
        <f t="shared" si="5"/>
        <v>2</v>
      </c>
      <c r="S8" s="45" t="s">
        <v>61</v>
      </c>
      <c r="T8" s="746">
        <f t="shared" si="8"/>
        <v>4.1234544199926703E-3</v>
      </c>
      <c r="V8" s="173">
        <v>157.74</v>
      </c>
      <c r="W8" s="749">
        <f t="shared" si="9"/>
        <v>0</v>
      </c>
      <c r="X8" s="106">
        <f t="shared" si="10"/>
        <v>5</v>
      </c>
      <c r="Y8" s="747">
        <f t="shared" si="11"/>
        <v>0</v>
      </c>
      <c r="Z8" s="747">
        <f>+H8/V8-1</f>
        <v>4.7609991124635487E-2</v>
      </c>
      <c r="AA8" s="746"/>
    </row>
    <row r="9" spans="1:27" ht="15.75" x14ac:dyDescent="0.25">
      <c r="A9" s="10">
        <f t="shared" si="0"/>
        <v>366204.70718745876</v>
      </c>
      <c r="B9" s="523">
        <f t="shared" si="7"/>
        <v>1.9193118825338511E-3</v>
      </c>
      <c r="C9" s="357">
        <f>_xll.BDP(F9&amp;" EQUITY",$D$1)*0.01</f>
        <v>3.1003425164557223E-2</v>
      </c>
      <c r="D9" s="85"/>
      <c r="E9" s="520">
        <f t="shared" si="1"/>
        <v>6.1906446540880504E-2</v>
      </c>
      <c r="F9" s="582" t="s">
        <v>499</v>
      </c>
      <c r="G9" s="583">
        <v>150000</v>
      </c>
      <c r="H9" s="584">
        <f>_xll.BDP(F9&amp;" EQUITY",$M$1)</f>
        <v>78.745000000000005</v>
      </c>
      <c r="I9" s="112">
        <f>_xll.BDP(F9&amp;" EQUITY",$N$1)</f>
        <v>-0.19</v>
      </c>
      <c r="J9" s="127">
        <f>_xll.BDP(F9&amp;" EQUITY",$O$1)*0.01</f>
        <v>-2.398687E-3</v>
      </c>
      <c r="K9" s="132"/>
      <c r="L9" s="161">
        <f t="shared" si="2"/>
        <v>-28500</v>
      </c>
      <c r="M9" s="99"/>
      <c r="N9" s="587">
        <f t="shared" si="3"/>
        <v>11811750</v>
      </c>
      <c r="O9" s="99"/>
      <c r="P9" s="173">
        <v>76.13</v>
      </c>
      <c r="Q9" s="749">
        <f t="shared" si="4"/>
        <v>3.4349139629581193E-2</v>
      </c>
      <c r="R9" s="82">
        <f t="shared" si="5"/>
        <v>5</v>
      </c>
      <c r="S9" s="45" t="s">
        <v>61</v>
      </c>
      <c r="T9" s="746">
        <f t="shared" si="8"/>
        <v>2.1264331762039083E-3</v>
      </c>
      <c r="V9" s="173">
        <v>75.540000000000006</v>
      </c>
      <c r="W9" s="749">
        <f t="shared" si="9"/>
        <v>7.8104315594385021E-3</v>
      </c>
      <c r="X9" s="106">
        <f t="shared" si="10"/>
        <v>3</v>
      </c>
      <c r="Y9" s="747">
        <f t="shared" si="11"/>
        <v>4.8351606379558559E-4</v>
      </c>
      <c r="Z9" s="747">
        <f>+H9/V9-1</f>
        <v>4.2427852793222032E-2</v>
      </c>
      <c r="AA9" s="746"/>
    </row>
    <row r="10" spans="1:27" ht="15.75" x14ac:dyDescent="0.25">
      <c r="A10" s="10">
        <f t="shared" si="0"/>
        <v>1800000.0715255735</v>
      </c>
      <c r="B10" s="523">
        <f t="shared" si="7"/>
        <v>9.433962639022922E-3</v>
      </c>
      <c r="C10" s="357">
        <f>_xll.BDP(F10&amp;" EQUITY",$D$1)*0.01</f>
        <v>0.14678899665855849</v>
      </c>
      <c r="D10" s="85"/>
      <c r="E10" s="520">
        <f t="shared" si="1"/>
        <v>6.4268867924528308E-2</v>
      </c>
      <c r="F10" s="582" t="s">
        <v>536</v>
      </c>
      <c r="G10" s="583">
        <v>1250000</v>
      </c>
      <c r="H10" s="584">
        <f>_xll.BDP(F10&amp;" EQUITY",$M$1)</f>
        <v>9.81</v>
      </c>
      <c r="I10" s="112">
        <f>_xll.BDP(F10&amp;" EQUITY",$N$1)</f>
        <v>-0.04</v>
      </c>
      <c r="J10" s="127">
        <f>_xll.BDP(F10&amp;" EQUITY",$O$1)*0.01</f>
        <v>-4.0609139999999997E-3</v>
      </c>
      <c r="K10" s="132"/>
      <c r="L10" s="161">
        <f t="shared" si="2"/>
        <v>-50000</v>
      </c>
      <c r="M10" s="99"/>
      <c r="N10" s="587">
        <f t="shared" si="3"/>
        <v>12262500</v>
      </c>
      <c r="O10" s="99"/>
      <c r="P10" s="753">
        <v>33.67</v>
      </c>
      <c r="Q10" s="749">
        <f t="shared" si="4"/>
        <v>-0.70864270864270862</v>
      </c>
      <c r="R10" s="82">
        <f t="shared" si="5"/>
        <v>8</v>
      </c>
      <c r="S10" s="45"/>
      <c r="T10" s="746">
        <f t="shared" si="8"/>
        <v>-4.5543664647438233E-2</v>
      </c>
      <c r="V10" s="173">
        <v>33.67</v>
      </c>
      <c r="W10" s="749">
        <f t="shared" si="9"/>
        <v>0</v>
      </c>
      <c r="X10" s="106">
        <f t="shared" si="10"/>
        <v>5</v>
      </c>
      <c r="Y10" s="747">
        <f t="shared" si="11"/>
        <v>0</v>
      </c>
      <c r="Z10" s="747">
        <f t="shared" ref="Z10:Z13" si="12">+H10/V10-1</f>
        <v>-0.70864270864270862</v>
      </c>
      <c r="AA10" s="746"/>
    </row>
    <row r="11" spans="1:27" ht="15.75" x14ac:dyDescent="0.25">
      <c r="A11" s="10">
        <f t="shared" si="0"/>
        <v>939999.99761581421</v>
      </c>
      <c r="B11" s="523">
        <f t="shared" si="7"/>
        <v>4.9266247254497594E-3</v>
      </c>
      <c r="C11" s="357">
        <f>_xll.BDP(F11&amp;" EQUITY",$D$1)*0.01</f>
        <v>7.9324894313570815E-2</v>
      </c>
      <c r="D11" s="85"/>
      <c r="E11" s="520">
        <f t="shared" si="1"/>
        <v>6.2106918238993711E-2</v>
      </c>
      <c r="F11" s="582" t="s">
        <v>535</v>
      </c>
      <c r="G11" s="585">
        <v>250000</v>
      </c>
      <c r="H11" s="584">
        <f>_xll.BDP(F11&amp;" EQUITY",$M$1)</f>
        <v>47.4</v>
      </c>
      <c r="I11" s="112">
        <f>_xll.BDP(F11&amp;" EQUITY",$N$1)</f>
        <v>-0.13</v>
      </c>
      <c r="J11" s="127">
        <f>_xll.BDP(F11&amp;" EQUITY",$O$1)*0.01</f>
        <v>-2.7351150000000002E-3</v>
      </c>
      <c r="K11" s="132"/>
      <c r="L11" s="161">
        <f t="shared" si="2"/>
        <v>-32500</v>
      </c>
      <c r="M11" s="99"/>
      <c r="N11" s="587">
        <f t="shared" si="3"/>
        <v>11850000</v>
      </c>
      <c r="O11" s="99"/>
      <c r="P11" s="753">
        <v>149.16</v>
      </c>
      <c r="Q11" s="749">
        <f t="shared" si="4"/>
        <v>-0.68222043443282376</v>
      </c>
      <c r="R11" s="82">
        <f t="shared" si="5"/>
        <v>7</v>
      </c>
      <c r="S11" s="45"/>
      <c r="T11" s="746">
        <f t="shared" si="8"/>
        <v>-4.2370608742290157E-2</v>
      </c>
      <c r="V11" s="173">
        <v>149.16</v>
      </c>
      <c r="W11" s="749">
        <f t="shared" si="9"/>
        <v>0</v>
      </c>
      <c r="X11" s="106">
        <f t="shared" si="10"/>
        <v>5</v>
      </c>
      <c r="Y11" s="747">
        <f t="shared" si="11"/>
        <v>0</v>
      </c>
      <c r="Z11" s="747">
        <f t="shared" si="12"/>
        <v>-0.68222043443282376</v>
      </c>
      <c r="AA11" s="746"/>
    </row>
    <row r="12" spans="1:27" ht="15.75" x14ac:dyDescent="0.25">
      <c r="A12" s="10">
        <f t="shared" si="0"/>
        <v>1079279.9949645996</v>
      </c>
      <c r="B12" s="523">
        <f t="shared" si="7"/>
        <v>5.6566037471939183E-3</v>
      </c>
      <c r="C12" s="357">
        <f>_xll.BDP(F12&amp;" EQUITY",$D$1)*0.01</f>
        <v>9.7867246551015571E-2</v>
      </c>
      <c r="D12" s="85"/>
      <c r="E12" s="520">
        <f t="shared" si="1"/>
        <v>5.7798742138364778E-2</v>
      </c>
      <c r="F12" s="582" t="s">
        <v>534</v>
      </c>
      <c r="G12" s="583">
        <v>200000</v>
      </c>
      <c r="H12" s="584">
        <f>_xll.BDP(F12&amp;" EQUITY",$M$1)</f>
        <v>55.14</v>
      </c>
      <c r="I12" s="112">
        <f>_xll.BDP(F12&amp;" EQUITY",$N$1)</f>
        <v>0.08</v>
      </c>
      <c r="J12" s="127">
        <f>_xll.BDP(F12&amp;" EQUITY",$O$1)*0.01</f>
        <v>1.4529600000000001E-3</v>
      </c>
      <c r="K12" s="132"/>
      <c r="L12" s="161">
        <f t="shared" si="2"/>
        <v>16000</v>
      </c>
      <c r="M12" s="99"/>
      <c r="N12" s="587">
        <f t="shared" si="3"/>
        <v>11028000</v>
      </c>
      <c r="O12" s="99"/>
      <c r="P12" s="753">
        <v>346.55</v>
      </c>
      <c r="Q12" s="749">
        <f t="shared" si="4"/>
        <v>-0.84088876064060014</v>
      </c>
      <c r="R12" s="82">
        <f t="shared" si="5"/>
        <v>9</v>
      </c>
      <c r="S12" s="45"/>
      <c r="T12" s="746">
        <f t="shared" si="8"/>
        <v>-4.8602312643315188E-2</v>
      </c>
      <c r="V12" s="173">
        <v>346.55</v>
      </c>
      <c r="W12" s="749">
        <f t="shared" si="9"/>
        <v>0</v>
      </c>
      <c r="X12" s="106">
        <f t="shared" si="10"/>
        <v>5</v>
      </c>
      <c r="Y12" s="747">
        <f t="shared" si="11"/>
        <v>0</v>
      </c>
      <c r="Z12" s="747">
        <f t="shared" si="12"/>
        <v>-0.84088876064060014</v>
      </c>
      <c r="AA12" s="746"/>
    </row>
    <row r="13" spans="1:27" ht="15.75" x14ac:dyDescent="0.25">
      <c r="A13" s="10">
        <f t="shared" si="0"/>
        <v>479999.98927116394</v>
      </c>
      <c r="B13" s="523">
        <f t="shared" si="7"/>
        <v>2.5157232142094545E-3</v>
      </c>
      <c r="C13" s="357">
        <f>_xll.BDP(F13&amp;" EQUITY",$D$1)*0.01</f>
        <v>9.2933202182219538E-2</v>
      </c>
      <c r="D13" s="85"/>
      <c r="E13" s="520">
        <f t="shared" si="1"/>
        <v>2.7070230607966456E-2</v>
      </c>
      <c r="F13" s="582" t="s">
        <v>206</v>
      </c>
      <c r="G13" s="585">
        <v>250000</v>
      </c>
      <c r="H13" s="584">
        <f>_xll.BDP(F13&amp;" EQUITY",$M$1)</f>
        <v>20.66</v>
      </c>
      <c r="I13" s="112">
        <f>_xll.BDP(F13&amp;" EQUITY",$N$1)</f>
        <v>-0.01</v>
      </c>
      <c r="J13" s="127">
        <f>_xll.BDP(F13&amp;" EQUITY",$O$1)*0.01</f>
        <v>-4.8379290000000001E-4</v>
      </c>
      <c r="K13" s="132"/>
      <c r="L13" s="161">
        <f t="shared" si="2"/>
        <v>-2500</v>
      </c>
      <c r="M13" s="99"/>
      <c r="N13" s="587">
        <f t="shared" si="3"/>
        <v>5165000</v>
      </c>
      <c r="O13" s="99"/>
      <c r="P13" s="753">
        <v>215.88</v>
      </c>
      <c r="Q13" s="749">
        <f t="shared" si="4"/>
        <v>-0.90429868445432648</v>
      </c>
      <c r="R13" s="82">
        <f t="shared" si="5"/>
        <v>10</v>
      </c>
      <c r="S13" s="45"/>
      <c r="T13" s="746">
        <f t="shared" si="8"/>
        <v>-2.4479573926659309E-2</v>
      </c>
      <c r="V13" s="173">
        <v>215.88</v>
      </c>
      <c r="W13" s="749">
        <f t="shared" si="9"/>
        <v>0</v>
      </c>
      <c r="X13" s="106">
        <f t="shared" si="10"/>
        <v>5</v>
      </c>
      <c r="Y13" s="748">
        <f t="shared" si="11"/>
        <v>0</v>
      </c>
      <c r="Z13" s="747">
        <f t="shared" si="12"/>
        <v>-0.90429868445432648</v>
      </c>
      <c r="AA13" s="746"/>
    </row>
    <row r="14" spans="1:27" ht="15.75" x14ac:dyDescent="0.25">
      <c r="C14" s="357"/>
      <c r="D14" s="85"/>
      <c r="E14" s="520"/>
      <c r="F14" s="582"/>
      <c r="G14" s="585">
        <v>0</v>
      </c>
      <c r="H14" s="584"/>
      <c r="I14" s="112"/>
      <c r="J14" s="127"/>
      <c r="K14" s="132"/>
      <c r="L14" s="161"/>
      <c r="M14" s="99"/>
      <c r="N14" s="587">
        <v>0</v>
      </c>
      <c r="O14" s="99"/>
      <c r="P14" s="753"/>
      <c r="Q14" s="749"/>
      <c r="R14" s="17"/>
      <c r="S14" s="45"/>
      <c r="V14" s="173"/>
      <c r="W14" s="749"/>
      <c r="X14" s="39"/>
      <c r="Y14" s="96"/>
      <c r="Z14" s="96"/>
    </row>
    <row r="15" spans="1:27" ht="15.75" x14ac:dyDescent="0.25">
      <c r="C15" s="357"/>
      <c r="D15" s="85"/>
      <c r="E15" s="520"/>
      <c r="F15" s="582"/>
      <c r="G15" s="585">
        <v>0</v>
      </c>
      <c r="H15" s="584"/>
      <c r="I15" s="112"/>
      <c r="J15" s="127"/>
      <c r="K15" s="132"/>
      <c r="L15" s="161"/>
      <c r="M15" s="99"/>
      <c r="N15" s="587">
        <v>0</v>
      </c>
      <c r="O15" s="99"/>
      <c r="P15" s="173"/>
      <c r="Q15" s="590"/>
      <c r="R15" s="17"/>
      <c r="S15" s="45"/>
      <c r="V15" s="173"/>
      <c r="W15" s="590"/>
      <c r="X15" s="39"/>
    </row>
    <row r="16" spans="1:27" ht="15.75" x14ac:dyDescent="0.25">
      <c r="C16" s="357"/>
      <c r="D16" s="85"/>
      <c r="E16" s="520"/>
      <c r="F16" s="745"/>
      <c r="G16" s="742">
        <v>0</v>
      </c>
      <c r="H16" s="586"/>
      <c r="I16" s="114"/>
      <c r="J16" s="130"/>
      <c r="K16" s="132"/>
      <c r="L16" s="161"/>
      <c r="M16" s="99"/>
      <c r="N16" s="588">
        <v>0</v>
      </c>
      <c r="O16" s="99"/>
      <c r="P16" s="173"/>
      <c r="Q16" s="590"/>
      <c r="R16" s="17"/>
      <c r="S16" s="45"/>
      <c r="V16" s="173"/>
      <c r="W16" s="590"/>
      <c r="X16" s="39"/>
    </row>
    <row r="17" spans="1:27" ht="15.75" x14ac:dyDescent="0.25">
      <c r="C17" s="24"/>
      <c r="D17" s="85"/>
      <c r="F17" s="3"/>
      <c r="G17" s="101"/>
      <c r="H17" s="9"/>
      <c r="I17" s="112"/>
      <c r="J17" s="127"/>
      <c r="K17" s="157"/>
      <c r="L17" s="161"/>
      <c r="M17" s="99"/>
      <c r="N17" s="589"/>
      <c r="O17" s="99"/>
      <c r="P17" s="173"/>
      <c r="Q17" s="37"/>
      <c r="R17" s="17"/>
      <c r="S17" s="45"/>
      <c r="T17" s="302">
        <f>SUM(T4:T16)</f>
        <v>-0.11485148069341429</v>
      </c>
      <c r="V17" s="173"/>
      <c r="W17" s="37"/>
      <c r="X17" s="39"/>
      <c r="Y17" s="302">
        <f>SUM(Y4:Y16)</f>
        <v>4.7701560203274089E-2</v>
      </c>
      <c r="AA17" s="302"/>
    </row>
    <row r="18" spans="1:27" x14ac:dyDescent="0.25">
      <c r="A18" s="10">
        <f>SUM(A4:A17)</f>
        <v>11578979.836267278</v>
      </c>
      <c r="F18" s="3"/>
      <c r="G18" s="101"/>
      <c r="H18" s="9"/>
      <c r="I18" s="112"/>
      <c r="J18" s="127"/>
      <c r="K18" s="126"/>
      <c r="L18" s="161"/>
      <c r="M18" s="99"/>
      <c r="N18" s="62"/>
      <c r="O18" s="77"/>
      <c r="P18" s="77"/>
      <c r="R18" s="60"/>
      <c r="S18" s="60"/>
      <c r="T18" s="110"/>
      <c r="U18" s="110"/>
    </row>
    <row r="19" spans="1:27" x14ac:dyDescent="0.25">
      <c r="A19" s="86">
        <f>+A18/N20</f>
        <v>6.0686477129283427E-2</v>
      </c>
      <c r="F19" s="3"/>
      <c r="G19" s="29"/>
      <c r="H19" s="9"/>
      <c r="I19" s="9"/>
      <c r="K19" s="135"/>
      <c r="L19" s="132"/>
      <c r="N19" s="132"/>
      <c r="T19" s="47"/>
      <c r="U19" s="47"/>
      <c r="V19" s="60"/>
    </row>
    <row r="20" spans="1:27" x14ac:dyDescent="0.25">
      <c r="F20" s="31"/>
      <c r="G20" s="32"/>
      <c r="H20" s="33"/>
      <c r="I20" s="33"/>
      <c r="J20" s="34"/>
      <c r="K20" s="137"/>
      <c r="L20" s="162">
        <f>SUM(L4:L19)</f>
        <v>-132250</v>
      </c>
      <c r="M20" s="99"/>
      <c r="N20" s="14">
        <f>SUM(N4:N18)</f>
        <v>190800000</v>
      </c>
      <c r="O20" s="190"/>
      <c r="P20" s="190"/>
      <c r="T20" s="47"/>
      <c r="U20" s="47"/>
    </row>
    <row r="21" spans="1:27" x14ac:dyDescent="0.25">
      <c r="G21" s="4"/>
      <c r="H21" s="9"/>
      <c r="I21" s="9"/>
      <c r="K21" s="48"/>
    </row>
    <row r="22" spans="1:27" x14ac:dyDescent="0.25">
      <c r="K22" s="191" t="s">
        <v>74</v>
      </c>
      <c r="L22" s="300">
        <f>+L20/N20</f>
        <v>-6.9313417190775678E-4</v>
      </c>
      <c r="N22" s="310">
        <f>285747103-39196724</f>
        <v>246550379</v>
      </c>
      <c r="O22" s="263" t="s">
        <v>164</v>
      </c>
      <c r="P22" s="5"/>
    </row>
    <row r="23" spans="1:27" x14ac:dyDescent="0.25">
      <c r="F23" s="278" t="s">
        <v>73</v>
      </c>
      <c r="G23" s="279"/>
      <c r="H23" s="280">
        <f>_xll.BDP(F23&amp;" Index",$M$1)</f>
        <v>5459.62</v>
      </c>
      <c r="I23" s="281">
        <f>_xll.BDP(F23&amp;" Index",$N$1)</f>
        <v>15.02</v>
      </c>
      <c r="J23" s="282">
        <f>_xll.BDP(F23&amp;" Index",$O$1)*0.01</f>
        <v>2.1568060000000003E-3</v>
      </c>
      <c r="K23" s="295" t="s">
        <v>114</v>
      </c>
      <c r="L23" s="301">
        <f>+J23</f>
        <v>2.1568060000000003E-3</v>
      </c>
      <c r="N23" s="261">
        <f>+(N20/N22)-1</f>
        <v>-0.22612165199713607</v>
      </c>
      <c r="O23" s="262"/>
      <c r="P23" s="60"/>
    </row>
    <row r="24" spans="1:27" x14ac:dyDescent="0.25">
      <c r="G24" s="4"/>
      <c r="K24" s="96" t="s">
        <v>115</v>
      </c>
      <c r="L24" s="302">
        <f>+L22-L23</f>
        <v>-2.8499401719077572E-3</v>
      </c>
      <c r="N24" s="163">
        <f>+R1</f>
        <v>0.14524836314921075</v>
      </c>
      <c r="O24" t="s">
        <v>117</v>
      </c>
    </row>
    <row r="25" spans="1:27" x14ac:dyDescent="0.25">
      <c r="G25" s="4"/>
      <c r="K25" s="96"/>
      <c r="N25" s="273">
        <f>+N23-N24</f>
        <v>-0.37137001514634682</v>
      </c>
    </row>
  </sheetData>
  <sortState xmlns:xlrd2="http://schemas.microsoft.com/office/spreadsheetml/2017/richdata2" ref="A4:S14">
    <sortCondition descending="1" ref="N4:N14"/>
  </sortState>
  <mergeCells count="5">
    <mergeCell ref="E1:J1"/>
    <mergeCell ref="K1:L1"/>
    <mergeCell ref="P1:Q1"/>
    <mergeCell ref="K2:L2"/>
    <mergeCell ref="N2:N3"/>
  </mergeCells>
  <conditionalFormatting sqref="C4:C16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:J16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4:R16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4:X1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DDFB-FFC1-4421-9AFD-308D82AFA4CF}">
  <sheetPr codeName="Sheet1"/>
  <dimension ref="A1:AI146"/>
  <sheetViews>
    <sheetView topLeftCell="A53" zoomScale="80" zoomScaleNormal="80" workbookViewId="0">
      <selection activeCell="E64" sqref="E64"/>
    </sheetView>
  </sheetViews>
  <sheetFormatPr defaultRowHeight="15" x14ac:dyDescent="0.25"/>
  <cols>
    <col min="1" max="1" width="10.5703125" customWidth="1"/>
    <col min="2" max="3" width="10.28515625" customWidth="1"/>
    <col min="4" max="4" width="11" customWidth="1"/>
    <col min="5" max="5" width="13.42578125" customWidth="1"/>
    <col min="6" max="6" width="10.28515625" customWidth="1"/>
    <col min="7" max="7" width="10.5703125" bestFit="1" customWidth="1"/>
    <col min="8" max="8" width="13.42578125" customWidth="1"/>
    <col min="10" max="10" width="15.7109375" customWidth="1"/>
    <col min="11" max="11" width="22.7109375" bestFit="1" customWidth="1"/>
    <col min="12" max="12" width="16.85546875" customWidth="1"/>
    <col min="13" max="13" width="20.28515625" customWidth="1"/>
    <col min="14" max="14" width="18.42578125" customWidth="1"/>
    <col min="15" max="15" width="11.85546875" customWidth="1"/>
    <col min="16" max="16" width="10.7109375" customWidth="1"/>
    <col min="17" max="17" width="10.5703125" customWidth="1"/>
    <col min="18" max="18" width="11.28515625" bestFit="1" customWidth="1"/>
    <col min="19" max="19" width="14.5703125" customWidth="1"/>
    <col min="20" max="20" width="14.85546875" bestFit="1" customWidth="1"/>
    <col min="21" max="21" width="13" customWidth="1"/>
    <col min="23" max="23" width="21.140625" bestFit="1" customWidth="1"/>
    <col min="24" max="24" width="10.5703125" customWidth="1"/>
    <col min="25" max="25" width="19.85546875" customWidth="1"/>
    <col min="26" max="26" width="16.85546875" bestFit="1" customWidth="1"/>
    <col min="27" max="27" width="15.42578125" bestFit="1" customWidth="1"/>
    <col min="28" max="28" width="17.85546875" customWidth="1"/>
    <col min="29" max="29" width="14.140625" customWidth="1"/>
    <col min="30" max="30" width="15.140625" bestFit="1" customWidth="1"/>
    <col min="31" max="31" width="11.7109375" customWidth="1"/>
    <col min="34" max="34" width="13.5703125" hidden="1" customWidth="1"/>
    <col min="35" max="35" width="11.28515625" hidden="1" customWidth="1"/>
  </cols>
  <sheetData>
    <row r="1" spans="1:35" ht="15.75" x14ac:dyDescent="0.25">
      <c r="H1" s="327" t="s">
        <v>77</v>
      </c>
      <c r="I1" s="327"/>
      <c r="J1" s="328"/>
      <c r="K1" s="328"/>
      <c r="L1" s="329" t="s">
        <v>123</v>
      </c>
      <c r="M1" s="526" t="s">
        <v>395</v>
      </c>
      <c r="N1" s="328"/>
      <c r="S1" s="325"/>
      <c r="T1" s="324" t="s">
        <v>77</v>
      </c>
      <c r="U1" s="324"/>
      <c r="V1" s="325"/>
      <c r="W1" s="325"/>
      <c r="X1" s="326" t="s">
        <v>123</v>
      </c>
      <c r="Y1" s="325"/>
      <c r="AD1" s="221" t="s">
        <v>244</v>
      </c>
    </row>
    <row r="2" spans="1:35" ht="18.75" x14ac:dyDescent="0.25">
      <c r="F2" s="979" t="s">
        <v>241</v>
      </c>
      <c r="G2" s="980"/>
      <c r="H2" s="980"/>
      <c r="I2" s="980"/>
      <c r="J2" s="980"/>
      <c r="K2" s="981"/>
      <c r="M2" s="527">
        <f>+F5+R5</f>
        <v>85</v>
      </c>
      <c r="R2" s="985" t="s">
        <v>240</v>
      </c>
      <c r="S2" s="986"/>
      <c r="T2" s="986"/>
      <c r="U2" s="986"/>
      <c r="V2" s="986"/>
      <c r="W2" s="987"/>
      <c r="AB2" s="372">
        <f>SUM(AB6:AB54)</f>
        <v>0</v>
      </c>
      <c r="AD2" s="372">
        <f>SUM(AD6:AD53)</f>
        <v>0</v>
      </c>
    </row>
    <row r="3" spans="1:35" ht="14.85" customHeight="1" x14ac:dyDescent="0.25">
      <c r="C3" s="329" t="s">
        <v>135</v>
      </c>
      <c r="D3" s="500" t="s">
        <v>157</v>
      </c>
      <c r="E3" s="503" t="s">
        <v>394</v>
      </c>
      <c r="F3" s="982"/>
      <c r="G3" s="983"/>
      <c r="H3" s="983"/>
      <c r="I3" s="983"/>
      <c r="J3" s="983"/>
      <c r="K3" s="984"/>
      <c r="O3" s="329" t="s">
        <v>135</v>
      </c>
      <c r="P3" s="500" t="s">
        <v>157</v>
      </c>
      <c r="Q3" s="503" t="s">
        <v>363</v>
      </c>
      <c r="R3" s="988"/>
      <c r="S3" s="988"/>
      <c r="T3" s="988"/>
      <c r="U3" s="988"/>
      <c r="V3" s="988"/>
      <c r="W3" s="989"/>
    </row>
    <row r="4" spans="1:35" ht="15.95" customHeight="1" thickBot="1" x14ac:dyDescent="0.3">
      <c r="A4" s="990" t="s">
        <v>397</v>
      </c>
      <c r="C4" s="883" t="s">
        <v>136</v>
      </c>
      <c r="D4" s="502" t="s">
        <v>382</v>
      </c>
      <c r="E4" s="504" t="s">
        <v>235</v>
      </c>
      <c r="F4" s="72"/>
      <c r="G4" s="321"/>
      <c r="H4" s="321"/>
      <c r="I4" s="321"/>
      <c r="J4" s="321"/>
      <c r="K4" s="319" t="s">
        <v>353</v>
      </c>
      <c r="O4" s="993" t="s">
        <v>136</v>
      </c>
      <c r="P4" s="502" t="s">
        <v>382</v>
      </c>
      <c r="Q4" s="504" t="s">
        <v>235</v>
      </c>
      <c r="R4" s="321"/>
      <c r="S4" s="321"/>
      <c r="T4" s="321"/>
      <c r="U4" s="321"/>
      <c r="V4" s="321"/>
      <c r="W4" s="319" t="s">
        <v>353</v>
      </c>
    </row>
    <row r="5" spans="1:35" ht="19.5" thickBot="1" x14ac:dyDescent="0.3">
      <c r="A5" s="991"/>
      <c r="B5" s="528" t="s">
        <v>125</v>
      </c>
      <c r="C5" s="992"/>
      <c r="D5" s="501" t="s">
        <v>383</v>
      </c>
      <c r="E5" s="505" t="s">
        <v>236</v>
      </c>
      <c r="F5" s="518">
        <v>39</v>
      </c>
      <c r="G5" s="34"/>
      <c r="H5" s="331" t="s">
        <v>2</v>
      </c>
      <c r="I5" s="334" t="s">
        <v>237</v>
      </c>
      <c r="J5" s="334" t="s">
        <v>98</v>
      </c>
      <c r="K5" s="51"/>
      <c r="L5" s="322" t="s">
        <v>67</v>
      </c>
      <c r="M5" s="322" t="s">
        <v>238</v>
      </c>
      <c r="N5" s="221"/>
      <c r="O5" s="994"/>
      <c r="P5" s="501" t="s">
        <v>413</v>
      </c>
      <c r="Q5" s="505" t="s">
        <v>236</v>
      </c>
      <c r="R5" s="518">
        <v>46</v>
      </c>
      <c r="S5" s="34" t="s">
        <v>391</v>
      </c>
      <c r="T5" s="320" t="s">
        <v>2</v>
      </c>
      <c r="U5" s="334" t="s">
        <v>237</v>
      </c>
      <c r="W5" s="51"/>
      <c r="X5" s="322" t="s">
        <v>67</v>
      </c>
      <c r="Y5" s="322" t="s">
        <v>238</v>
      </c>
      <c r="Z5" s="322" t="s">
        <v>389</v>
      </c>
      <c r="AB5" s="517" t="s">
        <v>390</v>
      </c>
      <c r="AD5" s="371" t="s">
        <v>393</v>
      </c>
    </row>
    <row r="6" spans="1:35" x14ac:dyDescent="0.25">
      <c r="A6" s="530">
        <f t="shared" ref="A6:A43" si="0">+C6*E6</f>
        <v>1.6991114255379104E-3</v>
      </c>
      <c r="B6" s="437">
        <f t="shared" ref="B6:B43" si="1">+RANK(C6,$C$6:$C$44)</f>
        <v>34</v>
      </c>
      <c r="C6" s="356">
        <f>_xll.BDP(F6&amp;" EQUITY",$C$3)*0.01</f>
        <v>2.3120805733118383E-2</v>
      </c>
      <c r="D6" s="523">
        <f t="shared" ref="D6:D43" si="2">+K6/$K$53</f>
        <v>2.4593307494111011E-2</v>
      </c>
      <c r="E6" s="349">
        <f t="shared" ref="E6:E43" si="3">+K6/$K$47</f>
        <v>7.3488417538325357E-2</v>
      </c>
      <c r="F6" s="78" t="s">
        <v>15</v>
      </c>
      <c r="G6" s="29">
        <v>110000</v>
      </c>
      <c r="H6" s="9">
        <f>_xll.BDP(F6&amp;" EQUITY",$H$1)</f>
        <v>199.30009999999999</v>
      </c>
      <c r="I6" s="332">
        <v>58.294294083333334</v>
      </c>
      <c r="J6" s="339">
        <f t="shared" ref="J6:J43" si="4">+(H6/I6)-1</f>
        <v>2.418861196176334</v>
      </c>
      <c r="K6" s="420">
        <f t="shared" ref="K6:K43" si="5">+H6*G6</f>
        <v>21923011</v>
      </c>
      <c r="L6" s="217">
        <f>_xll.BDP(F6&amp;" EQUITY",$L$1)</f>
        <v>12.114043069457082</v>
      </c>
      <c r="M6" s="161">
        <f t="shared" ref="M6:M43" si="6">+(H6-I6)*G6</f>
        <v>15510638.650833331</v>
      </c>
      <c r="O6" s="524">
        <f>_xll.BDP(R6&amp;" EQUITY",$C$3)*0.01</f>
        <v>6.67408231368187E-3</v>
      </c>
      <c r="P6" s="323">
        <f t="shared" ref="P6:P51" si="7">+W6/$K$53</f>
        <v>5.2906265903701129E-2</v>
      </c>
      <c r="Q6" s="323">
        <f t="shared" ref="Q6:Q51" si="8">+W6/$W$54</f>
        <v>7.951710826724917E-2</v>
      </c>
      <c r="R6" s="78" t="s">
        <v>38</v>
      </c>
      <c r="S6" s="29">
        <v>105000</v>
      </c>
      <c r="T6" s="9">
        <f>_xll.BDP(R6&amp;" EQUITY",$H$1)</f>
        <v>449.16</v>
      </c>
      <c r="U6" s="9">
        <v>14.23</v>
      </c>
      <c r="V6" s="99"/>
      <c r="W6" s="420">
        <f t="shared" ref="W6:W51" si="9">+T6*S6</f>
        <v>47161800</v>
      </c>
      <c r="X6" s="217">
        <f>_xll.BDP(R6&amp;" EQUITY",$L$1)</f>
        <v>38.058968058968055</v>
      </c>
      <c r="Y6" s="335">
        <f t="shared" ref="Y6:Y51" si="10">+(T6-U6)*S6</f>
        <v>45667650</v>
      </c>
      <c r="Z6" s="4">
        <v>105000</v>
      </c>
      <c r="AA6" s="99">
        <v>0</v>
      </c>
      <c r="AB6" s="4">
        <f t="shared" ref="AB6:AB11" si="11">+AA6*T6</f>
        <v>0</v>
      </c>
      <c r="AC6" s="99">
        <f t="shared" ref="AC6:AC11" si="12">+AA6*U6</f>
        <v>0</v>
      </c>
      <c r="AD6" s="10">
        <f t="shared" ref="AD6:AD11" si="13">+AB6-AC6</f>
        <v>0</v>
      </c>
      <c r="AF6" s="548">
        <f t="shared" ref="AF6:AF40" si="14">+O6*Q6</f>
        <v>5.3070372592157414E-4</v>
      </c>
      <c r="AH6" s="29">
        <v>36212250</v>
      </c>
      <c r="AI6" s="99">
        <f>+AH6-W6</f>
        <v>-10949550</v>
      </c>
    </row>
    <row r="7" spans="1:35" x14ac:dyDescent="0.25">
      <c r="A7" s="531">
        <f t="shared" si="0"/>
        <v>1.2034076967531548E-3</v>
      </c>
      <c r="B7" s="17">
        <f t="shared" si="1"/>
        <v>30</v>
      </c>
      <c r="C7" s="357">
        <f>_xll.BDP(F7&amp;" EQUITY",$C$3)*0.01</f>
        <v>2.6603606266627257E-2</v>
      </c>
      <c r="D7" s="523">
        <f t="shared" si="2"/>
        <v>1.5138063318425175E-2</v>
      </c>
      <c r="E7" s="323">
        <f t="shared" si="3"/>
        <v>4.5234758201288028E-2</v>
      </c>
      <c r="F7" s="78" t="s">
        <v>13</v>
      </c>
      <c r="G7" s="29">
        <v>40000</v>
      </c>
      <c r="H7" s="9">
        <f>_xll.BDP(F7&amp;" EQUITY",$H$1)</f>
        <v>337.36</v>
      </c>
      <c r="I7" s="332">
        <v>90.826722352941175</v>
      </c>
      <c r="J7" s="339">
        <f t="shared" si="4"/>
        <v>2.7143253798046532</v>
      </c>
      <c r="K7" s="420">
        <f t="shared" si="5"/>
        <v>13494400</v>
      </c>
      <c r="L7" s="217">
        <f>_xll.BDP(F7&amp;" EQUITY",$L$1)</f>
        <v>22.08225051975052</v>
      </c>
      <c r="M7" s="161">
        <f t="shared" si="6"/>
        <v>9861331.1058823541</v>
      </c>
      <c r="O7" s="525"/>
      <c r="P7" s="323">
        <f t="shared" si="7"/>
        <v>2.0557186875152372E-2</v>
      </c>
      <c r="Q7" s="323">
        <f t="shared" si="8"/>
        <v>3.0897059667694501E-2</v>
      </c>
      <c r="R7" s="78" t="s">
        <v>45</v>
      </c>
      <c r="S7" s="101">
        <v>75000</v>
      </c>
      <c r="T7" s="9">
        <f>_xll.BDP(R7&amp;" EQUITY",$H$1)</f>
        <v>244.33500000000001</v>
      </c>
      <c r="U7" s="9">
        <v>100.14282</v>
      </c>
      <c r="V7" s="99"/>
      <c r="W7" s="420">
        <f t="shared" si="9"/>
        <v>18325125</v>
      </c>
      <c r="X7" s="217"/>
      <c r="Y7" s="161">
        <f t="shared" si="10"/>
        <v>10814413.5</v>
      </c>
      <c r="Z7" s="99">
        <v>75000</v>
      </c>
      <c r="AA7" s="99">
        <f>+Z7-S7</f>
        <v>0</v>
      </c>
      <c r="AB7" s="4">
        <f t="shared" si="11"/>
        <v>0</v>
      </c>
      <c r="AC7" s="99">
        <f t="shared" si="12"/>
        <v>0</v>
      </c>
      <c r="AD7" s="10">
        <f t="shared" si="13"/>
        <v>0</v>
      </c>
      <c r="AF7" s="548">
        <f t="shared" si="14"/>
        <v>0</v>
      </c>
      <c r="AH7" s="29">
        <v>34704150</v>
      </c>
      <c r="AI7" s="99">
        <f t="shared" ref="AI7:AI51" si="15">+AH7-W7</f>
        <v>16379025</v>
      </c>
    </row>
    <row r="8" spans="1:35" x14ac:dyDescent="0.25">
      <c r="A8" s="531">
        <f t="shared" si="0"/>
        <v>3.1920079937952824E-3</v>
      </c>
      <c r="B8" s="17">
        <f t="shared" si="1"/>
        <v>2</v>
      </c>
      <c r="C8" s="357">
        <f>_xll.BDP(F8&amp;" EQUITY",$C$3)*0.01</f>
        <v>6.4453600335126926E-2</v>
      </c>
      <c r="D8" s="523">
        <f t="shared" si="2"/>
        <v>1.6573522903309042E-2</v>
      </c>
      <c r="E8" s="323">
        <f t="shared" si="3"/>
        <v>4.9524122426030749E-2</v>
      </c>
      <c r="F8" s="78" t="s">
        <v>199</v>
      </c>
      <c r="G8" s="29">
        <v>356000</v>
      </c>
      <c r="H8" s="9">
        <f>_xll.BDP(F8&amp;" EQUITY",$H$1)</f>
        <v>41.5</v>
      </c>
      <c r="I8" s="332">
        <v>56.46575</v>
      </c>
      <c r="J8" s="339">
        <f t="shared" si="4"/>
        <v>-0.26504119754010169</v>
      </c>
      <c r="K8" s="420">
        <f t="shared" si="5"/>
        <v>14774000</v>
      </c>
      <c r="L8" s="217">
        <f>_xll.BDP(F8&amp;" EQUITY",$L$1)</f>
        <v>9.0067670814232681</v>
      </c>
      <c r="M8" s="161">
        <f t="shared" si="6"/>
        <v>-5327807</v>
      </c>
      <c r="O8" s="525">
        <f>_xll.BDP(R8&amp;" EQUITY",$C$3)*0.01</f>
        <v>4.7573739295908657E-3</v>
      </c>
      <c r="P8" s="323">
        <f t="shared" si="7"/>
        <v>4.5827378179409906E-2</v>
      </c>
      <c r="Q8" s="323">
        <f t="shared" si="8"/>
        <v>6.8877675074047989E-2</v>
      </c>
      <c r="R8" s="78" t="s">
        <v>37</v>
      </c>
      <c r="S8" s="29">
        <v>195000</v>
      </c>
      <c r="T8" s="9">
        <f>_xll.BDP(R8&amp;" EQUITY",$H$1)</f>
        <v>209.495</v>
      </c>
      <c r="U8" s="9">
        <v>7.6550719183673461</v>
      </c>
      <c r="V8" s="99"/>
      <c r="W8" s="420">
        <f t="shared" si="9"/>
        <v>40851525</v>
      </c>
      <c r="X8" s="217">
        <f>_xll.BDP(R8&amp;" EQUITY",$L$1)</f>
        <v>31.742194604425585</v>
      </c>
      <c r="Y8" s="161">
        <f t="shared" si="10"/>
        <v>39358785.975918368</v>
      </c>
      <c r="Z8" s="4">
        <v>195000</v>
      </c>
      <c r="AA8" s="99">
        <v>0</v>
      </c>
      <c r="AB8" s="4">
        <f t="shared" si="11"/>
        <v>0</v>
      </c>
      <c r="AC8" s="99">
        <f t="shared" si="12"/>
        <v>0</v>
      </c>
      <c r="AD8" s="10">
        <f t="shared" si="13"/>
        <v>0</v>
      </c>
      <c r="AF8" s="548">
        <f t="shared" si="14"/>
        <v>3.2767685572810648E-4</v>
      </c>
      <c r="AH8" s="29">
        <v>34551300</v>
      </c>
      <c r="AI8" s="99">
        <f t="shared" si="15"/>
        <v>-6300225</v>
      </c>
    </row>
    <row r="9" spans="1:35" x14ac:dyDescent="0.25">
      <c r="A9" s="531">
        <f t="shared" si="0"/>
        <v>1.3109232377270807E-3</v>
      </c>
      <c r="B9" s="17">
        <f t="shared" si="1"/>
        <v>24</v>
      </c>
      <c r="C9" s="357">
        <f>_xll.BDP(F9&amp;" EQUITY",$C$3)*0.01</f>
        <v>3.3299075123707535E-2</v>
      </c>
      <c r="D9" s="523">
        <f t="shared" si="2"/>
        <v>1.3174772814598236E-2</v>
      </c>
      <c r="E9" s="323">
        <f t="shared" si="3"/>
        <v>3.9368157609691652E-2</v>
      </c>
      <c r="F9" s="78" t="s">
        <v>40</v>
      </c>
      <c r="G9" s="101">
        <v>60600</v>
      </c>
      <c r="H9" s="9">
        <f>_xll.BDP(F9&amp;" EQUITY",$H$1)</f>
        <v>193.8</v>
      </c>
      <c r="I9" s="332">
        <v>98.36</v>
      </c>
      <c r="J9" s="339">
        <f t="shared" si="4"/>
        <v>0.97031313542090292</v>
      </c>
      <c r="K9" s="420">
        <f t="shared" si="5"/>
        <v>11744280</v>
      </c>
      <c r="L9" s="217">
        <f>_xll.BDP(F9&amp;" EQUITY",$L$1)</f>
        <v>29.704366282595512</v>
      </c>
      <c r="M9" s="161">
        <f t="shared" si="6"/>
        <v>5783664.0000000009</v>
      </c>
      <c r="O9" s="525"/>
      <c r="P9" s="323">
        <f t="shared" si="7"/>
        <v>3.9175617086053771E-2</v>
      </c>
      <c r="Q9" s="323">
        <f t="shared" si="8"/>
        <v>5.8880205058095228E-2</v>
      </c>
      <c r="R9" s="78" t="s">
        <v>28</v>
      </c>
      <c r="S9" s="101">
        <v>190000</v>
      </c>
      <c r="T9" s="9">
        <f>_xll.BDP(R9&amp;" EQUITY",$H$1)</f>
        <v>183.8</v>
      </c>
      <c r="U9" s="9">
        <v>18.2</v>
      </c>
      <c r="V9" s="99"/>
      <c r="W9" s="420">
        <f t="shared" si="9"/>
        <v>34922000</v>
      </c>
      <c r="X9" s="217">
        <f>_xll.BDP(R9&amp;" EQUITY",$L$1)</f>
        <v>23.96205502673099</v>
      </c>
      <c r="Y9" s="161">
        <f t="shared" si="10"/>
        <v>31464000.000000004</v>
      </c>
      <c r="Z9" s="4">
        <v>190000</v>
      </c>
      <c r="AA9" s="99">
        <f>+Z9-S9</f>
        <v>0</v>
      </c>
      <c r="AB9" s="4">
        <f t="shared" si="11"/>
        <v>0</v>
      </c>
      <c r="AC9" s="99">
        <f t="shared" si="12"/>
        <v>0</v>
      </c>
      <c r="AD9" s="10">
        <f t="shared" si="13"/>
        <v>0</v>
      </c>
      <c r="AF9" s="548">
        <f t="shared" si="14"/>
        <v>0</v>
      </c>
      <c r="AH9" s="29">
        <v>26402400</v>
      </c>
      <c r="AI9" s="99">
        <f t="shared" si="15"/>
        <v>-8519600</v>
      </c>
    </row>
    <row r="10" spans="1:35" x14ac:dyDescent="0.25">
      <c r="A10" s="531">
        <f t="shared" si="0"/>
        <v>1.6404722042993633E-3</v>
      </c>
      <c r="B10" s="17">
        <f t="shared" si="1"/>
        <v>12</v>
      </c>
      <c r="C10" s="357">
        <f>_xll.BDP(F10&amp;" EQUITY",$C$3)*0.01</f>
        <v>4.1010158071053952E-2</v>
      </c>
      <c r="D10" s="523">
        <f t="shared" si="2"/>
        <v>1.338675999633902E-2</v>
      </c>
      <c r="E10" s="323">
        <f t="shared" si="3"/>
        <v>4.0001606466795153E-2</v>
      </c>
      <c r="F10" s="78" t="s">
        <v>7</v>
      </c>
      <c r="G10" s="101">
        <v>75000</v>
      </c>
      <c r="H10" s="9">
        <f>_xll.BDP(F10&amp;" EQUITY",$H$1)</f>
        <v>159.11000000000001</v>
      </c>
      <c r="I10" s="332">
        <v>113.93291428571429</v>
      </c>
      <c r="J10" s="339">
        <f t="shared" si="4"/>
        <v>0.39652356825520396</v>
      </c>
      <c r="K10" s="420">
        <f t="shared" si="5"/>
        <v>11933250.000000002</v>
      </c>
      <c r="L10" s="217">
        <f>_xll.BDP(F10&amp;" EQUITY",$L$1)</f>
        <v>12.239820752530324</v>
      </c>
      <c r="M10" s="161">
        <f t="shared" si="6"/>
        <v>3388281.4285714291</v>
      </c>
      <c r="O10" s="525"/>
      <c r="P10" s="323">
        <f t="shared" si="7"/>
        <v>2.8941578873596861E-2</v>
      </c>
      <c r="Q10" s="323">
        <f t="shared" si="8"/>
        <v>4.3498640877543751E-2</v>
      </c>
      <c r="R10" s="78" t="s">
        <v>42</v>
      </c>
      <c r="S10" s="101">
        <v>137000</v>
      </c>
      <c r="T10" s="9">
        <f>_xll.BDP(R10&amp;" EQUITY",$H$1)</f>
        <v>188.315</v>
      </c>
      <c r="U10" s="9">
        <v>45.33</v>
      </c>
      <c r="V10" s="99"/>
      <c r="W10" s="420">
        <f t="shared" si="9"/>
        <v>25799155</v>
      </c>
      <c r="X10" s="217">
        <f>_xll.BDP(R10&amp;" EQUITY",$L$1)</f>
        <v>35.360631104432755</v>
      </c>
      <c r="Y10" s="161">
        <f t="shared" si="10"/>
        <v>19588945.000000004</v>
      </c>
      <c r="Z10" s="4">
        <v>137000</v>
      </c>
      <c r="AA10" s="99">
        <f>+Z10-S10</f>
        <v>0</v>
      </c>
      <c r="AB10" s="4">
        <f t="shared" si="11"/>
        <v>0</v>
      </c>
      <c r="AC10" s="99">
        <f t="shared" si="12"/>
        <v>0</v>
      </c>
      <c r="AD10" s="10">
        <f t="shared" si="13"/>
        <v>0</v>
      </c>
      <c r="AF10" s="548">
        <f t="shared" si="14"/>
        <v>0</v>
      </c>
      <c r="AH10" s="29">
        <v>19177260</v>
      </c>
      <c r="AI10" s="99">
        <f t="shared" si="15"/>
        <v>-6621895</v>
      </c>
    </row>
    <row r="11" spans="1:35" x14ac:dyDescent="0.25">
      <c r="A11" s="531">
        <f t="shared" si="0"/>
        <v>1.0517128624239792E-3</v>
      </c>
      <c r="B11" s="17">
        <f t="shared" si="1"/>
        <v>32</v>
      </c>
      <c r="C11" s="357">
        <f>_xll.BDP(F11&amp;" EQUITY",$C$3)*0.01</f>
        <v>2.403605354387401E-2</v>
      </c>
      <c r="D11" s="523">
        <f t="shared" si="2"/>
        <v>1.4643067583953461E-2</v>
      </c>
      <c r="E11" s="323">
        <f t="shared" si="3"/>
        <v>4.3755638191779023E-2</v>
      </c>
      <c r="F11" s="78" t="s">
        <v>11</v>
      </c>
      <c r="G11" s="101">
        <v>330000</v>
      </c>
      <c r="H11" s="9">
        <f>_xll.BDP(F11&amp;" EQUITY",$H$1)</f>
        <v>39.555</v>
      </c>
      <c r="I11" s="332">
        <v>33.718609212121208</v>
      </c>
      <c r="J11" s="339">
        <f t="shared" si="4"/>
        <v>0.17309108899369186</v>
      </c>
      <c r="K11" s="420">
        <f t="shared" si="5"/>
        <v>13053150</v>
      </c>
      <c r="L11" s="217">
        <f>_xll.BDP(F11&amp;" EQUITY",$L$1)</f>
        <v>12.384463014546581</v>
      </c>
      <c r="M11" s="161">
        <f t="shared" si="6"/>
        <v>1926008.9600000011</v>
      </c>
      <c r="O11" s="525">
        <f>_xll.BDP(R11&amp;" EQUITY",$C$3)*0.01</f>
        <v>1.7312447688644421E-2</v>
      </c>
      <c r="P11" s="323">
        <f t="shared" si="7"/>
        <v>1.7431567860550348E-2</v>
      </c>
      <c r="Q11" s="323">
        <f t="shared" si="8"/>
        <v>2.6199313921686469E-2</v>
      </c>
      <c r="R11" s="78" t="s">
        <v>32</v>
      </c>
      <c r="S11" s="101">
        <v>32000</v>
      </c>
      <c r="T11" s="9">
        <f>_xll.BDP(R11&amp;" EQUITY",$H$1)</f>
        <v>485.59</v>
      </c>
      <c r="U11" s="9">
        <v>36.57</v>
      </c>
      <c r="V11" s="99"/>
      <c r="W11" s="420">
        <f t="shared" si="9"/>
        <v>15538880</v>
      </c>
      <c r="X11" s="217">
        <f>_xll.BDP(R11&amp;" EQUITY",$L$1)</f>
        <v>17.657357914257663</v>
      </c>
      <c r="Y11" s="161">
        <f t="shared" si="10"/>
        <v>14368640</v>
      </c>
      <c r="Z11" s="4">
        <v>32000</v>
      </c>
      <c r="AA11" s="99">
        <f>+Z11-S11</f>
        <v>0</v>
      </c>
      <c r="AB11" s="4">
        <f t="shared" si="11"/>
        <v>0</v>
      </c>
      <c r="AC11" s="99">
        <f t="shared" si="12"/>
        <v>0</v>
      </c>
      <c r="AD11" s="10">
        <f t="shared" si="13"/>
        <v>0</v>
      </c>
      <c r="AF11" s="548">
        <f t="shared" si="14"/>
        <v>4.5357425174757048E-4</v>
      </c>
      <c r="AH11" s="29">
        <v>16579800</v>
      </c>
      <c r="AI11" s="99">
        <f t="shared" si="15"/>
        <v>1040920</v>
      </c>
    </row>
    <row r="12" spans="1:35" x14ac:dyDescent="0.25">
      <c r="A12" s="531">
        <f t="shared" si="0"/>
        <v>1.3903895267316363E-3</v>
      </c>
      <c r="B12" s="17">
        <f t="shared" si="1"/>
        <v>17</v>
      </c>
      <c r="C12" s="357">
        <f>_xll.BDP(F12&amp;" EQUITY",$C$3)*0.01</f>
        <v>3.6025565422807306E-2</v>
      </c>
      <c r="D12" s="523">
        <f t="shared" si="2"/>
        <v>1.291587181616486E-2</v>
      </c>
      <c r="E12" s="323">
        <f t="shared" si="3"/>
        <v>3.8594523372876728E-2</v>
      </c>
      <c r="F12" s="78" t="s">
        <v>202</v>
      </c>
      <c r="G12" s="29">
        <v>66900</v>
      </c>
      <c r="H12" s="9">
        <f>_xll.BDP(F12&amp;" EQUITY",$H$1)</f>
        <v>172.1</v>
      </c>
      <c r="I12" s="332">
        <v>107.4760538116592</v>
      </c>
      <c r="J12" s="339">
        <f t="shared" si="4"/>
        <v>0.60128692761261648</v>
      </c>
      <c r="K12" s="420">
        <f t="shared" si="5"/>
        <v>11513490</v>
      </c>
      <c r="L12" s="217">
        <f>_xll.BDP(F12&amp;" EQUITY",$L$1)</f>
        <v>15.272323411816968</v>
      </c>
      <c r="M12" s="161">
        <f t="shared" si="6"/>
        <v>4323341.9999999991</v>
      </c>
      <c r="O12" s="525">
        <f>_xll.BDP(R12&amp;" EQUITY",$C$3)*0.01</f>
        <v>3.1319961953159232E-2</v>
      </c>
      <c r="P12" s="323">
        <f t="shared" si="7"/>
        <v>1.8392302697754347E-2</v>
      </c>
      <c r="Q12" s="323">
        <f t="shared" si="8"/>
        <v>2.7643280052373535E-2</v>
      </c>
      <c r="R12" s="78" t="s">
        <v>112</v>
      </c>
      <c r="S12" s="101">
        <v>180000</v>
      </c>
      <c r="T12" s="9">
        <f>_xll.BDP(R12&amp;" EQUITY",$H$1)</f>
        <v>91.084999999999994</v>
      </c>
      <c r="U12" s="9">
        <v>77.874799999999993</v>
      </c>
      <c r="V12" s="99"/>
      <c r="W12" s="420">
        <f t="shared" si="9"/>
        <v>16395299.999999998</v>
      </c>
      <c r="X12" s="217"/>
      <c r="Y12" s="161">
        <f t="shared" si="10"/>
        <v>2377836</v>
      </c>
      <c r="Z12" s="4"/>
      <c r="AA12" s="99"/>
      <c r="AB12" s="4"/>
      <c r="AC12" s="99"/>
      <c r="AD12" s="10"/>
      <c r="AF12" s="548">
        <f t="shared" si="14"/>
        <v>8.6578647950086469E-4</v>
      </c>
      <c r="AH12" s="29">
        <v>16322000</v>
      </c>
      <c r="AI12" s="99">
        <f t="shared" si="15"/>
        <v>-73299.999999998137</v>
      </c>
    </row>
    <row r="13" spans="1:35" x14ac:dyDescent="0.25">
      <c r="A13" s="531">
        <f t="shared" si="0"/>
        <v>1.0308419010141524E-3</v>
      </c>
      <c r="B13" s="17">
        <f t="shared" si="1"/>
        <v>22</v>
      </c>
      <c r="C13" s="357">
        <f>_xll.BDP(F13&amp;" EQUITY",$C$3)*0.01</f>
        <v>3.3429938923953441E-2</v>
      </c>
      <c r="D13" s="523">
        <f t="shared" si="2"/>
        <v>1.0319401839458894E-2</v>
      </c>
      <c r="E13" s="323">
        <f t="shared" si="3"/>
        <v>3.0835889451043139E-2</v>
      </c>
      <c r="F13" s="78" t="s">
        <v>200</v>
      </c>
      <c r="G13" s="29">
        <v>62000</v>
      </c>
      <c r="H13" s="9">
        <f>_xll.BDP(F13&amp;" EQUITY",$H$1)</f>
        <v>148.37</v>
      </c>
      <c r="I13" s="332">
        <v>162.2400322580645</v>
      </c>
      <c r="J13" s="353">
        <f t="shared" si="4"/>
        <v>-8.5490812994923226E-2</v>
      </c>
      <c r="K13" s="420">
        <f t="shared" si="5"/>
        <v>9198940</v>
      </c>
      <c r="L13" s="217">
        <f>_xll.BDP(F13&amp;" EQUITY",$L$1)</f>
        <v>13.987204817010067</v>
      </c>
      <c r="M13" s="161">
        <f t="shared" si="6"/>
        <v>-859941.99999999884</v>
      </c>
      <c r="O13" s="525">
        <f>_xll.BDP(R13&amp;" EQUITY",$C$3)*0.01</f>
        <v>2.2810661191796384E-2</v>
      </c>
      <c r="P13" s="323">
        <f t="shared" si="7"/>
        <v>2.0944068810395278E-2</v>
      </c>
      <c r="Q13" s="323">
        <f t="shared" si="8"/>
        <v>3.1478535835136531E-2</v>
      </c>
      <c r="R13" s="78" t="s">
        <v>44</v>
      </c>
      <c r="S13" s="101">
        <v>200000</v>
      </c>
      <c r="T13" s="9">
        <f>_xll.BDP(R13&amp;" EQUITY",$H$1)</f>
        <v>93.35</v>
      </c>
      <c r="U13" s="9">
        <v>35.28</v>
      </c>
      <c r="V13" s="99"/>
      <c r="W13" s="420">
        <f t="shared" si="9"/>
        <v>18670000</v>
      </c>
      <c r="X13" s="217"/>
      <c r="Y13" s="161">
        <f t="shared" si="10"/>
        <v>11613999.999999998</v>
      </c>
      <c r="Z13" s="4">
        <v>200000</v>
      </c>
      <c r="AA13" s="99">
        <f t="shared" ref="AA13:AA19" si="16">+Z13-S13</f>
        <v>0</v>
      </c>
      <c r="AB13" s="4">
        <f t="shared" ref="AB13:AB19" si="17">+AA13*T13</f>
        <v>0</v>
      </c>
      <c r="AC13" s="99">
        <f t="shared" ref="AC13:AC19" si="18">+AA13*U13</f>
        <v>0</v>
      </c>
      <c r="AD13" s="10">
        <f t="shared" ref="AD13:AD19" si="19">+AB13-AC13</f>
        <v>0</v>
      </c>
      <c r="AF13" s="548">
        <f t="shared" si="14"/>
        <v>7.1804621574912068E-4</v>
      </c>
      <c r="AH13" s="29">
        <v>15553920</v>
      </c>
      <c r="AI13" s="99">
        <f t="shared" si="15"/>
        <v>-3116080</v>
      </c>
    </row>
    <row r="14" spans="1:35" x14ac:dyDescent="0.25">
      <c r="A14" s="531">
        <f t="shared" si="0"/>
        <v>1.6143777551238265E-3</v>
      </c>
      <c r="B14" s="17">
        <f t="shared" si="1"/>
        <v>6</v>
      </c>
      <c r="C14" s="357">
        <f>_xll.BDP(F14&amp;" EQUITY",$C$3)*0.01</f>
        <v>5.2044608779113093E-2</v>
      </c>
      <c r="D14" s="523">
        <f t="shared" si="2"/>
        <v>1.0380719611348352E-2</v>
      </c>
      <c r="E14" s="323">
        <f t="shared" si="3"/>
        <v>3.1019115965988775E-2</v>
      </c>
      <c r="F14" s="78" t="s">
        <v>201</v>
      </c>
      <c r="G14" s="29">
        <v>172000</v>
      </c>
      <c r="H14" s="9">
        <f>_xll.BDP(F14&amp;" EQUITY",$H$1)</f>
        <v>53.8</v>
      </c>
      <c r="I14" s="332">
        <v>58.396930232558141</v>
      </c>
      <c r="J14" s="339">
        <f t="shared" si="4"/>
        <v>-7.8718696586472459E-2</v>
      </c>
      <c r="K14" s="420">
        <f t="shared" si="5"/>
        <v>9253600</v>
      </c>
      <c r="L14" s="217">
        <f>_xll.BDP(F14&amp;" EQUITY",$L$1)</f>
        <v>18.259397223162885</v>
      </c>
      <c r="M14" s="161">
        <f t="shared" si="6"/>
        <v>-790672.0000000007</v>
      </c>
      <c r="O14" s="525"/>
      <c r="P14" s="323">
        <f t="shared" si="7"/>
        <v>2.0205383731109305E-2</v>
      </c>
      <c r="Q14" s="323">
        <f t="shared" si="8"/>
        <v>3.0368306254165953E-2</v>
      </c>
      <c r="R14" s="78" t="s">
        <v>24</v>
      </c>
      <c r="S14" s="101">
        <v>24000</v>
      </c>
      <c r="T14" s="9">
        <f>_xll.BDP(R14&amp;" EQUITY",$H$1)</f>
        <v>750.48</v>
      </c>
      <c r="U14" s="9">
        <v>103.22445</v>
      </c>
      <c r="V14" s="99"/>
      <c r="W14" s="420">
        <f t="shared" si="9"/>
        <v>18011520</v>
      </c>
      <c r="X14" s="217">
        <f>_xll.BDP(R14&amp;" EQUITY",$L$1)</f>
        <v>55.533520793251441</v>
      </c>
      <c r="Y14" s="161">
        <f t="shared" si="10"/>
        <v>15534133.199999999</v>
      </c>
      <c r="Z14" s="29">
        <v>24000</v>
      </c>
      <c r="AA14" s="99">
        <f t="shared" si="16"/>
        <v>0</v>
      </c>
      <c r="AB14" s="4">
        <f t="shared" si="17"/>
        <v>0</v>
      </c>
      <c r="AC14" s="99">
        <f t="shared" si="18"/>
        <v>0</v>
      </c>
      <c r="AD14" s="10">
        <f t="shared" si="19"/>
        <v>0</v>
      </c>
      <c r="AF14" s="548">
        <f t="shared" si="14"/>
        <v>0</v>
      </c>
      <c r="AH14" s="29">
        <v>15231900</v>
      </c>
      <c r="AI14" s="99">
        <f t="shared" si="15"/>
        <v>-2779620</v>
      </c>
    </row>
    <row r="15" spans="1:35" x14ac:dyDescent="0.25">
      <c r="A15" s="531">
        <f t="shared" si="0"/>
        <v>8.4299543964291553E-4</v>
      </c>
      <c r="B15" s="17">
        <f t="shared" si="1"/>
        <v>29</v>
      </c>
      <c r="C15" s="357">
        <f>_xll.BDP(F15&amp;" EQUITY",$C$3)*0.01</f>
        <v>2.6878853982698826E-2</v>
      </c>
      <c r="D15" s="523">
        <f t="shared" si="2"/>
        <v>1.0495726892250427E-2</v>
      </c>
      <c r="E15" s="323">
        <f t="shared" si="3"/>
        <v>3.1362774625195267E-2</v>
      </c>
      <c r="F15" s="78" t="s">
        <v>25</v>
      </c>
      <c r="G15" s="101">
        <v>20000</v>
      </c>
      <c r="H15" s="9">
        <f>_xll.BDP(F15&amp;" EQUITY",$H$1)</f>
        <v>467.80599999999998</v>
      </c>
      <c r="I15" s="332">
        <v>335.96813333333336</v>
      </c>
      <c r="J15" s="353">
        <f t="shared" si="4"/>
        <v>0.39241182000991359</v>
      </c>
      <c r="K15" s="420">
        <f t="shared" si="5"/>
        <v>9356120</v>
      </c>
      <c r="L15" s="217">
        <f>_xll.BDP(F15&amp;" EQUITY",$L$1)</f>
        <v>17.851716803403221</v>
      </c>
      <c r="M15" s="161">
        <f t="shared" si="6"/>
        <v>2636757.3333333326</v>
      </c>
      <c r="O15" s="525"/>
      <c r="P15" s="323">
        <f t="shared" si="7"/>
        <v>2.0542968017510606E-2</v>
      </c>
      <c r="Q15" s="323">
        <f t="shared" si="8"/>
        <v>3.0875688995937116E-2</v>
      </c>
      <c r="R15" s="78" t="s">
        <v>51</v>
      </c>
      <c r="S15" s="101">
        <v>195000</v>
      </c>
      <c r="T15" s="9">
        <f>_xll.BDP(R15&amp;" EQUITY",$H$1)</f>
        <v>93.91</v>
      </c>
      <c r="U15" s="9">
        <v>30.409099999999999</v>
      </c>
      <c r="V15" s="99"/>
      <c r="W15" s="420">
        <f t="shared" si="9"/>
        <v>18312450</v>
      </c>
      <c r="X15" s="217"/>
      <c r="Y15" s="161">
        <f t="shared" si="10"/>
        <v>12382675.5</v>
      </c>
      <c r="Z15" s="4">
        <v>195000</v>
      </c>
      <c r="AA15" s="99">
        <f t="shared" si="16"/>
        <v>0</v>
      </c>
      <c r="AB15" s="4">
        <f t="shared" si="17"/>
        <v>0</v>
      </c>
      <c r="AC15" s="99">
        <f t="shared" si="18"/>
        <v>0</v>
      </c>
      <c r="AD15" s="10">
        <f t="shared" si="19"/>
        <v>0</v>
      </c>
      <c r="AF15" s="548">
        <f t="shared" si="14"/>
        <v>0</v>
      </c>
      <c r="AH15" s="29">
        <v>14810250</v>
      </c>
      <c r="AI15" s="99">
        <f t="shared" si="15"/>
        <v>-3502200</v>
      </c>
    </row>
    <row r="16" spans="1:35" x14ac:dyDescent="0.25">
      <c r="A16" s="531">
        <f t="shared" si="0"/>
        <v>5.6144578604438609E-4</v>
      </c>
      <c r="B16" s="17">
        <f t="shared" si="1"/>
        <v>37</v>
      </c>
      <c r="C16" s="357">
        <f>_xll.BDP(F16&amp;" EQUITY",$C$3)*0.01</f>
        <v>1.3251050374049163E-2</v>
      </c>
      <c r="D16" s="523">
        <f t="shared" si="2"/>
        <v>1.4179325291209525E-2</v>
      </c>
      <c r="E16" s="323">
        <f t="shared" si="3"/>
        <v>4.2369908059810911E-2</v>
      </c>
      <c r="F16" s="78" t="s">
        <v>223</v>
      </c>
      <c r="G16" s="101">
        <v>8000</v>
      </c>
      <c r="H16" s="9">
        <f>_xll.BDP(F16&amp;" EQUITY",$H$1)</f>
        <v>1579.97</v>
      </c>
      <c r="I16" s="332">
        <v>502.3295</v>
      </c>
      <c r="J16" s="339">
        <f t="shared" si="4"/>
        <v>2.1452861120041726</v>
      </c>
      <c r="K16" s="420">
        <f t="shared" si="5"/>
        <v>12639760</v>
      </c>
      <c r="L16" s="217">
        <f>_xll.BDP(F16&amp;" EQUITY",$L$1)</f>
        <v>33.162421711899789</v>
      </c>
      <c r="M16" s="161">
        <f t="shared" si="6"/>
        <v>8621124</v>
      </c>
      <c r="O16" s="525">
        <f>_xll.BDP(R16&amp;" EQUITY",$C$3)*0.01</f>
        <v>3.0071958230529119E-2</v>
      </c>
      <c r="P16" s="323">
        <f t="shared" si="7"/>
        <v>1.7394682965934074E-2</v>
      </c>
      <c r="Q16" s="323">
        <f t="shared" si="8"/>
        <v>2.6143876628796307E-2</v>
      </c>
      <c r="R16" s="78" t="s">
        <v>48</v>
      </c>
      <c r="S16" s="101">
        <v>200000</v>
      </c>
      <c r="T16" s="9">
        <f>_xll.BDP(R16&amp;" EQUITY",$H$1)</f>
        <v>77.53</v>
      </c>
      <c r="U16" s="9">
        <v>39.683920129032259</v>
      </c>
      <c r="V16" s="99"/>
      <c r="W16" s="420">
        <f t="shared" si="9"/>
        <v>15506000</v>
      </c>
      <c r="X16" s="217"/>
      <c r="Y16" s="161">
        <f t="shared" si="10"/>
        <v>7569215.9741935488</v>
      </c>
      <c r="Z16" s="4">
        <v>200000</v>
      </c>
      <c r="AA16" s="99">
        <f t="shared" si="16"/>
        <v>0</v>
      </c>
      <c r="AB16" s="4">
        <f t="shared" si="17"/>
        <v>0</v>
      </c>
      <c r="AC16" s="99">
        <f t="shared" si="18"/>
        <v>0</v>
      </c>
      <c r="AD16" s="10">
        <f t="shared" si="19"/>
        <v>0</v>
      </c>
      <c r="AF16" s="548">
        <f t="shared" si="14"/>
        <v>7.8619756596526899E-4</v>
      </c>
      <c r="AH16" s="29">
        <v>14308000.000000002</v>
      </c>
      <c r="AI16" s="99">
        <f t="shared" si="15"/>
        <v>-1197999.9999999981</v>
      </c>
    </row>
    <row r="17" spans="1:35" x14ac:dyDescent="0.25">
      <c r="A17" s="531">
        <f t="shared" si="0"/>
        <v>1.8812059651606792E-3</v>
      </c>
      <c r="B17" s="17">
        <f t="shared" si="1"/>
        <v>4</v>
      </c>
      <c r="C17" s="357">
        <f>_xll.BDP(F17&amp;" EQUITY",$C$3)*0.01</f>
        <v>5.7356607289682893E-2</v>
      </c>
      <c r="D17" s="523">
        <f t="shared" si="2"/>
        <v>1.0976172837087924E-2</v>
      </c>
      <c r="E17" s="323">
        <f t="shared" si="3"/>
        <v>3.2798417724736378E-2</v>
      </c>
      <c r="F17" s="78" t="s">
        <v>204</v>
      </c>
      <c r="G17" s="101">
        <v>488000</v>
      </c>
      <c r="H17" s="9">
        <f>_xll.BDP(F17&amp;" EQUITY",$H$1)</f>
        <v>20.05</v>
      </c>
      <c r="I17" s="332">
        <v>17.267487704918032</v>
      </c>
      <c r="J17" s="339">
        <f t="shared" si="4"/>
        <v>0.16114169835426995</v>
      </c>
      <c r="K17" s="420">
        <f t="shared" si="5"/>
        <v>9784400</v>
      </c>
      <c r="L17" s="217">
        <f>_xll.BDP(F17&amp;" EQUITY",$L$1)</f>
        <v>16.674896093100578</v>
      </c>
      <c r="M17" s="161">
        <f t="shared" si="6"/>
        <v>1357866.0000000005</v>
      </c>
      <c r="O17" s="525">
        <f>_xll.BDP(R17&amp;" EQUITY",$C$3)*0.01</f>
        <v>2.782980898723648E-3</v>
      </c>
      <c r="P17" s="323">
        <f t="shared" si="7"/>
        <v>1.8833171419901394E-2</v>
      </c>
      <c r="Q17" s="323">
        <f t="shared" si="8"/>
        <v>2.8305897330531474E-2</v>
      </c>
      <c r="R17" s="78" t="s">
        <v>41</v>
      </c>
      <c r="S17" s="101">
        <v>30000</v>
      </c>
      <c r="T17" s="9">
        <f>_xll.BDP(R17&amp;" EQUITY",$H$1)</f>
        <v>559.61</v>
      </c>
      <c r="U17" s="9">
        <v>47.94</v>
      </c>
      <c r="V17" s="99"/>
      <c r="W17" s="420">
        <f t="shared" si="9"/>
        <v>16788300</v>
      </c>
      <c r="X17" s="217">
        <f>_xll.BDP(R17&amp;" EQUITY",$L$1)</f>
        <v>25.760219112502302</v>
      </c>
      <c r="Y17" s="161">
        <f t="shared" si="10"/>
        <v>15350100</v>
      </c>
      <c r="Z17" s="29">
        <v>30000</v>
      </c>
      <c r="AA17" s="99">
        <f t="shared" si="16"/>
        <v>0</v>
      </c>
      <c r="AB17" s="4">
        <f t="shared" si="17"/>
        <v>0</v>
      </c>
      <c r="AC17" s="99">
        <f t="shared" si="18"/>
        <v>0</v>
      </c>
      <c r="AD17" s="10">
        <f t="shared" si="19"/>
        <v>0</v>
      </c>
      <c r="AF17" s="548">
        <f t="shared" si="14"/>
        <v>7.8774771592101791E-5</v>
      </c>
      <c r="AH17" s="29">
        <v>13884240</v>
      </c>
      <c r="AI17" s="99">
        <f t="shared" si="15"/>
        <v>-2904060</v>
      </c>
    </row>
    <row r="18" spans="1:35" x14ac:dyDescent="0.25">
      <c r="A18" s="531">
        <f t="shared" si="0"/>
        <v>1.2433141455513307E-3</v>
      </c>
      <c r="B18" s="17">
        <f t="shared" si="1"/>
        <v>7</v>
      </c>
      <c r="C18" s="357">
        <f>_xll.BDP(F18&amp;" EQUITY",$C$3)*0.01</f>
        <v>4.9159770206846573E-2</v>
      </c>
      <c r="D18" s="523">
        <f t="shared" si="2"/>
        <v>8.463871766801025E-3</v>
      </c>
      <c r="E18" s="323">
        <f t="shared" si="3"/>
        <v>2.5291292866502699E-2</v>
      </c>
      <c r="F18" s="78" t="s">
        <v>203</v>
      </c>
      <c r="G18" s="101">
        <v>189000</v>
      </c>
      <c r="H18" s="9">
        <f>_xll.BDP(F18&amp;" EQUITY",$H$1)</f>
        <v>39.92</v>
      </c>
      <c r="I18" s="332">
        <v>53.050638095238092</v>
      </c>
      <c r="J18" s="339">
        <f t="shared" si="4"/>
        <v>-0.24751140734001309</v>
      </c>
      <c r="K18" s="420">
        <f t="shared" si="5"/>
        <v>7544880</v>
      </c>
      <c r="L18" s="217">
        <f>_xll.BDP(F18&amp;" EQUITY",$L$1)</f>
        <v>10.588235294117647</v>
      </c>
      <c r="M18" s="161">
        <f t="shared" si="6"/>
        <v>-2481690.5999999992</v>
      </c>
      <c r="O18" s="525">
        <f>_xll.BDP(R18&amp;" EQUITY",$C$3)*0.01</f>
        <v>7.557727317573734E-3</v>
      </c>
      <c r="P18" s="323">
        <f t="shared" si="7"/>
        <v>1.6208804437133462E-2</v>
      </c>
      <c r="Q18" s="323">
        <f t="shared" si="8"/>
        <v>2.4361523825102257E-2</v>
      </c>
      <c r="R18" s="78" t="s">
        <v>31</v>
      </c>
      <c r="S18" s="101">
        <v>52500</v>
      </c>
      <c r="T18" s="9">
        <f>_xll.BDP(R18&amp;" EQUITY",$H$1)</f>
        <v>275.21679999999998</v>
      </c>
      <c r="U18" s="9">
        <v>29.970970000000001</v>
      </c>
      <c r="V18" s="99"/>
      <c r="W18" s="420">
        <f t="shared" si="9"/>
        <v>14448881.999999998</v>
      </c>
      <c r="X18" s="217">
        <f>_xll.BDP(R18&amp;" EQUITY",$L$1)</f>
        <v>27.670386007237632</v>
      </c>
      <c r="Y18" s="161">
        <f t="shared" si="10"/>
        <v>12875406.074999999</v>
      </c>
      <c r="Z18" s="29">
        <v>52500</v>
      </c>
      <c r="AA18" s="99">
        <f t="shared" si="16"/>
        <v>0</v>
      </c>
      <c r="AB18" s="4">
        <f t="shared" si="17"/>
        <v>0</v>
      </c>
      <c r="AC18" s="99">
        <f t="shared" si="18"/>
        <v>0</v>
      </c>
      <c r="AD18" s="10">
        <f t="shared" si="19"/>
        <v>0</v>
      </c>
      <c r="AF18" s="548">
        <f t="shared" si="14"/>
        <v>1.8411775411069869E-4</v>
      </c>
      <c r="AH18" s="29">
        <v>13139595</v>
      </c>
      <c r="AI18" s="99">
        <f t="shared" si="15"/>
        <v>-1309286.9999999981</v>
      </c>
    </row>
    <row r="19" spans="1:35" x14ac:dyDescent="0.25">
      <c r="A19" s="531">
        <f t="shared" si="0"/>
        <v>1.0223498598060333E-3</v>
      </c>
      <c r="B19" s="17">
        <f t="shared" si="1"/>
        <v>23</v>
      </c>
      <c r="C19" s="357">
        <f>_xll.BDP(F19&amp;" EQUITY",$C$3)*0.01</f>
        <v>3.3333332915055122E-2</v>
      </c>
      <c r="D19" s="523">
        <f t="shared" si="2"/>
        <v>1.02640520614672E-2</v>
      </c>
      <c r="E19" s="323">
        <f t="shared" si="3"/>
        <v>3.067049617904501E-2</v>
      </c>
      <c r="F19" s="78" t="s">
        <v>8</v>
      </c>
      <c r="G19" s="101">
        <v>80000</v>
      </c>
      <c r="H19" s="9">
        <f>_xll.BDP(F19&amp;" EQUITY",$H$1)</f>
        <v>114.37</v>
      </c>
      <c r="I19" s="332">
        <v>27.676122750000005</v>
      </c>
      <c r="J19" s="353">
        <f t="shared" si="4"/>
        <v>3.132443009922695</v>
      </c>
      <c r="K19" s="420">
        <f t="shared" si="5"/>
        <v>9149600</v>
      </c>
      <c r="L19" s="217">
        <f>_xll.BDP(F19&amp;" EQUITY",$L$1)</f>
        <v>12.049423219388295</v>
      </c>
      <c r="M19" s="161">
        <f t="shared" si="6"/>
        <v>6935510.1799999997</v>
      </c>
      <c r="O19" s="525">
        <f>_xll.BDP(R19&amp;" EQUITY",$C$3)*0.01</f>
        <v>5.7847801233739619E-3</v>
      </c>
      <c r="P19" s="323">
        <f t="shared" si="7"/>
        <v>1.6142913072927988E-2</v>
      </c>
      <c r="Q19" s="323">
        <f t="shared" si="8"/>
        <v>2.4262490361827038E-2</v>
      </c>
      <c r="R19" s="78" t="s">
        <v>17</v>
      </c>
      <c r="S19" s="101">
        <v>31500</v>
      </c>
      <c r="T19" s="9">
        <f>_xll.BDP(R19&amp;" EQUITY",$H$1)</f>
        <v>456.83</v>
      </c>
      <c r="U19" s="9">
        <v>126.04</v>
      </c>
      <c r="V19" s="99"/>
      <c r="W19" s="420">
        <f t="shared" si="9"/>
        <v>14390145</v>
      </c>
      <c r="X19" s="217">
        <f>_xll.BDP(R19&amp;" EQUITY",$L$1)</f>
        <v>32.004901960784309</v>
      </c>
      <c r="Y19" s="161">
        <f t="shared" si="10"/>
        <v>10419884.999999998</v>
      </c>
      <c r="Z19" s="29">
        <v>31500</v>
      </c>
      <c r="AA19" s="99">
        <f t="shared" si="16"/>
        <v>0</v>
      </c>
      <c r="AB19" s="4">
        <f t="shared" si="17"/>
        <v>0</v>
      </c>
      <c r="AC19" s="99">
        <f t="shared" si="18"/>
        <v>0</v>
      </c>
      <c r="AD19" s="10">
        <f t="shared" si="19"/>
        <v>0</v>
      </c>
      <c r="AF19" s="548">
        <f t="shared" si="14"/>
        <v>1.4035317198864939E-4</v>
      </c>
      <c r="AH19" s="29">
        <v>12844650</v>
      </c>
      <c r="AI19" s="99">
        <f t="shared" si="15"/>
        <v>-1545495</v>
      </c>
    </row>
    <row r="20" spans="1:35" x14ac:dyDescent="0.25">
      <c r="A20" s="531">
        <f t="shared" si="0"/>
        <v>7.7290174372287082E-4</v>
      </c>
      <c r="B20" s="17">
        <f t="shared" si="1"/>
        <v>25</v>
      </c>
      <c r="C20" s="357">
        <f>_xll.BDP(F20&amp;" EQUITY",$C$3)*0.01</f>
        <v>3.2674572056304169E-2</v>
      </c>
      <c r="D20" s="523">
        <f t="shared" si="2"/>
        <v>7.9161209855191077E-3</v>
      </c>
      <c r="E20" s="323">
        <f t="shared" si="3"/>
        <v>2.3654533023141727E-2</v>
      </c>
      <c r="F20" s="78" t="s">
        <v>34</v>
      </c>
      <c r="G20" s="101">
        <v>185000</v>
      </c>
      <c r="H20" s="9">
        <f>_xll.BDP(F20&amp;" EQUITY",$H$1)</f>
        <v>38.143799999999999</v>
      </c>
      <c r="I20" s="332">
        <v>28.684999999999999</v>
      </c>
      <c r="J20" s="338">
        <f t="shared" si="4"/>
        <v>0.32974725466271582</v>
      </c>
      <c r="K20" s="420">
        <f t="shared" si="5"/>
        <v>7056603</v>
      </c>
      <c r="L20" s="217">
        <f>_xll.BDP(F20&amp;" EQUITY",$L$1)</f>
        <v>9.1531100478468908</v>
      </c>
      <c r="M20" s="161">
        <f t="shared" si="6"/>
        <v>1749878</v>
      </c>
      <c r="O20" s="525">
        <f>_xll.BDP(R20&amp;" EQUITY",$C$3)*0.01</f>
        <v>1.2206309053499046E-2</v>
      </c>
      <c r="P20" s="323">
        <f t="shared" si="7"/>
        <v>1.5575117909133799E-2</v>
      </c>
      <c r="Q20" s="323">
        <f t="shared" si="8"/>
        <v>2.3409105063472716E-2</v>
      </c>
      <c r="R20" s="78" t="s">
        <v>110</v>
      </c>
      <c r="S20" s="101">
        <v>26000</v>
      </c>
      <c r="T20" s="9">
        <f>_xll.BDP(R20&amp;" EQUITY",$H$1)</f>
        <v>534</v>
      </c>
      <c r="U20" s="9">
        <v>221.49</v>
      </c>
      <c r="V20" s="99"/>
      <c r="W20" s="420">
        <f t="shared" si="9"/>
        <v>13884000</v>
      </c>
      <c r="X20" s="217">
        <f>_xll.BDP(R20&amp;" EQUITY",$L$1)</f>
        <v>14.316986801158921</v>
      </c>
      <c r="Y20" s="161">
        <f t="shared" si="10"/>
        <v>8125260</v>
      </c>
      <c r="Z20" s="29"/>
      <c r="AA20" s="99"/>
      <c r="AB20" s="4"/>
      <c r="AC20" s="99"/>
      <c r="AD20" s="10"/>
      <c r="AF20" s="548">
        <f t="shared" si="14"/>
        <v>2.8573877107057735E-4</v>
      </c>
      <c r="AH20" s="29">
        <v>12688500</v>
      </c>
      <c r="AI20" s="99">
        <f t="shared" si="15"/>
        <v>-1195500</v>
      </c>
    </row>
    <row r="21" spans="1:35" x14ac:dyDescent="0.25">
      <c r="A21" s="531">
        <f t="shared" si="0"/>
        <v>9.4830147021694614E-4</v>
      </c>
      <c r="B21" s="17">
        <f t="shared" si="1"/>
        <v>18</v>
      </c>
      <c r="C21" s="357">
        <f>_xll.BDP(F21&amp;" EQUITY",$C$3)*0.01</f>
        <v>3.4896849998639345E-2</v>
      </c>
      <c r="D21" s="523">
        <f t="shared" si="2"/>
        <v>9.0940689254362123E-3</v>
      </c>
      <c r="E21" s="323">
        <f t="shared" si="3"/>
        <v>2.717441460343616E-2</v>
      </c>
      <c r="F21" s="78" t="s">
        <v>215</v>
      </c>
      <c r="G21" s="101">
        <v>83000</v>
      </c>
      <c r="H21" s="9">
        <f>_xll.BDP(F21&amp;" EQUITY",$H$1)</f>
        <v>97.670500000000004</v>
      </c>
      <c r="I21" s="332">
        <v>92.57071084337349</v>
      </c>
      <c r="J21" s="338">
        <f t="shared" si="4"/>
        <v>5.5090742095036838E-2</v>
      </c>
      <c r="K21" s="420">
        <f t="shared" si="5"/>
        <v>8106651.5</v>
      </c>
      <c r="L21" s="217">
        <f>_xll.BDP(F21&amp;" EQUITY",$L$1)</f>
        <v>14.284673659673659</v>
      </c>
      <c r="M21" s="161">
        <f t="shared" si="6"/>
        <v>423282.50000000064</v>
      </c>
      <c r="O21" s="525">
        <f>_xll.BDP(R21&amp;" EQUITY",$C$3)*0.01</f>
        <v>8.5058592659661685E-3</v>
      </c>
      <c r="P21" s="323">
        <f t="shared" si="7"/>
        <v>1.381523279131119E-2</v>
      </c>
      <c r="Q21" s="323">
        <f t="shared" si="8"/>
        <v>2.0764031307813253E-2</v>
      </c>
      <c r="R21" s="78" t="s">
        <v>49</v>
      </c>
      <c r="S21" s="101">
        <v>160000</v>
      </c>
      <c r="T21" s="9">
        <f>_xll.BDP(R21&amp;" EQUITY",$H$1)</f>
        <v>76.97</v>
      </c>
      <c r="U21" s="9">
        <v>65.260599999999997</v>
      </c>
      <c r="V21" s="337"/>
      <c r="W21" s="420">
        <f t="shared" si="9"/>
        <v>12315200</v>
      </c>
      <c r="X21" s="217"/>
      <c r="Y21" s="161">
        <f t="shared" si="10"/>
        <v>1873504.0000000005</v>
      </c>
      <c r="Z21" s="29"/>
      <c r="AA21" s="99"/>
      <c r="AB21" s="4"/>
      <c r="AC21" s="99"/>
      <c r="AD21" s="10"/>
      <c r="AF21" s="548">
        <f t="shared" si="14"/>
        <v>1.7661592809837498E-4</v>
      </c>
      <c r="AH21" s="29">
        <v>12300800</v>
      </c>
      <c r="AI21" s="99">
        <f t="shared" si="15"/>
        <v>-14400</v>
      </c>
    </row>
    <row r="22" spans="1:35" x14ac:dyDescent="0.25">
      <c r="A22" s="531">
        <f t="shared" si="0"/>
        <v>8.0653708784864683E-4</v>
      </c>
      <c r="B22" s="17">
        <f t="shared" si="1"/>
        <v>21</v>
      </c>
      <c r="C22" s="357">
        <f>_xll.BDP(F22&amp;" EQUITY",$C$3)*0.01</f>
        <v>3.3641716228802729E-2</v>
      </c>
      <c r="D22" s="523">
        <f t="shared" si="2"/>
        <v>8.0231376610576874E-3</v>
      </c>
      <c r="E22" s="323">
        <f t="shared" si="3"/>
        <v>2.3974314579055904E-2</v>
      </c>
      <c r="F22" s="78" t="s">
        <v>209</v>
      </c>
      <c r="G22" s="29">
        <v>150000</v>
      </c>
      <c r="H22" s="9">
        <f>_xll.BDP(F22&amp;" EQUITY",$H$1)</f>
        <v>47.68</v>
      </c>
      <c r="I22" s="332">
        <v>54.716999999999999</v>
      </c>
      <c r="J22" s="338">
        <f t="shared" si="4"/>
        <v>-0.12860719703200096</v>
      </c>
      <c r="K22" s="420">
        <f t="shared" si="5"/>
        <v>7152000</v>
      </c>
      <c r="L22" s="217">
        <f>_xll.BDP(F22&amp;" EQUITY",$L$1)</f>
        <v>12.822036186875504</v>
      </c>
      <c r="M22" s="161">
        <f t="shared" si="6"/>
        <v>-1055549.9999999998</v>
      </c>
      <c r="O22" s="525"/>
      <c r="P22" s="323">
        <f t="shared" si="7"/>
        <v>1.2064378190570728E-2</v>
      </c>
      <c r="Q22" s="323">
        <f t="shared" si="8"/>
        <v>1.8132530247037176E-2</v>
      </c>
      <c r="R22" s="78" t="s">
        <v>307</v>
      </c>
      <c r="S22" s="101">
        <v>35000</v>
      </c>
      <c r="T22" s="9">
        <f>_xll.BDP(R22&amp;" EQUITY",$H$1)</f>
        <v>307.27</v>
      </c>
      <c r="U22" s="9">
        <v>101.25</v>
      </c>
      <c r="V22" s="337"/>
      <c r="W22" s="420">
        <f t="shared" si="9"/>
        <v>10754450</v>
      </c>
      <c r="X22" s="217">
        <v>23.46</v>
      </c>
      <c r="Y22" s="161">
        <f t="shared" si="10"/>
        <v>7210699.9999999991</v>
      </c>
      <c r="Z22" s="29"/>
      <c r="AA22" s="99"/>
      <c r="AB22" s="4"/>
      <c r="AC22" s="99"/>
      <c r="AD22" s="10"/>
      <c r="AF22" s="548">
        <f t="shared" si="14"/>
        <v>0</v>
      </c>
      <c r="AH22" s="29">
        <v>11510720</v>
      </c>
      <c r="AI22" s="99">
        <f t="shared" si="15"/>
        <v>756270</v>
      </c>
    </row>
    <row r="23" spans="1:35" x14ac:dyDescent="0.25">
      <c r="A23" s="531">
        <f t="shared" si="0"/>
        <v>1.1343551979768624E-3</v>
      </c>
      <c r="B23" s="17">
        <f t="shared" si="1"/>
        <v>5</v>
      </c>
      <c r="C23" s="357">
        <f>_xll.BDP(F23&amp;" EQUITY",$C$3)*0.01</f>
        <v>5.7320279325708906E-2</v>
      </c>
      <c r="D23" s="523">
        <f t="shared" si="2"/>
        <v>6.622756867373663E-3</v>
      </c>
      <c r="E23" s="323">
        <f t="shared" si="3"/>
        <v>1.9789770938329832E-2</v>
      </c>
      <c r="F23" s="78" t="s">
        <v>205</v>
      </c>
      <c r="G23" s="29">
        <v>141000</v>
      </c>
      <c r="H23" s="9">
        <f>_xll.BDP(F23&amp;" EQUITY",$H$1)</f>
        <v>41.87</v>
      </c>
      <c r="I23" s="332">
        <v>59.924484848484852</v>
      </c>
      <c r="J23" s="338">
        <f t="shared" si="4"/>
        <v>-0.30128727671392486</v>
      </c>
      <c r="K23" s="420">
        <f t="shared" si="5"/>
        <v>5903670</v>
      </c>
      <c r="L23" s="217">
        <f>_xll.BDP(F23&amp;" EQUITY",$L$1)</f>
        <v>73.111888111888106</v>
      </c>
      <c r="M23" s="161">
        <f t="shared" si="6"/>
        <v>-2545682.3636363647</v>
      </c>
      <c r="O23" s="525">
        <f>_xll.BDP(R23&amp;" EQUITY",$C$3)*0.01</f>
        <v>5.4408047073346453E-3</v>
      </c>
      <c r="P23" s="323">
        <f t="shared" si="7"/>
        <v>1.8146111731437833E-2</v>
      </c>
      <c r="Q23" s="323">
        <f t="shared" si="8"/>
        <v>2.7273259727018474E-2</v>
      </c>
      <c r="R23" s="78" t="s">
        <v>43</v>
      </c>
      <c r="S23" s="101">
        <v>19000</v>
      </c>
      <c r="T23" s="9">
        <f>_xll.BDP(R23&amp;" EQUITY",$H$1)</f>
        <v>851.36</v>
      </c>
      <c r="U23" s="9">
        <v>124.27397999999999</v>
      </c>
      <c r="V23" s="337"/>
      <c r="W23" s="420">
        <f t="shared" si="9"/>
        <v>16175840</v>
      </c>
      <c r="X23" s="217">
        <f>_xll.BDP(R23&amp;" EQUITY",$L$1)</f>
        <v>52.660357518401675</v>
      </c>
      <c r="Y23" s="161">
        <f t="shared" si="10"/>
        <v>13814634.379999999</v>
      </c>
      <c r="Z23" s="29"/>
      <c r="AA23" s="99"/>
      <c r="AB23" s="4"/>
      <c r="AC23" s="99"/>
      <c r="AD23" s="10"/>
      <c r="AF23" s="548">
        <f t="shared" si="14"/>
        <v>1.4838847990712251E-4</v>
      </c>
      <c r="AH23" s="29">
        <v>11055800</v>
      </c>
      <c r="AI23" s="99">
        <f t="shared" si="15"/>
        <v>-5120040</v>
      </c>
    </row>
    <row r="24" spans="1:35" x14ac:dyDescent="0.25">
      <c r="A24" s="531">
        <f t="shared" si="0"/>
        <v>1.0445184912010333E-3</v>
      </c>
      <c r="B24" s="17">
        <f t="shared" si="1"/>
        <v>14</v>
      </c>
      <c r="C24" s="357">
        <f>_xll.BDP(F24&amp;" EQUITY",$C$3)*0.01</f>
        <v>4.0616176181411348E-2</v>
      </c>
      <c r="D24" s="523">
        <f t="shared" si="2"/>
        <v>8.6062734858578828E-3</v>
      </c>
      <c r="E24" s="323">
        <f t="shared" si="3"/>
        <v>2.5716810133374252E-2</v>
      </c>
      <c r="F24" s="78" t="s">
        <v>208</v>
      </c>
      <c r="G24" s="101">
        <v>76000</v>
      </c>
      <c r="H24" s="9">
        <f>_xll.BDP(F24&amp;" EQUITY",$H$1)</f>
        <v>100.94499999999999</v>
      </c>
      <c r="I24" s="332">
        <v>88.919013157894739</v>
      </c>
      <c r="J24" s="338">
        <f t="shared" si="4"/>
        <v>0.13524651719594027</v>
      </c>
      <c r="K24" s="420">
        <f t="shared" si="5"/>
        <v>7671819.9999999991</v>
      </c>
      <c r="L24" s="217">
        <f>_xll.BDP(F24&amp;" EQUITY",$L$1)</f>
        <v>16.974212993971868</v>
      </c>
      <c r="M24" s="161">
        <f t="shared" si="6"/>
        <v>913974.9999999993</v>
      </c>
      <c r="O24" s="525"/>
      <c r="P24" s="323">
        <f t="shared" si="7"/>
        <v>1.3578307920783312E-2</v>
      </c>
      <c r="Q24" s="323">
        <f t="shared" si="8"/>
        <v>2.0407937747642879E-2</v>
      </c>
      <c r="R24" s="78" t="s">
        <v>33</v>
      </c>
      <c r="S24" s="101">
        <v>50000</v>
      </c>
      <c r="T24" s="9">
        <f>_xll.BDP(R24&amp;" EQUITY",$H$1)</f>
        <v>242.08</v>
      </c>
      <c r="U24" s="9">
        <v>164.8766</v>
      </c>
      <c r="V24" s="99"/>
      <c r="W24" s="420">
        <f t="shared" si="9"/>
        <v>12104000</v>
      </c>
      <c r="X24" s="217">
        <f>_xll.BDP(R24&amp;" EQUITY",$L$1)</f>
        <v>24.478094084393295</v>
      </c>
      <c r="Y24" s="161">
        <f t="shared" si="10"/>
        <v>3860170.0000000009</v>
      </c>
      <c r="Z24" s="29"/>
      <c r="AA24" s="99"/>
      <c r="AB24" s="4"/>
      <c r="AC24" s="99"/>
      <c r="AD24" s="10"/>
      <c r="AF24" s="548">
        <f t="shared" si="14"/>
        <v>0</v>
      </c>
      <c r="AH24" s="29">
        <v>10865150</v>
      </c>
      <c r="AI24" s="99">
        <f t="shared" si="15"/>
        <v>-1238850</v>
      </c>
    </row>
    <row r="25" spans="1:35" x14ac:dyDescent="0.25">
      <c r="A25" s="531">
        <f t="shared" si="0"/>
        <v>1.0477901724352725E-3</v>
      </c>
      <c r="B25" s="17">
        <f t="shared" si="1"/>
        <v>15</v>
      </c>
      <c r="C25" s="357">
        <f>_xll.BDP(F25&amp;" EQUITY",$C$3)*0.01</f>
        <v>4.0191824399708996E-2</v>
      </c>
      <c r="D25" s="523">
        <f t="shared" si="2"/>
        <v>8.724381431258723E-3</v>
      </c>
      <c r="E25" s="323">
        <f t="shared" si="3"/>
        <v>2.6069734033841441E-2</v>
      </c>
      <c r="F25" s="78" t="s">
        <v>207</v>
      </c>
      <c r="G25" s="29">
        <v>88800</v>
      </c>
      <c r="H25" s="9">
        <f>_xll.BDP(F25&amp;" EQUITY",$H$1)</f>
        <v>87.58</v>
      </c>
      <c r="I25" s="332">
        <v>77.473930180180176</v>
      </c>
      <c r="J25" s="338">
        <f t="shared" si="4"/>
        <v>0.13044478053864395</v>
      </c>
      <c r="K25" s="420">
        <f t="shared" si="5"/>
        <v>7777104</v>
      </c>
      <c r="L25" s="217">
        <f>_xll.BDP(F25&amp;" EQUITY",$L$1)</f>
        <v>15.674327454124354</v>
      </c>
      <c r="M25" s="161">
        <f t="shared" si="6"/>
        <v>897419.00000000023</v>
      </c>
      <c r="O25" s="525"/>
      <c r="P25" s="323">
        <f t="shared" si="7"/>
        <v>1.2622985784811778E-2</v>
      </c>
      <c r="Q25" s="323">
        <f t="shared" si="8"/>
        <v>1.8972106803640573E-2</v>
      </c>
      <c r="R25" s="78" t="s">
        <v>16</v>
      </c>
      <c r="S25" s="101">
        <v>23000</v>
      </c>
      <c r="T25" s="9">
        <f>_xll.BDP(R25&amp;" EQUITY",$H$1)</f>
        <v>489.23500000000001</v>
      </c>
      <c r="U25" s="9">
        <v>46.904260000000001</v>
      </c>
      <c r="V25" s="99"/>
      <c r="W25" s="420">
        <f t="shared" si="9"/>
        <v>11252405</v>
      </c>
      <c r="X25" s="217">
        <f>_xll.BDP(R25&amp;" EQUITY",$L$1)</f>
        <v>44.287976115081875</v>
      </c>
      <c r="Y25" s="161">
        <f t="shared" si="10"/>
        <v>10173607.02</v>
      </c>
      <c r="Z25" s="29"/>
      <c r="AA25" s="99"/>
      <c r="AB25" s="4"/>
      <c r="AC25" s="99"/>
      <c r="AD25" s="10"/>
      <c r="AF25" s="548">
        <f t="shared" si="14"/>
        <v>0</v>
      </c>
      <c r="AH25" s="29">
        <v>10750000</v>
      </c>
      <c r="AI25" s="99">
        <f t="shared" si="15"/>
        <v>-502405</v>
      </c>
    </row>
    <row r="26" spans="1:35" x14ac:dyDescent="0.25">
      <c r="A26" s="531">
        <f t="shared" si="0"/>
        <v>7.6025928086786846E-4</v>
      </c>
      <c r="B26" s="17">
        <f t="shared" si="1"/>
        <v>27</v>
      </c>
      <c r="C26" s="357">
        <f>_xll.BDP(F26&amp;" EQUITY",$C$3)*0.01</f>
        <v>2.8467337923373932E-2</v>
      </c>
      <c r="D26" s="523">
        <f t="shared" si="2"/>
        <v>8.9374354479988989E-3</v>
      </c>
      <c r="E26" s="323">
        <f t="shared" si="3"/>
        <v>2.670637075072747E-2</v>
      </c>
      <c r="F26" s="78" t="s">
        <v>212</v>
      </c>
      <c r="G26" s="101">
        <v>135000</v>
      </c>
      <c r="H26" s="9">
        <f>_xll.BDP(F26&amp;" EQUITY",$H$1)</f>
        <v>59.015000000000001</v>
      </c>
      <c r="I26" s="332">
        <v>44.786837037037039</v>
      </c>
      <c r="J26" s="338">
        <f t="shared" si="4"/>
        <v>0.31768626463165517</v>
      </c>
      <c r="K26" s="420">
        <f t="shared" si="5"/>
        <v>7967025</v>
      </c>
      <c r="L26" s="217">
        <f>_xll.BDP(F26&amp;" EQUITY",$L$1)</f>
        <v>10.803179824561402</v>
      </c>
      <c r="M26" s="161">
        <f t="shared" si="6"/>
        <v>1920801.9999999998</v>
      </c>
      <c r="O26" s="525">
        <f>_xll.BDP(R26&amp;" EQUITY",$C$3)*0.01</f>
        <v>4.2296547462808186E-3</v>
      </c>
      <c r="P26" s="323">
        <f t="shared" si="7"/>
        <v>1.4322203776696187E-2</v>
      </c>
      <c r="Q26" s="323">
        <f t="shared" si="8"/>
        <v>2.1525999026468533E-2</v>
      </c>
      <c r="R26" s="78" t="s">
        <v>39</v>
      </c>
      <c r="S26" s="101">
        <v>50000</v>
      </c>
      <c r="T26" s="9">
        <f>_xll.BDP(R26&amp;" EQUITY",$H$1)</f>
        <v>255.3425</v>
      </c>
      <c r="U26" s="9">
        <v>17.07</v>
      </c>
      <c r="V26" s="99"/>
      <c r="W26" s="420">
        <f t="shared" si="9"/>
        <v>12767125</v>
      </c>
      <c r="X26" s="217">
        <f>_xll.BDP(R26&amp;" EQUITY",$L$1)</f>
        <v>33.555467928496313</v>
      </c>
      <c r="Y26" s="161">
        <f t="shared" si="10"/>
        <v>11913625</v>
      </c>
      <c r="Z26" s="4">
        <v>50000</v>
      </c>
      <c r="AA26" s="99">
        <f>+Z26-S26</f>
        <v>0</v>
      </c>
      <c r="AB26" s="4">
        <f>+AA26*T26</f>
        <v>0</v>
      </c>
      <c r="AC26" s="99">
        <f>+AA26*U26</f>
        <v>0</v>
      </c>
      <c r="AD26" s="10">
        <f>+AB26-AC26</f>
        <v>0</v>
      </c>
      <c r="AF26" s="548">
        <f t="shared" si="14"/>
        <v>9.1047543950738914E-5</v>
      </c>
      <c r="AH26" s="29">
        <v>10691680</v>
      </c>
      <c r="AI26" s="99">
        <f t="shared" si="15"/>
        <v>-2075445</v>
      </c>
    </row>
    <row r="27" spans="1:35" x14ac:dyDescent="0.25">
      <c r="A27" s="531">
        <f t="shared" si="0"/>
        <v>1.212427441065063E-3</v>
      </c>
      <c r="B27" s="17">
        <f t="shared" si="1"/>
        <v>1</v>
      </c>
      <c r="C27" s="357">
        <f>_xll.BDP(F27&amp;" EQUITY",$C$3)*0.01</f>
        <v>7.5706106869211517E-2</v>
      </c>
      <c r="D27" s="523">
        <f t="shared" si="2"/>
        <v>5.3594828808672772E-3</v>
      </c>
      <c r="E27" s="323">
        <f t="shared" si="3"/>
        <v>1.6014922589529409E-2</v>
      </c>
      <c r="F27" s="78" t="s">
        <v>211</v>
      </c>
      <c r="G27" s="29">
        <v>92000</v>
      </c>
      <c r="H27" s="9">
        <f>_xll.BDP(F27&amp;" EQUITY",$H$1)</f>
        <v>51.93</v>
      </c>
      <c r="I27" s="332">
        <v>65.217880434782614</v>
      </c>
      <c r="J27" s="338">
        <f t="shared" si="4"/>
        <v>-0.20374597190521082</v>
      </c>
      <c r="K27" s="420">
        <f t="shared" si="5"/>
        <v>4777560</v>
      </c>
      <c r="L27" s="217" t="str">
        <f>_xll.BDP(F27&amp;" EQUITY",$L$1)</f>
        <v>#N/A N/A</v>
      </c>
      <c r="M27" s="161">
        <f t="shared" si="6"/>
        <v>-1222485.0000000005</v>
      </c>
      <c r="O27" s="525"/>
      <c r="P27" s="323">
        <f t="shared" si="7"/>
        <v>1.3378942148693616E-2</v>
      </c>
      <c r="Q27" s="323">
        <f t="shared" si="8"/>
        <v>2.0108294795844025E-2</v>
      </c>
      <c r="R27" s="78" t="s">
        <v>50</v>
      </c>
      <c r="S27" s="101">
        <v>190000</v>
      </c>
      <c r="T27" s="9">
        <f>_xll.BDP(R27&amp;" EQUITY",$H$1)</f>
        <v>62.7699</v>
      </c>
      <c r="U27" s="9">
        <v>34.6267</v>
      </c>
      <c r="V27" s="99"/>
      <c r="W27" s="420">
        <f t="shared" si="9"/>
        <v>11926281</v>
      </c>
      <c r="X27" s="217"/>
      <c r="Y27" s="161">
        <f t="shared" si="10"/>
        <v>5347208</v>
      </c>
      <c r="Z27" s="29"/>
      <c r="AA27" s="99"/>
      <c r="AB27" s="4"/>
      <c r="AC27" s="99"/>
      <c r="AD27" s="10"/>
      <c r="AF27" s="548">
        <f t="shared" si="14"/>
        <v>0</v>
      </c>
      <c r="AH27" s="29">
        <v>10356210</v>
      </c>
      <c r="AI27" s="99">
        <f t="shared" si="15"/>
        <v>-1570071</v>
      </c>
    </row>
    <row r="28" spans="1:35" x14ac:dyDescent="0.25">
      <c r="A28" s="531">
        <f t="shared" si="0"/>
        <v>4.6657240402504194E-4</v>
      </c>
      <c r="B28" s="17">
        <f t="shared" si="1"/>
        <v>36</v>
      </c>
      <c r="C28" s="357">
        <f>_xll.BDP(F28&amp;" EQUITY",$C$3)*0.01</f>
        <v>2.0762483741209935E-2</v>
      </c>
      <c r="D28" s="523">
        <f t="shared" si="2"/>
        <v>7.5203453932044919E-3</v>
      </c>
      <c r="E28" s="323">
        <f t="shared" si="3"/>
        <v>2.2471897381861713E-2</v>
      </c>
      <c r="F28" s="78" t="s">
        <v>133</v>
      </c>
      <c r="G28" s="101">
        <v>30000</v>
      </c>
      <c r="H28" s="9">
        <f>_xll.BDP(F28&amp;" EQUITY",$H$1)</f>
        <v>223.46</v>
      </c>
      <c r="I28" s="555">
        <v>204.90778766666671</v>
      </c>
      <c r="J28" s="338">
        <f t="shared" si="4"/>
        <v>9.0539322807550171E-2</v>
      </c>
      <c r="K28" s="420">
        <f t="shared" si="5"/>
        <v>6703800</v>
      </c>
      <c r="L28" s="217">
        <f>_xll.BDP(F28&amp;" EQUITY",$L$1)</f>
        <v>17.438911227961647</v>
      </c>
      <c r="M28" s="161">
        <f t="shared" si="6"/>
        <v>556566.36999999906</v>
      </c>
      <c r="O28" s="541">
        <f>_xll.BDP(R28&amp;" EQUITY",$C$3)*0.01</f>
        <v>2.6731078367494346E-2</v>
      </c>
      <c r="P28" s="542">
        <f t="shared" si="7"/>
        <v>1.3215909343964985E-2</v>
      </c>
      <c r="Q28" s="542">
        <f t="shared" si="8"/>
        <v>1.9863259600800841E-2</v>
      </c>
      <c r="R28" s="78" t="s">
        <v>14</v>
      </c>
      <c r="S28" s="101">
        <v>95000</v>
      </c>
      <c r="T28" s="9">
        <f>_xll.BDP(R28&amp;" EQUITY",$H$1)</f>
        <v>124.01</v>
      </c>
      <c r="U28" s="9">
        <v>36.69229</v>
      </c>
      <c r="V28" s="99"/>
      <c r="W28" s="420">
        <f t="shared" si="9"/>
        <v>11780950</v>
      </c>
      <c r="X28" s="217">
        <f>_xll.BDP(R28&amp;" EQUITY",$L$1)</f>
        <v>26.048099138836378</v>
      </c>
      <c r="Y28" s="161">
        <f t="shared" si="10"/>
        <v>8295182.4500000002</v>
      </c>
      <c r="Z28" s="29"/>
      <c r="AA28" s="99"/>
      <c r="AB28" s="4"/>
      <c r="AC28" s="99"/>
      <c r="AD28" s="10"/>
      <c r="AF28" s="548">
        <f t="shared" si="14"/>
        <v>5.3096634902289176E-4</v>
      </c>
      <c r="AH28" s="29">
        <v>10165190</v>
      </c>
      <c r="AI28" s="99">
        <f t="shared" si="15"/>
        <v>-1615760</v>
      </c>
    </row>
    <row r="29" spans="1:35" x14ac:dyDescent="0.25">
      <c r="A29" s="531">
        <f t="shared" si="0"/>
        <v>7.2695273538432115E-4</v>
      </c>
      <c r="B29" s="17">
        <f t="shared" si="1"/>
        <v>16</v>
      </c>
      <c r="C29" s="357">
        <f>_xll.BDP(F29&amp;" EQUITY",$C$3)*0.01</f>
        <v>3.6730010386952151E-2</v>
      </c>
      <c r="D29" s="523">
        <f t="shared" si="2"/>
        <v>6.6234333148023012E-3</v>
      </c>
      <c r="E29" s="323">
        <f t="shared" si="3"/>
        <v>1.9791792262671439E-2</v>
      </c>
      <c r="F29" s="78" t="s">
        <v>219</v>
      </c>
      <c r="G29" s="101">
        <v>75300</v>
      </c>
      <c r="H29" s="9">
        <f>_xll.BDP(F29&amp;" EQUITY",$H$1)</f>
        <v>78.41</v>
      </c>
      <c r="I29" s="332">
        <v>63.046108897742364</v>
      </c>
      <c r="J29" s="338">
        <f t="shared" si="4"/>
        <v>0.24369293158404259</v>
      </c>
      <c r="K29" s="420">
        <f t="shared" si="5"/>
        <v>5904273</v>
      </c>
      <c r="L29" s="217">
        <f>_xll.BDP(F29&amp;" EQUITY",$L$1)</f>
        <v>19.617201093711163</v>
      </c>
      <c r="M29" s="161">
        <f t="shared" si="6"/>
        <v>1156900.9999999998</v>
      </c>
      <c r="O29" s="525">
        <f>_xll.BDP(R29&amp;" EQUITY",$C$3)*0.01</f>
        <v>5.749742307136178E-3</v>
      </c>
      <c r="P29" s="323">
        <f t="shared" si="7"/>
        <v>1.3353599488892028E-2</v>
      </c>
      <c r="Q29" s="323">
        <f t="shared" si="8"/>
        <v>2.0070205261668795E-2</v>
      </c>
      <c r="R29" s="78" t="s">
        <v>21</v>
      </c>
      <c r="S29" s="101">
        <v>19000</v>
      </c>
      <c r="T29" s="9">
        <f>_xll.BDP(R29&amp;" EQUITY",$H$1)</f>
        <v>626.51</v>
      </c>
      <c r="U29" s="9">
        <v>203.12309999999999</v>
      </c>
      <c r="V29" s="99"/>
      <c r="W29" s="420">
        <f t="shared" si="9"/>
        <v>11903690</v>
      </c>
      <c r="X29" s="217">
        <f>_xll.BDP(R29&amp;" EQUITY",$L$1)</f>
        <v>37.250653827864951</v>
      </c>
      <c r="Y29" s="161">
        <f t="shared" si="10"/>
        <v>8044351.0999999996</v>
      </c>
      <c r="Z29" s="29"/>
      <c r="AA29" s="99"/>
      <c r="AB29" s="4"/>
      <c r="AC29" s="99"/>
      <c r="AD29" s="10"/>
      <c r="AF29" s="548">
        <f t="shared" si="14"/>
        <v>1.153985083059242E-4</v>
      </c>
      <c r="AH29" s="29">
        <v>9874300</v>
      </c>
      <c r="AI29" s="99">
        <f t="shared" si="15"/>
        <v>-2029390</v>
      </c>
    </row>
    <row r="30" spans="1:35" x14ac:dyDescent="0.25">
      <c r="A30" s="531">
        <f t="shared" si="0"/>
        <v>9.5213424145909609E-4</v>
      </c>
      <c r="B30" s="17">
        <f t="shared" si="1"/>
        <v>3</v>
      </c>
      <c r="C30" s="357">
        <f>_xll.BDP(F30&amp;" EQUITY",$C$3)*0.01</f>
        <v>5.9023749745848564E-2</v>
      </c>
      <c r="D30" s="523">
        <f t="shared" si="2"/>
        <v>5.3984543297410387E-3</v>
      </c>
      <c r="E30" s="323">
        <f t="shared" si="3"/>
        <v>1.613137500682197E-2</v>
      </c>
      <c r="F30" s="78" t="s">
        <v>214</v>
      </c>
      <c r="G30" s="101">
        <v>90000</v>
      </c>
      <c r="H30" s="9">
        <f>_xll.BDP(F30&amp;" EQUITY",$H$1)</f>
        <v>53.47</v>
      </c>
      <c r="I30" s="332">
        <v>66.04483333333333</v>
      </c>
      <c r="J30" s="338">
        <f t="shared" si="4"/>
        <v>-0.19039844146274376</v>
      </c>
      <c r="K30" s="420">
        <f t="shared" si="5"/>
        <v>4812300</v>
      </c>
      <c r="L30" s="217">
        <f>_xll.BDP(F30&amp;" EQUITY",$L$1)</f>
        <v>39.58610495195861</v>
      </c>
      <c r="M30" s="161">
        <f t="shared" si="6"/>
        <v>-1131734.9999999998</v>
      </c>
      <c r="O30" s="525">
        <f>_xll.BDP(R30&amp;" EQUITY",$C$3)*0.01</f>
        <v>1.3526918567950222E-2</v>
      </c>
      <c r="P30" s="323">
        <f t="shared" si="7"/>
        <v>1.2448651932991772E-2</v>
      </c>
      <c r="Q30" s="323">
        <f t="shared" si="8"/>
        <v>1.8710086350429037E-2</v>
      </c>
      <c r="R30" s="78" t="s">
        <v>6</v>
      </c>
      <c r="S30" s="101">
        <v>100000</v>
      </c>
      <c r="T30" s="9">
        <f>_xll.BDP(R30&amp;" EQUITY",$H$1)</f>
        <v>110.97</v>
      </c>
      <c r="U30" s="9">
        <v>21.552199999999999</v>
      </c>
      <c r="V30" s="99"/>
      <c r="W30" s="420">
        <f t="shared" si="9"/>
        <v>11097000</v>
      </c>
      <c r="X30" s="217">
        <f>_xll.BDP(R30&amp;" EQUITY",$L$1)</f>
        <v>26.790630282540448</v>
      </c>
      <c r="Y30" s="161">
        <f t="shared" si="10"/>
        <v>8941780</v>
      </c>
      <c r="Z30" s="29"/>
      <c r="AA30" s="99"/>
      <c r="AB30" s="4"/>
      <c r="AC30" s="99"/>
      <c r="AD30" s="10"/>
      <c r="AF30" s="548">
        <f t="shared" si="14"/>
        <v>2.5308981446157058E-4</v>
      </c>
      <c r="AH30" s="29">
        <v>9194000</v>
      </c>
      <c r="AI30" s="99">
        <f t="shared" si="15"/>
        <v>-1903000</v>
      </c>
    </row>
    <row r="31" spans="1:35" x14ac:dyDescent="0.25">
      <c r="A31" s="531">
        <f t="shared" si="0"/>
        <v>4.7905720920749829E-4</v>
      </c>
      <c r="B31" s="17">
        <f t="shared" si="1"/>
        <v>35</v>
      </c>
      <c r="C31" s="357">
        <f>_xll.BDP(F31&amp;" EQUITY",$C$3)*0.01</f>
        <v>2.3083264061350934E-2</v>
      </c>
      <c r="D31" s="523">
        <f t="shared" si="2"/>
        <v>6.9452551421326373E-3</v>
      </c>
      <c r="E31" s="323">
        <f t="shared" si="3"/>
        <v>2.0753443184389139E-2</v>
      </c>
      <c r="F31" s="78" t="s">
        <v>218</v>
      </c>
      <c r="G31" s="101">
        <v>46400</v>
      </c>
      <c r="H31" s="9">
        <f>_xll.BDP(F31&amp;" EQUITY",$H$1)</f>
        <v>133.43</v>
      </c>
      <c r="I31" s="332">
        <v>72.951012931034484</v>
      </c>
      <c r="J31" s="338">
        <f t="shared" si="4"/>
        <v>0.82903560401745757</v>
      </c>
      <c r="K31" s="420">
        <f t="shared" si="5"/>
        <v>6191152</v>
      </c>
      <c r="L31" s="217">
        <f>_xll.BDP(F31&amp;" EQUITY",$L$1)</f>
        <v>15.638173983929196</v>
      </c>
      <c r="M31" s="161">
        <f t="shared" si="6"/>
        <v>2806225.0000000005</v>
      </c>
      <c r="O31" s="525">
        <f>_xll.BDP(R31&amp;" EQUITY",$C$3)*0.01</f>
        <v>5.326137130277314E-3</v>
      </c>
      <c r="P31" s="323">
        <f t="shared" si="7"/>
        <v>1.1382893864827449E-2</v>
      </c>
      <c r="Q31" s="323">
        <f t="shared" si="8"/>
        <v>1.7108272307321745E-2</v>
      </c>
      <c r="R31" s="78" t="s">
        <v>30</v>
      </c>
      <c r="S31" s="101">
        <v>18000</v>
      </c>
      <c r="T31" s="9">
        <f>_xll.BDP(R31&amp;" EQUITY",$H$1)</f>
        <v>563.72</v>
      </c>
      <c r="U31" s="9">
        <v>365.31740000000002</v>
      </c>
      <c r="V31" s="99"/>
      <c r="W31" s="420">
        <f t="shared" si="9"/>
        <v>10146960</v>
      </c>
      <c r="X31" s="217">
        <f>_xll.BDP(R31&amp;" EQUITY",$L$1)</f>
        <v>31.00307793778169</v>
      </c>
      <c r="Y31" s="161">
        <f t="shared" si="10"/>
        <v>3571246.8000000003</v>
      </c>
      <c r="Z31" s="29"/>
      <c r="AA31" s="99"/>
      <c r="AB31" s="4"/>
      <c r="AC31" s="99"/>
      <c r="AD31" s="10"/>
      <c r="AF31" s="548">
        <f t="shared" si="14"/>
        <v>9.1121004370921482E-5</v>
      </c>
      <c r="AH31" s="29">
        <v>8984880</v>
      </c>
      <c r="AI31" s="99">
        <f t="shared" si="15"/>
        <v>-1162080</v>
      </c>
    </row>
    <row r="32" spans="1:35" x14ac:dyDescent="0.25">
      <c r="A32" s="531">
        <f t="shared" si="0"/>
        <v>4.4449022004155818E-4</v>
      </c>
      <c r="B32" s="17">
        <f t="shared" si="1"/>
        <v>31</v>
      </c>
      <c r="C32" s="357">
        <f>_xll.BDP(F32&amp;" EQUITY",$C$3)*0.01</f>
        <v>2.5725580709004929E-2</v>
      </c>
      <c r="D32" s="523">
        <f t="shared" si="2"/>
        <v>5.7822260651565855E-3</v>
      </c>
      <c r="E32" s="323">
        <f t="shared" si="3"/>
        <v>1.727814135935014E-2</v>
      </c>
      <c r="F32" s="78" t="s">
        <v>222</v>
      </c>
      <c r="G32" s="101">
        <v>6500</v>
      </c>
      <c r="H32" s="9">
        <f>_xll.BDP(F32&amp;" EQUITY",$H$1)</f>
        <v>792.98500000000001</v>
      </c>
      <c r="I32" s="332">
        <v>611.21199999999999</v>
      </c>
      <c r="J32" s="338">
        <f t="shared" si="4"/>
        <v>0.29739762962769056</v>
      </c>
      <c r="K32" s="420">
        <f t="shared" si="5"/>
        <v>5154402.5</v>
      </c>
      <c r="L32" s="217">
        <f>_xll.BDP(F32&amp;" EQUITY",$L$1)</f>
        <v>19.186142358417378</v>
      </c>
      <c r="M32" s="161">
        <f t="shared" si="6"/>
        <v>1181524.5000000002</v>
      </c>
      <c r="O32" s="525">
        <f>_xll.BDP(R32&amp;" EQUITY",$C$3)*0.01</f>
        <v>1.539645942627298E-2</v>
      </c>
      <c r="P32" s="323">
        <f t="shared" si="7"/>
        <v>8.7091204182915775E-3</v>
      </c>
      <c r="Q32" s="323">
        <f t="shared" si="8"/>
        <v>1.3089641829463443E-2</v>
      </c>
      <c r="R32" s="78" t="s">
        <v>26</v>
      </c>
      <c r="S32" s="101">
        <v>25000</v>
      </c>
      <c r="T32" s="9">
        <f>_xll.BDP(R32&amp;" EQUITY",$H$1)</f>
        <v>310.54000000000002</v>
      </c>
      <c r="U32" s="9">
        <v>213.1574</v>
      </c>
      <c r="V32" s="99"/>
      <c r="W32" s="420">
        <f t="shared" si="9"/>
        <v>7763500.0000000009</v>
      </c>
      <c r="X32" s="217">
        <f>_xll.BDP(R32&amp;" EQUITY",$L$1)</f>
        <v>27.570300718531005</v>
      </c>
      <c r="Y32" s="161">
        <f t="shared" si="10"/>
        <v>2434565.0000000005</v>
      </c>
      <c r="Z32" s="29"/>
      <c r="AA32" s="99"/>
      <c r="AB32" s="4"/>
      <c r="AC32" s="99"/>
      <c r="AD32" s="10"/>
      <c r="AF32" s="548">
        <f t="shared" si="14"/>
        <v>2.0153413933177952E-4</v>
      </c>
      <c r="AH32" s="29">
        <v>8664500</v>
      </c>
      <c r="AI32" s="99">
        <f t="shared" si="15"/>
        <v>900999.99999999907</v>
      </c>
    </row>
    <row r="33" spans="1:35" x14ac:dyDescent="0.25">
      <c r="A33" s="531">
        <f t="shared" si="0"/>
        <v>6.9045453507287084E-4</v>
      </c>
      <c r="B33" s="17">
        <f t="shared" si="1"/>
        <v>20</v>
      </c>
      <c r="C33" s="357">
        <f>_xll.BDP(F33&amp;" EQUITY",$C$3)*0.01</f>
        <v>3.4629204272444987E-2</v>
      </c>
      <c r="D33" s="523">
        <f t="shared" si="2"/>
        <v>6.6725312826450738E-3</v>
      </c>
      <c r="E33" s="323">
        <f t="shared" si="3"/>
        <v>1.9938504207048055E-2</v>
      </c>
      <c r="F33" s="78" t="s">
        <v>220</v>
      </c>
      <c r="G33" s="101">
        <v>97000</v>
      </c>
      <c r="H33" s="9">
        <f>_xll.BDP(F33&amp;" EQUITY",$H$1)</f>
        <v>61.32</v>
      </c>
      <c r="I33" s="332">
        <v>61.684423505154641</v>
      </c>
      <c r="J33" s="338">
        <f t="shared" si="4"/>
        <v>-5.9078691904154157E-3</v>
      </c>
      <c r="K33" s="420">
        <f t="shared" si="5"/>
        <v>5948040</v>
      </c>
      <c r="L33" s="217">
        <f>_xll.BDP(F33&amp;" EQUITY",$L$1)</f>
        <v>10.576592082616179</v>
      </c>
      <c r="M33" s="161">
        <f t="shared" si="6"/>
        <v>-35349.080000000111</v>
      </c>
      <c r="O33" s="525"/>
      <c r="P33" s="323">
        <f t="shared" si="7"/>
        <v>8.7047453851710338E-3</v>
      </c>
      <c r="Q33" s="323">
        <f t="shared" si="8"/>
        <v>1.3083066238153479E-2</v>
      </c>
      <c r="R33" s="78" t="s">
        <v>4</v>
      </c>
      <c r="S33" s="101">
        <v>20000</v>
      </c>
      <c r="T33" s="9">
        <f>_xll.BDP(R33&amp;" EQUITY",$H$1)</f>
        <v>387.98</v>
      </c>
      <c r="U33" s="9">
        <v>141.54715999999999</v>
      </c>
      <c r="V33" s="99"/>
      <c r="W33" s="420">
        <f t="shared" si="9"/>
        <v>7759600</v>
      </c>
      <c r="X33" s="217">
        <f>_xll.BDP(R33&amp;" EQUITY",$L$1)</f>
        <v>15.056659422539584</v>
      </c>
      <c r="Y33" s="161">
        <f t="shared" si="10"/>
        <v>4928656.8000000007</v>
      </c>
      <c r="Z33" s="29"/>
      <c r="AA33" s="99"/>
      <c r="AB33" s="4"/>
      <c r="AC33" s="99"/>
      <c r="AD33" s="10"/>
      <c r="AF33" s="548">
        <f t="shared" si="14"/>
        <v>0</v>
      </c>
      <c r="AH33" s="29">
        <v>8211658</v>
      </c>
      <c r="AI33" s="99">
        <f t="shared" si="15"/>
        <v>452058</v>
      </c>
    </row>
    <row r="34" spans="1:35" x14ac:dyDescent="0.25">
      <c r="A34" s="531">
        <f t="shared" si="0"/>
        <v>8.4473259423808902E-4</v>
      </c>
      <c r="B34" s="17">
        <f t="shared" si="1"/>
        <v>13</v>
      </c>
      <c r="C34" s="357">
        <f>_xll.BDP(F34&amp;" EQUITY",$C$3)*0.01</f>
        <v>4.0747030481620226E-2</v>
      </c>
      <c r="D34" s="523">
        <f t="shared" si="2"/>
        <v>6.9377929061537023E-3</v>
      </c>
      <c r="E34" s="323">
        <f t="shared" si="3"/>
        <v>2.0731144926478085E-2</v>
      </c>
      <c r="F34" s="78" t="s">
        <v>377</v>
      </c>
      <c r="G34" s="101">
        <v>350000</v>
      </c>
      <c r="H34" s="9">
        <f>_xll.BDP(F34&amp;" EQUITY",$H$1)</f>
        <v>17.670000000000002</v>
      </c>
      <c r="I34" s="332">
        <v>10.211499999999999</v>
      </c>
      <c r="J34" s="338">
        <f t="shared" si="4"/>
        <v>0.7304019977476377</v>
      </c>
      <c r="K34" s="420">
        <f t="shared" si="5"/>
        <v>6184500.0000000009</v>
      </c>
      <c r="L34" s="217">
        <f>_xll.BDP(F34&amp;" EQUITY",$L$1)</f>
        <v>21.748768472906402</v>
      </c>
      <c r="M34" s="161">
        <f t="shared" si="6"/>
        <v>2610475.0000000009</v>
      </c>
      <c r="O34" s="525"/>
      <c r="P34" s="323">
        <f t="shared" si="7"/>
        <v>1.0494077841304992E-2</v>
      </c>
      <c r="Q34" s="323">
        <f t="shared" si="8"/>
        <v>1.5772398781476162E-2</v>
      </c>
      <c r="R34" s="78" t="s">
        <v>5</v>
      </c>
      <c r="S34" s="101">
        <v>95000</v>
      </c>
      <c r="T34" s="9">
        <f>_xll.BDP(R34&amp;" EQUITY",$H$1)</f>
        <v>98.47</v>
      </c>
      <c r="U34" s="9">
        <v>23.18</v>
      </c>
      <c r="V34" s="99"/>
      <c r="W34" s="420">
        <f t="shared" si="9"/>
        <v>9354650</v>
      </c>
      <c r="X34" s="217">
        <f>_xll.BDP(R34&amp;" EQUITY",$L$1)</f>
        <v>71.577034883720927</v>
      </c>
      <c r="Y34" s="161">
        <f t="shared" si="10"/>
        <v>7152549.9999999991</v>
      </c>
      <c r="Z34" s="29"/>
      <c r="AA34" s="99"/>
      <c r="AB34" s="4"/>
      <c r="AC34" s="99"/>
      <c r="AD34" s="10"/>
      <c r="AF34" s="548">
        <f t="shared" si="14"/>
        <v>0</v>
      </c>
      <c r="AH34" s="29">
        <v>8157800</v>
      </c>
      <c r="AI34" s="99">
        <f t="shared" si="15"/>
        <v>-1196850</v>
      </c>
    </row>
    <row r="35" spans="1:35" x14ac:dyDescent="0.25">
      <c r="A35" s="531">
        <f t="shared" si="0"/>
        <v>6.9576639469376997E-4</v>
      </c>
      <c r="B35" s="17">
        <f t="shared" si="1"/>
        <v>8</v>
      </c>
      <c r="C35" s="357">
        <f>_xll.BDP(F35&amp;" EQUITY",$C$3)*0.01</f>
        <v>4.8294597761601506E-2</v>
      </c>
      <c r="D35" s="523">
        <f t="shared" si="2"/>
        <v>4.8212864988386086E-3</v>
      </c>
      <c r="E35" s="323">
        <f t="shared" si="3"/>
        <v>1.4406712695451128E-2</v>
      </c>
      <c r="F35" s="78" t="s">
        <v>217</v>
      </c>
      <c r="G35" s="101">
        <v>130000</v>
      </c>
      <c r="H35" s="9">
        <f>_xll.BDP(F35&amp;" EQUITY",$H$1)</f>
        <v>33.06</v>
      </c>
      <c r="I35" s="332">
        <v>35.573838461538465</v>
      </c>
      <c r="J35" s="338">
        <f t="shared" si="4"/>
        <v>-7.0665370121820281E-2</v>
      </c>
      <c r="K35" s="420">
        <f t="shared" si="5"/>
        <v>4297800</v>
      </c>
      <c r="L35" s="217">
        <f>_xll.BDP(F35&amp;" EQUITY",$L$1)</f>
        <v>11.000991080277501</v>
      </c>
      <c r="M35" s="161">
        <f t="shared" si="6"/>
        <v>-326799.00000000012</v>
      </c>
      <c r="O35" s="525"/>
      <c r="P35" s="323">
        <f t="shared" si="7"/>
        <v>9.8391802552942435E-3</v>
      </c>
      <c r="Q35" s="323">
        <f t="shared" si="8"/>
        <v>1.4788100204336669E-2</v>
      </c>
      <c r="R35" s="78" t="s">
        <v>36</v>
      </c>
      <c r="S35" s="101">
        <v>18000</v>
      </c>
      <c r="T35" s="9">
        <f>_xll.BDP(R35&amp;" EQUITY",$H$1)</f>
        <v>487.27</v>
      </c>
      <c r="U35" s="9">
        <v>165.74</v>
      </c>
      <c r="V35" s="99"/>
      <c r="W35" s="420">
        <f t="shared" si="9"/>
        <v>8770860</v>
      </c>
      <c r="X35" s="217">
        <f>_xll.BDP(R35&amp;" EQUITY",$L$1)</f>
        <v>52.900879383345995</v>
      </c>
      <c r="Y35" s="161">
        <f t="shared" si="10"/>
        <v>5787539.9999999991</v>
      </c>
      <c r="Z35" s="29">
        <v>18000</v>
      </c>
      <c r="AA35" s="99">
        <f>+Z35-S35</f>
        <v>0</v>
      </c>
      <c r="AB35" s="4">
        <f>+AA35*T35</f>
        <v>0</v>
      </c>
      <c r="AC35" s="99">
        <f>+AA35*U35</f>
        <v>0</v>
      </c>
      <c r="AD35" s="10">
        <f>+AB35-AC35</f>
        <v>0</v>
      </c>
      <c r="AF35" s="548">
        <f t="shared" si="14"/>
        <v>0</v>
      </c>
      <c r="AH35" s="29">
        <v>7667449.9999999991</v>
      </c>
      <c r="AI35" s="99">
        <f t="shared" si="15"/>
        <v>-1103410.0000000009</v>
      </c>
    </row>
    <row r="36" spans="1:35" x14ac:dyDescent="0.25">
      <c r="A36" s="531">
        <f t="shared" si="0"/>
        <v>4.4935808043700321E-4</v>
      </c>
      <c r="B36" s="17">
        <f t="shared" si="1"/>
        <v>19</v>
      </c>
      <c r="C36" s="357">
        <f>_xll.BDP(F36&amp;" EQUITY",$C$3)*0.01</f>
        <v>3.4869465735930187E-2</v>
      </c>
      <c r="D36" s="523">
        <f t="shared" si="2"/>
        <v>4.3126608534913551E-3</v>
      </c>
      <c r="E36" s="323">
        <f t="shared" si="3"/>
        <v>1.2886864508909747E-2</v>
      </c>
      <c r="F36" s="78" t="s">
        <v>392</v>
      </c>
      <c r="G36" s="101">
        <v>35000</v>
      </c>
      <c r="H36" s="9">
        <f>_xll.BDP(F36&amp;" EQUITY",$H$1)</f>
        <v>109.84</v>
      </c>
      <c r="I36" s="332">
        <v>121.6925</v>
      </c>
      <c r="J36" s="338">
        <f t="shared" si="4"/>
        <v>-9.7397128007066902E-2</v>
      </c>
      <c r="K36" s="420">
        <f t="shared" si="5"/>
        <v>3844400</v>
      </c>
      <c r="L36" s="217">
        <f>_xll.BDP(F36&amp;" EQUITY",$L$1)</f>
        <v>35.18765903307888</v>
      </c>
      <c r="M36" s="161">
        <f t="shared" si="6"/>
        <v>-414837.49999999971</v>
      </c>
      <c r="O36" s="525"/>
      <c r="P36" s="323">
        <f t="shared" si="7"/>
        <v>1.1694230196112217E-2</v>
      </c>
      <c r="Q36" s="323">
        <f t="shared" si="8"/>
        <v>1.7576204873331232E-2</v>
      </c>
      <c r="R36" s="78" t="s">
        <v>12</v>
      </c>
      <c r="S36" s="101">
        <v>2600</v>
      </c>
      <c r="T36" s="9">
        <f>_xll.BDP(R36&amp;" EQUITY",$H$1)</f>
        <v>4009.42</v>
      </c>
      <c r="U36" s="9">
        <v>1365</v>
      </c>
      <c r="V36" s="99"/>
      <c r="W36" s="420">
        <f t="shared" si="9"/>
        <v>10424492</v>
      </c>
      <c r="X36" s="217">
        <f>_xll.BDP(R36&amp;" EQUITY",$L$1)</f>
        <v>22.738408933176096</v>
      </c>
      <c r="Y36" s="161">
        <f t="shared" si="10"/>
        <v>6875492</v>
      </c>
      <c r="Z36" s="29"/>
      <c r="AA36" s="99"/>
      <c r="AB36" s="4"/>
      <c r="AC36" s="99"/>
      <c r="AD36" s="10"/>
      <c r="AF36" s="548">
        <f t="shared" si="14"/>
        <v>0</v>
      </c>
      <c r="AH36" s="29">
        <v>7022880</v>
      </c>
      <c r="AI36" s="99">
        <f t="shared" si="15"/>
        <v>-3401612</v>
      </c>
    </row>
    <row r="37" spans="1:35" x14ac:dyDescent="0.25">
      <c r="A37" s="531">
        <f t="shared" si="0"/>
        <v>4.8122940470973725E-4</v>
      </c>
      <c r="B37" s="17">
        <f t="shared" si="1"/>
        <v>26</v>
      </c>
      <c r="C37" s="357">
        <f>_xll.BDP(F37&amp;" EQUITY",$C$3)*0.01</f>
        <v>3.0448090045051539E-2</v>
      </c>
      <c r="D37" s="523">
        <f t="shared" si="2"/>
        <v>5.2892019000975255E-3</v>
      </c>
      <c r="E37" s="323">
        <f t="shared" si="3"/>
        <v>1.5804912689029151E-2</v>
      </c>
      <c r="F37" s="78" t="s">
        <v>225</v>
      </c>
      <c r="G37" s="101">
        <v>74000</v>
      </c>
      <c r="H37" s="9">
        <f>_xll.BDP(F37&amp;" EQUITY",$H$1)</f>
        <v>63.715000000000003</v>
      </c>
      <c r="I37" s="332">
        <v>54.272094594594591</v>
      </c>
      <c r="J37" s="338">
        <f t="shared" si="4"/>
        <v>0.17399191013250315</v>
      </c>
      <c r="K37" s="420">
        <f t="shared" si="5"/>
        <v>4714910</v>
      </c>
      <c r="L37" s="217">
        <f>_xll.BDP(F37&amp;" EQUITY",$L$1)</f>
        <v>22.644657436989704</v>
      </c>
      <c r="M37" s="161">
        <f t="shared" si="6"/>
        <v>698775.00000000047</v>
      </c>
      <c r="O37" s="525">
        <f>_xll.BDP(R37&amp;" EQUITY",$C$3)*0.01</f>
        <v>1.055641123979517E-2</v>
      </c>
      <c r="P37" s="323">
        <f t="shared" si="7"/>
        <v>1.0685850126422135E-2</v>
      </c>
      <c r="Q37" s="323">
        <f t="shared" si="8"/>
        <v>1.6060628867229594E-2</v>
      </c>
      <c r="R37" s="78" t="s">
        <v>22</v>
      </c>
      <c r="S37" s="101">
        <v>70000</v>
      </c>
      <c r="T37" s="9">
        <f>_xll.BDP(R37&amp;" EQUITY",$H$1)</f>
        <v>136.08000000000001</v>
      </c>
      <c r="U37" s="9">
        <v>62.479700000000001</v>
      </c>
      <c r="V37" s="99"/>
      <c r="W37" s="420">
        <f t="shared" si="9"/>
        <v>9525600</v>
      </c>
      <c r="X37" s="217">
        <f>_xll.BDP(R37&amp;" EQUITY",$L$1)</f>
        <v>32.231170061582191</v>
      </c>
      <c r="Y37" s="161">
        <f t="shared" si="10"/>
        <v>5152021</v>
      </c>
      <c r="Z37" s="29"/>
      <c r="AA37" s="99"/>
      <c r="AB37" s="4"/>
      <c r="AC37" s="99"/>
      <c r="AD37" s="10"/>
      <c r="AF37" s="548">
        <f t="shared" si="14"/>
        <v>1.6954260309220124E-4</v>
      </c>
      <c r="AH37" s="29">
        <v>6954000.0000000009</v>
      </c>
      <c r="AI37" s="99">
        <f t="shared" si="15"/>
        <v>-2571599.9999999991</v>
      </c>
    </row>
    <row r="38" spans="1:35" x14ac:dyDescent="0.25">
      <c r="A38" s="531">
        <f t="shared" si="0"/>
        <v>3.137577967408216E-4</v>
      </c>
      <c r="B38" s="17">
        <f t="shared" si="1"/>
        <v>33</v>
      </c>
      <c r="C38" s="357">
        <f>_xll.BDP(F38&amp;" EQUITY",$C$3)*0.01</f>
        <v>2.3423422564257376E-2</v>
      </c>
      <c r="D38" s="523">
        <f t="shared" si="2"/>
        <v>4.4827262435104195E-3</v>
      </c>
      <c r="E38" s="323">
        <f t="shared" si="3"/>
        <v>1.3395044890647008E-2</v>
      </c>
      <c r="F38" s="78" t="s">
        <v>230</v>
      </c>
      <c r="G38" s="101">
        <v>18000</v>
      </c>
      <c r="H38" s="9">
        <f>_xll.BDP(F38&amp;" EQUITY",$H$1)</f>
        <v>222</v>
      </c>
      <c r="I38" s="332">
        <v>215.54400000000001</v>
      </c>
      <c r="J38" s="338">
        <f t="shared" si="4"/>
        <v>2.9952121144638522E-2</v>
      </c>
      <c r="K38" s="420">
        <f t="shared" si="5"/>
        <v>3996000</v>
      </c>
      <c r="L38" s="217">
        <f>_xll.BDP(F38&amp;" EQUITY",$L$1)</f>
        <v>19.465864874425186</v>
      </c>
      <c r="M38" s="161">
        <f t="shared" si="6"/>
        <v>116207.9999999998</v>
      </c>
      <c r="O38" s="525">
        <f>_xll.BDP(R38&amp;" EQUITY",$C$3)*0.01</f>
        <v>1.5746198100026726E-2</v>
      </c>
      <c r="P38" s="323">
        <f t="shared" si="7"/>
        <v>9.2818010357370393E-3</v>
      </c>
      <c r="Q38" s="323">
        <f t="shared" si="8"/>
        <v>1.3950369871447222E-2</v>
      </c>
      <c r="R38" s="78" t="s">
        <v>47</v>
      </c>
      <c r="S38" s="101">
        <v>200000</v>
      </c>
      <c r="T38" s="9">
        <f>_xll.BDP(R38&amp;" EQUITY",$H$1)</f>
        <v>41.37</v>
      </c>
      <c r="U38" s="9">
        <v>19.124003139999999</v>
      </c>
      <c r="V38" s="99"/>
      <c r="W38" s="420">
        <f t="shared" si="9"/>
        <v>8273999.9999999991</v>
      </c>
      <c r="X38" s="217"/>
      <c r="Y38" s="161">
        <f t="shared" si="10"/>
        <v>4449199.3719999995</v>
      </c>
      <c r="Z38" s="29">
        <v>200000</v>
      </c>
      <c r="AA38" s="99">
        <f>+Z38-S38</f>
        <v>0</v>
      </c>
      <c r="AB38" s="4">
        <f>+AA38*T38</f>
        <v>0</v>
      </c>
      <c r="AC38" s="99">
        <f>+AA38*U38</f>
        <v>0</v>
      </c>
      <c r="AD38" s="10">
        <f>+AB38-AC38</f>
        <v>0</v>
      </c>
      <c r="AF38" s="548">
        <f t="shared" si="14"/>
        <v>2.1966528756445233E-4</v>
      </c>
      <c r="AH38" s="29">
        <v>6857910</v>
      </c>
      <c r="AI38" s="99">
        <f t="shared" si="15"/>
        <v>-1416089.9999999991</v>
      </c>
    </row>
    <row r="39" spans="1:35" x14ac:dyDescent="0.25">
      <c r="A39" s="531">
        <f t="shared" si="0"/>
        <v>6.1088915148720861E-4</v>
      </c>
      <c r="B39" s="17">
        <f t="shared" si="1"/>
        <v>10</v>
      </c>
      <c r="C39" s="357">
        <f>_xll.BDP(F39&amp;" EQUITY",$C$3)*0.01</f>
        <v>4.4409614620786721E-2</v>
      </c>
      <c r="D39" s="523">
        <f t="shared" si="2"/>
        <v>4.6034502343566697E-3</v>
      </c>
      <c r="E39" s="323">
        <f t="shared" si="3"/>
        <v>1.3755785919413741E-2</v>
      </c>
      <c r="F39" s="78" t="s">
        <v>226</v>
      </c>
      <c r="G39" s="101">
        <v>107200</v>
      </c>
      <c r="H39" s="9">
        <f>_xll.BDP(F39&amp;" EQUITY",$H$1)</f>
        <v>38.28</v>
      </c>
      <c r="I39" s="332">
        <v>38.954104477611942</v>
      </c>
      <c r="J39" s="338">
        <f t="shared" si="4"/>
        <v>-1.7305094973993573E-2</v>
      </c>
      <c r="K39" s="420">
        <f t="shared" si="5"/>
        <v>4103616</v>
      </c>
      <c r="L39" s="217">
        <f>_xll.BDP(F39&amp;" EQUITY",$L$1)</f>
        <v>14.285183809877459</v>
      </c>
      <c r="M39" s="161">
        <f t="shared" si="6"/>
        <v>-72264.000000000073</v>
      </c>
      <c r="O39" s="525"/>
      <c r="P39" s="323">
        <f t="shared" si="7"/>
        <v>1.1171910697097663E-2</v>
      </c>
      <c r="Q39" s="323">
        <f t="shared" si="8"/>
        <v>1.6791168631521355E-2</v>
      </c>
      <c r="R39" s="78" t="s">
        <v>19</v>
      </c>
      <c r="S39" s="101">
        <v>23000</v>
      </c>
      <c r="T39" s="9">
        <f>_xll.BDP(R39&amp;" EQUITY",$H$1)</f>
        <v>432.995</v>
      </c>
      <c r="U39" s="9">
        <v>80.238529999999997</v>
      </c>
      <c r="V39" s="99"/>
      <c r="W39" s="420">
        <f t="shared" si="9"/>
        <v>9958885</v>
      </c>
      <c r="X39" s="217">
        <f>_xll.BDP(R39&amp;" EQUITY",$L$1)</f>
        <v>69.781627719580982</v>
      </c>
      <c r="Y39" s="161">
        <f t="shared" si="10"/>
        <v>8113398.8100000005</v>
      </c>
      <c r="Z39" s="29"/>
      <c r="AA39" s="99"/>
      <c r="AB39" s="4"/>
      <c r="AC39" s="99"/>
      <c r="AD39" s="10"/>
      <c r="AF39" s="548">
        <f t="shared" si="14"/>
        <v>0</v>
      </c>
      <c r="AH39" s="29">
        <v>6683600</v>
      </c>
      <c r="AI39" s="99">
        <f t="shared" si="15"/>
        <v>-3275285</v>
      </c>
    </row>
    <row r="40" spans="1:35" x14ac:dyDescent="0.25">
      <c r="A40" s="531">
        <f t="shared" si="0"/>
        <v>5.6568754603855827E-4</v>
      </c>
      <c r="B40" s="17">
        <f t="shared" si="1"/>
        <v>11</v>
      </c>
      <c r="C40" s="357">
        <f>_xll.BDP(F40&amp;" EQUITY",$C$3)*0.01</f>
        <v>4.1483651724834453E-2</v>
      </c>
      <c r="D40" s="523">
        <f t="shared" si="2"/>
        <v>4.5634960857358327E-3</v>
      </c>
      <c r="E40" s="323">
        <f t="shared" si="3"/>
        <v>1.3636397050838845E-2</v>
      </c>
      <c r="F40" s="78" t="s">
        <v>356</v>
      </c>
      <c r="G40" s="29">
        <v>100000</v>
      </c>
      <c r="H40" s="9">
        <f>_xll.BDP(F40&amp;" EQUITY",$H$1)</f>
        <v>40.68</v>
      </c>
      <c r="I40" s="332">
        <v>41.082000000000001</v>
      </c>
      <c r="J40" s="338">
        <f t="shared" si="4"/>
        <v>-9.7853074339127044E-3</v>
      </c>
      <c r="K40" s="420">
        <f t="shared" si="5"/>
        <v>4068000</v>
      </c>
      <c r="L40" s="217">
        <f>_xll.BDP(F40&amp;" EQUITY",$L$1)</f>
        <v>100.90909090909091</v>
      </c>
      <c r="M40" s="161">
        <f t="shared" si="6"/>
        <v>-40200.000000000102</v>
      </c>
      <c r="O40" s="525">
        <f>_xll.BDP(R40&amp;" EQUITY",$C$3)*0.01</f>
        <v>7.6635913313286667E-3</v>
      </c>
      <c r="P40" s="323">
        <f t="shared" si="7"/>
        <v>1.1644318920830369E-2</v>
      </c>
      <c r="Q40" s="323">
        <f t="shared" si="8"/>
        <v>1.7501189178827918E-2</v>
      </c>
      <c r="R40" s="78" t="s">
        <v>9</v>
      </c>
      <c r="S40" s="101">
        <v>10000</v>
      </c>
      <c r="T40" s="9">
        <f>_xll.BDP(R40&amp;" EQUITY",$H$1)</f>
        <v>1038</v>
      </c>
      <c r="U40" s="9">
        <v>199.739</v>
      </c>
      <c r="V40" s="99"/>
      <c r="W40" s="420">
        <f t="shared" si="9"/>
        <v>10380000</v>
      </c>
      <c r="X40" s="217">
        <f>_xll.BDP(R40&amp;" EQUITY",$L$1)</f>
        <v>34.89544812747932</v>
      </c>
      <c r="Y40" s="161">
        <f t="shared" si="10"/>
        <v>8382610</v>
      </c>
      <c r="Z40" s="29"/>
      <c r="AA40" s="99"/>
      <c r="AB40" s="4"/>
      <c r="AC40" s="99"/>
      <c r="AD40" s="10"/>
      <c r="AF40" s="548">
        <f t="shared" si="14"/>
        <v>1.341219616788087E-4</v>
      </c>
      <c r="AH40" s="29">
        <v>6356500</v>
      </c>
      <c r="AI40" s="99">
        <f t="shared" si="15"/>
        <v>-4023500</v>
      </c>
    </row>
    <row r="41" spans="1:35" x14ac:dyDescent="0.25">
      <c r="A41" s="531">
        <f t="shared" si="0"/>
        <v>5.0010714394185514E-4</v>
      </c>
      <c r="B41" s="17">
        <f t="shared" si="1"/>
        <v>9</v>
      </c>
      <c r="C41" s="357">
        <f>_xll.BDP(F41&amp;" EQUITY",$C$3)*0.01</f>
        <v>4.8070188232583883E-2</v>
      </c>
      <c r="D41" s="523">
        <f t="shared" si="2"/>
        <v>3.4816513573282803E-3</v>
      </c>
      <c r="E41" s="323">
        <f t="shared" si="3"/>
        <v>1.0403685991869336E-2</v>
      </c>
      <c r="F41" s="78" t="s">
        <v>403</v>
      </c>
      <c r="G41" s="101">
        <v>23000</v>
      </c>
      <c r="H41" s="9">
        <f>_xll.BDP(F41&amp;" EQUITY",$H$1)</f>
        <v>134.94</v>
      </c>
      <c r="I41" s="555">
        <v>171.24027066666667</v>
      </c>
      <c r="J41" s="338">
        <f t="shared" si="4"/>
        <v>-0.21198442705879716</v>
      </c>
      <c r="K41" s="420">
        <f t="shared" si="5"/>
        <v>3103620</v>
      </c>
      <c r="L41" s="217">
        <f>_xll.BDP(F41&amp;" EQUITY",$L$1)</f>
        <v>16.548489278752438</v>
      </c>
      <c r="M41" s="161">
        <f t="shared" si="6"/>
        <v>-834906.2253333336</v>
      </c>
      <c r="O41" s="525">
        <f>_xll.BDP(R41&amp;" EQUITY",$C$3)*0.01</f>
        <v>2.9423051693198629E-2</v>
      </c>
      <c r="P41" s="323">
        <f t="shared" si="7"/>
        <v>7.5536629531224751E-3</v>
      </c>
      <c r="Q41" s="323">
        <f t="shared" si="8"/>
        <v>1.1353011304011347E-2</v>
      </c>
      <c r="R41" s="78" t="s">
        <v>46</v>
      </c>
      <c r="S41" s="101">
        <v>150000</v>
      </c>
      <c r="T41" s="9">
        <f>_xll.BDP(R41&amp;" EQUITY",$H$1)</f>
        <v>44.89</v>
      </c>
      <c r="U41" s="9">
        <v>31.49</v>
      </c>
      <c r="V41" s="99"/>
      <c r="W41" s="420">
        <f t="shared" si="9"/>
        <v>6733500</v>
      </c>
      <c r="X41" s="217"/>
      <c r="Y41" s="161">
        <f t="shared" si="10"/>
        <v>2010000.0000000002</v>
      </c>
      <c r="Z41" s="29"/>
      <c r="AA41" s="99"/>
      <c r="AB41" s="4"/>
      <c r="AC41" s="99"/>
      <c r="AD41" s="10"/>
      <c r="AF41" s="548"/>
      <c r="AH41" s="29">
        <v>5662500</v>
      </c>
      <c r="AI41" s="99">
        <f t="shared" si="15"/>
        <v>-1071000</v>
      </c>
    </row>
    <row r="42" spans="1:35" x14ac:dyDescent="0.25">
      <c r="A42" s="531">
        <f t="shared" si="0"/>
        <v>1.8769477133197737E-4</v>
      </c>
      <c r="B42" s="17">
        <f t="shared" si="1"/>
        <v>38</v>
      </c>
      <c r="C42" s="357">
        <f>_xll.BDP(F42&amp;" EQUITY",$C$3)*0.01</f>
        <v>1.1549844971066613E-2</v>
      </c>
      <c r="D42" s="523">
        <f t="shared" si="2"/>
        <v>5.4384365234459824E-3</v>
      </c>
      <c r="E42" s="323">
        <f t="shared" si="3"/>
        <v>1.6250847678230266E-2</v>
      </c>
      <c r="F42" s="78" t="s">
        <v>531</v>
      </c>
      <c r="G42" s="101">
        <v>35000</v>
      </c>
      <c r="H42" s="9">
        <f>_xll.BDP(F42&amp;" EQUITY",$H$1)</f>
        <v>138.51259999999999</v>
      </c>
      <c r="I42" s="332">
        <v>103.48760428571428</v>
      </c>
      <c r="J42" s="338">
        <f t="shared" si="4"/>
        <v>0.33844628983377345</v>
      </c>
      <c r="K42" s="420">
        <f t="shared" si="5"/>
        <v>4847941</v>
      </c>
      <c r="L42" s="217">
        <f>_xll.BDP(F42&amp;" EQUITY",$L$1)</f>
        <v>22.062959411952701</v>
      </c>
      <c r="M42" s="161">
        <f t="shared" si="6"/>
        <v>1225874.8499999999</v>
      </c>
      <c r="O42" s="525"/>
      <c r="P42" s="323">
        <f t="shared" si="7"/>
        <v>7.2115353630959967E-3</v>
      </c>
      <c r="Q42" s="323">
        <f t="shared" si="8"/>
        <v>1.0838800063572143E-2</v>
      </c>
      <c r="R42" s="78" t="s">
        <v>18</v>
      </c>
      <c r="S42" s="101">
        <v>63000</v>
      </c>
      <c r="T42" s="9">
        <f>_xll.BDP(R42&amp;" EQUITY",$H$1)</f>
        <v>102.04</v>
      </c>
      <c r="U42" s="9">
        <v>128.13999999999999</v>
      </c>
      <c r="V42" s="99"/>
      <c r="W42" s="420">
        <f t="shared" si="9"/>
        <v>6428520</v>
      </c>
      <c r="X42" s="217">
        <f>_xll.BDP(R42&amp;" EQUITY",$L$1)</f>
        <v>21.432773109243698</v>
      </c>
      <c r="Y42" s="161">
        <f t="shared" si="10"/>
        <v>-1644299.9999999988</v>
      </c>
      <c r="Z42" s="29"/>
      <c r="AA42" s="99"/>
      <c r="AB42" s="4"/>
      <c r="AC42" s="99"/>
      <c r="AD42" s="10"/>
      <c r="AF42" s="548">
        <f t="shared" ref="AF42:AF51" si="20">+O42*Q42</f>
        <v>0</v>
      </c>
      <c r="AH42" s="29">
        <v>5356260</v>
      </c>
      <c r="AI42" s="99">
        <f t="shared" si="15"/>
        <v>-1072260</v>
      </c>
    </row>
    <row r="43" spans="1:35" x14ac:dyDescent="0.25">
      <c r="A43" s="531">
        <f t="shared" si="0"/>
        <v>2.4939723411632718E-4</v>
      </c>
      <c r="B43" s="17">
        <f t="shared" si="1"/>
        <v>28</v>
      </c>
      <c r="C43" s="357">
        <f>_xll.BDP(F43&amp;" EQUITY",$C$3)*0.01</f>
        <v>2.7873520370225006E-2</v>
      </c>
      <c r="D43" s="523">
        <f t="shared" si="2"/>
        <v>2.9943175398343372E-3</v>
      </c>
      <c r="E43" s="323">
        <f t="shared" si="3"/>
        <v>8.9474609164451931E-3</v>
      </c>
      <c r="F43" s="78" t="s">
        <v>378</v>
      </c>
      <c r="G43" s="101">
        <v>20000</v>
      </c>
      <c r="H43" s="9">
        <f>_xll.BDP(F43&amp;" EQUITY",$H$1)</f>
        <v>133.46</v>
      </c>
      <c r="I43" s="332">
        <v>81.057199999999995</v>
      </c>
      <c r="J43" s="338">
        <f t="shared" si="4"/>
        <v>0.64649161332984639</v>
      </c>
      <c r="K43" s="420">
        <f t="shared" si="5"/>
        <v>2669200</v>
      </c>
      <c r="L43" s="217">
        <f>_xll.BDP(F43&amp;" EQUITY",$L$1)</f>
        <v>31.075418994413408</v>
      </c>
      <c r="M43" s="161">
        <f t="shared" si="6"/>
        <v>1048056.0000000002</v>
      </c>
      <c r="O43" s="525"/>
      <c r="P43" s="323">
        <f t="shared" si="7"/>
        <v>8.0489391384352509E-3</v>
      </c>
      <c r="Q43" s="323">
        <f t="shared" si="8"/>
        <v>1.2097401961280375E-2</v>
      </c>
      <c r="R43" s="78" t="s">
        <v>78</v>
      </c>
      <c r="S43" s="101">
        <v>100000</v>
      </c>
      <c r="T43" s="9">
        <f>_xll.BDP(R43&amp;" EQUITY",$H$1)</f>
        <v>71.75</v>
      </c>
      <c r="U43" s="9">
        <v>42.31</v>
      </c>
      <c r="V43" s="99"/>
      <c r="W43" s="420">
        <f t="shared" si="9"/>
        <v>7175000</v>
      </c>
      <c r="X43" s="217">
        <f>_xll.BDP(R43&amp;" EQUITY",$L$1)</f>
        <v>63.43197879858657</v>
      </c>
      <c r="Y43" s="161">
        <f t="shared" si="10"/>
        <v>2944000</v>
      </c>
      <c r="Z43" s="29"/>
      <c r="AA43" s="99"/>
      <c r="AB43" s="4"/>
      <c r="AC43" s="99"/>
      <c r="AD43" s="10"/>
      <c r="AF43" s="548">
        <f t="shared" si="20"/>
        <v>0</v>
      </c>
      <c r="AH43" s="29">
        <v>4651000</v>
      </c>
      <c r="AI43" s="99">
        <f t="shared" si="15"/>
        <v>-2524000</v>
      </c>
    </row>
    <row r="44" spans="1:35" ht="15.75" x14ac:dyDescent="0.25">
      <c r="A44" s="531"/>
      <c r="B44" s="17"/>
      <c r="C44" s="17"/>
      <c r="D44" s="525"/>
      <c r="E44" s="323"/>
      <c r="H44" s="498"/>
      <c r="I44" s="496"/>
      <c r="J44" s="496"/>
      <c r="K44" s="420"/>
      <c r="L44" s="221"/>
      <c r="M44" s="497"/>
      <c r="N44" s="420"/>
      <c r="O44" s="525"/>
      <c r="P44" s="323">
        <f t="shared" si="7"/>
        <v>6.9817675980319814E-3</v>
      </c>
      <c r="Q44" s="323">
        <f t="shared" si="8"/>
        <v>1.0493463496365251E-2</v>
      </c>
      <c r="R44" s="3" t="s">
        <v>3</v>
      </c>
      <c r="S44" s="101">
        <v>85000</v>
      </c>
      <c r="T44" s="9">
        <f>_xll.BDP(R44&amp;" EQUITY",$H$1)</f>
        <v>73.22</v>
      </c>
      <c r="U44" s="9">
        <v>55.995199999999997</v>
      </c>
      <c r="V44" s="99"/>
      <c r="W44" s="420">
        <f t="shared" si="9"/>
        <v>6223700</v>
      </c>
      <c r="X44" s="217">
        <f>_xll.BDP(R44&amp;" EQUITY",$L$1)</f>
        <v>30.255670103092783</v>
      </c>
      <c r="Y44" s="161">
        <f t="shared" si="10"/>
        <v>1464108.0000000002</v>
      </c>
      <c r="Z44" s="29"/>
      <c r="AA44" s="99"/>
      <c r="AB44" s="4"/>
      <c r="AC44" s="99"/>
      <c r="AD44" s="10"/>
      <c r="AF44" s="548">
        <f t="shared" si="20"/>
        <v>0</v>
      </c>
      <c r="AH44" s="29">
        <v>4122500</v>
      </c>
      <c r="AI44" s="99">
        <f t="shared" si="15"/>
        <v>-2101200</v>
      </c>
    </row>
    <row r="45" spans="1:35" ht="15.75" x14ac:dyDescent="0.25">
      <c r="A45" s="531"/>
      <c r="B45" s="17"/>
      <c r="C45" s="17"/>
      <c r="D45" s="525"/>
      <c r="E45" s="323"/>
      <c r="F45" s="78"/>
      <c r="G45" s="101"/>
      <c r="H45" s="9"/>
      <c r="I45" s="333"/>
      <c r="J45" s="336"/>
      <c r="K45" s="155"/>
      <c r="L45" s="217"/>
      <c r="M45" s="132"/>
      <c r="N45" s="369"/>
      <c r="O45" s="525">
        <f>_xll.BDP(R45&amp;" EQUITY",$C$3)*0.01</f>
        <v>1.600174199760768E-2</v>
      </c>
      <c r="P45" s="323">
        <f t="shared" si="7"/>
        <v>4.1227395439252107E-3</v>
      </c>
      <c r="Q45" s="323">
        <f t="shared" si="8"/>
        <v>6.1963988777563083E-3</v>
      </c>
      <c r="R45" s="3" t="s">
        <v>122</v>
      </c>
      <c r="S45" s="101">
        <v>10000</v>
      </c>
      <c r="T45" s="9">
        <f>_xll.BDP(R45&amp;" EQUITY",$H$1)</f>
        <v>367.51</v>
      </c>
      <c r="U45" s="9">
        <v>415.99</v>
      </c>
      <c r="V45" s="99"/>
      <c r="W45" s="420">
        <f t="shared" si="9"/>
        <v>3675100</v>
      </c>
      <c r="X45" s="217">
        <f>_xll.BDP(R45&amp;" EQUITY",$L$1)</f>
        <v>14.494025318452497</v>
      </c>
      <c r="Y45" s="161">
        <f t="shared" si="10"/>
        <v>-484800.00000000017</v>
      </c>
      <c r="Z45" s="29"/>
      <c r="AA45" s="99"/>
      <c r="AB45" s="4"/>
      <c r="AC45" s="99"/>
      <c r="AD45" s="10"/>
      <c r="AF45" s="548">
        <f t="shared" si="20"/>
        <v>9.9153176156122218E-5</v>
      </c>
      <c r="AH45" s="29">
        <v>4108399.9999999995</v>
      </c>
      <c r="AI45" s="99">
        <f t="shared" si="15"/>
        <v>433299.99999999953</v>
      </c>
    </row>
    <row r="46" spans="1:35" x14ac:dyDescent="0.25">
      <c r="A46" s="531"/>
      <c r="B46" s="17"/>
      <c r="C46" s="17"/>
      <c r="D46" s="525"/>
      <c r="E46" s="323"/>
      <c r="F46" s="2"/>
      <c r="K46" s="125"/>
      <c r="M46" s="336"/>
      <c r="O46" s="525">
        <f>_xll.BDP(R46&amp;" EQUITY",$C$3)*0.01</f>
        <v>1.0297799052233712E-2</v>
      </c>
      <c r="P46" s="323">
        <f t="shared" si="7"/>
        <v>6.0324302830086765E-3</v>
      </c>
      <c r="Q46" s="323">
        <f t="shared" si="8"/>
        <v>9.0666276240651631E-3</v>
      </c>
      <c r="R46" s="3" t="s">
        <v>400</v>
      </c>
      <c r="S46" s="101">
        <v>8500</v>
      </c>
      <c r="T46" s="9">
        <f>_xll.BDP(R46&amp;" EQUITY",$H$1)</f>
        <v>632.64</v>
      </c>
      <c r="U46" s="9">
        <v>430.96401176470584</v>
      </c>
      <c r="V46" s="99"/>
      <c r="W46" s="420">
        <f t="shared" si="9"/>
        <v>5377440</v>
      </c>
      <c r="X46" s="217">
        <f>_xll.BDP(R46&amp;" EQUITY",$L$1)</f>
        <v>14.364399092970523</v>
      </c>
      <c r="Y46" s="161">
        <f t="shared" si="10"/>
        <v>1714245.9000000001</v>
      </c>
      <c r="Z46" s="29"/>
      <c r="AA46" s="99"/>
      <c r="AB46" s="4"/>
      <c r="AC46" s="99"/>
      <c r="AD46" s="10"/>
      <c r="AF46" s="548">
        <f t="shared" si="20"/>
        <v>9.3366309354054228E-5</v>
      </c>
      <c r="AH46" s="29">
        <v>3268399.9999999995</v>
      </c>
      <c r="AI46" s="99">
        <f t="shared" si="15"/>
        <v>-2109040.0000000005</v>
      </c>
    </row>
    <row r="47" spans="1:35" ht="15.75" x14ac:dyDescent="0.25">
      <c r="A47" s="532"/>
      <c r="B47" s="34"/>
      <c r="C47" s="34"/>
      <c r="D47" s="124"/>
      <c r="E47" s="323"/>
      <c r="F47" s="97"/>
      <c r="G47" s="34"/>
      <c r="H47" s="34"/>
      <c r="I47" s="34"/>
      <c r="J47" s="358">
        <f>+K47/K53</f>
        <v>0.33465555958236842</v>
      </c>
      <c r="K47" s="361">
        <f>SUM(K6:K46)</f>
        <v>298319269</v>
      </c>
      <c r="L47" s="336"/>
      <c r="M47" s="361">
        <f>SUM(M7:M46)</f>
        <v>44999927.458817415</v>
      </c>
      <c r="N47" s="99"/>
      <c r="O47" s="525">
        <f>_xll.BDP(R47&amp;" EQUITY",$C$3)*0.01</f>
        <v>1.3594344752582926E-2</v>
      </c>
      <c r="P47" s="323">
        <f t="shared" si="7"/>
        <v>4.9565759845661755E-3</v>
      </c>
      <c r="Q47" s="323">
        <f t="shared" si="8"/>
        <v>7.4496391394733401E-3</v>
      </c>
      <c r="R47" s="3" t="s">
        <v>149</v>
      </c>
      <c r="S47" s="101">
        <v>60000</v>
      </c>
      <c r="T47" s="9">
        <f>_xll.BDP(R47&amp;" EQUITY",$H$1)</f>
        <v>73.64</v>
      </c>
      <c r="U47" s="9">
        <v>68.099895666666669</v>
      </c>
      <c r="V47" s="99"/>
      <c r="W47" s="420">
        <f t="shared" si="9"/>
        <v>4418400</v>
      </c>
      <c r="X47" s="217">
        <f>_xll.BDP(R47&amp;" EQUITY",$L$1)</f>
        <v>22.433749619250687</v>
      </c>
      <c r="Y47" s="161">
        <f t="shared" si="10"/>
        <v>332406.25999999989</v>
      </c>
      <c r="Z47" s="29"/>
      <c r="AA47" s="99"/>
      <c r="AB47" s="4"/>
      <c r="AC47" s="99"/>
      <c r="AD47" s="10"/>
      <c r="AF47" s="548">
        <f t="shared" si="20"/>
        <v>1.0127296274433578E-4</v>
      </c>
      <c r="AH47" s="29">
        <v>3264500.0000000005</v>
      </c>
      <c r="AI47" s="99">
        <f t="shared" si="15"/>
        <v>-1153899.9999999995</v>
      </c>
    </row>
    <row r="48" spans="1:35" ht="15.75" x14ac:dyDescent="0.25">
      <c r="A48" s="273">
        <f>SUM(A6:A47)</f>
        <v>3.6069928147872042E-2</v>
      </c>
      <c r="D48" s="17"/>
      <c r="E48" s="376">
        <f>SUM(E6:E47)</f>
        <v>0.99999999999999978</v>
      </c>
      <c r="J48" s="368"/>
      <c r="K48" s="369"/>
      <c r="L48" s="99"/>
      <c r="M48" s="369"/>
      <c r="N48" s="99"/>
      <c r="O48" s="525">
        <f>_xll.BDP(R48&amp;" EQUITY",$C$3)*0.01</f>
        <v>1.2394719301575466E-2</v>
      </c>
      <c r="P48" s="323">
        <f t="shared" si="7"/>
        <v>1.5035238822058768E-3</v>
      </c>
      <c r="Q48" s="323">
        <f t="shared" si="8"/>
        <v>2.2597677095823128E-3</v>
      </c>
      <c r="R48" s="78" t="s">
        <v>70</v>
      </c>
      <c r="S48" s="101">
        <v>20000</v>
      </c>
      <c r="T48" s="9">
        <f>_xll.BDP(R48&amp;" EQUITY",$H$1)</f>
        <v>67.0137</v>
      </c>
      <c r="U48" s="9">
        <v>141.55000000000001</v>
      </c>
      <c r="V48" s="99"/>
      <c r="W48" s="420">
        <f t="shared" si="9"/>
        <v>1340274</v>
      </c>
      <c r="X48" s="217">
        <f>_xll.BDP(R48&amp;" EQUITY",$L$1)</f>
        <v>27.58230452674897</v>
      </c>
      <c r="Y48" s="161">
        <f t="shared" si="10"/>
        <v>-1490726.0000000002</v>
      </c>
      <c r="Z48" s="29"/>
      <c r="AA48" s="99"/>
      <c r="AB48" s="4"/>
      <c r="AC48" s="99"/>
      <c r="AD48" s="10"/>
      <c r="AF48" s="548">
        <f t="shared" si="20"/>
        <v>2.8009186447036875E-5</v>
      </c>
      <c r="AH48" s="101">
        <v>3253200</v>
      </c>
      <c r="AI48" s="99">
        <f t="shared" si="15"/>
        <v>1912926</v>
      </c>
    </row>
    <row r="49" spans="1:35" ht="15.75" thickBot="1" x14ac:dyDescent="0.3">
      <c r="L49" s="391" t="s">
        <v>396</v>
      </c>
      <c r="M49" s="4">
        <v>275000000</v>
      </c>
      <c r="N49" s="101"/>
      <c r="O49" s="525"/>
      <c r="P49" s="323">
        <f t="shared" si="7"/>
        <v>4.1680603998405811E-3</v>
      </c>
      <c r="Q49" s="323">
        <f t="shared" si="8"/>
        <v>6.2645152595313218E-3</v>
      </c>
      <c r="R49" s="78" t="s">
        <v>93</v>
      </c>
      <c r="S49" s="101">
        <v>50000</v>
      </c>
      <c r="T49" s="9">
        <f>_xll.BDP(R49&amp;" EQUITY",$H$1)</f>
        <v>74.31</v>
      </c>
      <c r="U49" s="9">
        <v>91.49</v>
      </c>
      <c r="V49" s="99"/>
      <c r="W49" s="420">
        <f t="shared" si="9"/>
        <v>3715500</v>
      </c>
      <c r="X49" s="217">
        <f>_xll.BDP(R49&amp;" EQUITY",$L$1)</f>
        <v>33.04135171187194</v>
      </c>
      <c r="Y49" s="161">
        <f t="shared" si="10"/>
        <v>-858999.99999999965</v>
      </c>
      <c r="Z49" s="29"/>
      <c r="AA49" s="99"/>
      <c r="AB49" s="4"/>
      <c r="AC49" s="99"/>
      <c r="AD49" s="10"/>
      <c r="AF49" s="548">
        <f t="shared" si="20"/>
        <v>0</v>
      </c>
      <c r="AH49" s="29">
        <v>2494910</v>
      </c>
      <c r="AI49" s="99">
        <f t="shared" si="15"/>
        <v>-1220590</v>
      </c>
    </row>
    <row r="50" spans="1:35" ht="15.75" x14ac:dyDescent="0.25">
      <c r="A50" s="569"/>
      <c r="B50" s="570" t="s">
        <v>355</v>
      </c>
      <c r="C50" s="570"/>
      <c r="D50" s="556"/>
      <c r="E50" s="557"/>
      <c r="F50" s="557"/>
      <c r="G50" s="557"/>
      <c r="H50" s="557"/>
      <c r="I50" s="557"/>
      <c r="J50" s="557"/>
      <c r="K50" s="557"/>
      <c r="L50" s="557"/>
      <c r="M50" s="558"/>
      <c r="N50" s="576" t="s">
        <v>398</v>
      </c>
      <c r="O50" s="525"/>
      <c r="P50" s="323">
        <f t="shared" si="7"/>
        <v>2.6423517343034577E-3</v>
      </c>
      <c r="Q50" s="323">
        <f t="shared" si="8"/>
        <v>3.9714042438603291E-3</v>
      </c>
      <c r="R50" s="78" t="s">
        <v>10</v>
      </c>
      <c r="S50" s="101">
        <v>10000</v>
      </c>
      <c r="T50" s="9">
        <f>_xll.BDP(R50&amp;" EQUITY",$H$1)</f>
        <v>235.54499999999999</v>
      </c>
      <c r="U50" s="9">
        <v>338.79354000000001</v>
      </c>
      <c r="V50" s="99"/>
      <c r="W50" s="420">
        <f t="shared" si="9"/>
        <v>2355450</v>
      </c>
      <c r="X50" s="217">
        <f>_xll.BDP(R50&amp;" EQUITY",$L$1)</f>
        <v>24.500208029956312</v>
      </c>
      <c r="Y50" s="161">
        <f t="shared" si="10"/>
        <v>-1032485.4000000001</v>
      </c>
      <c r="Z50" s="29"/>
      <c r="AA50" s="99"/>
      <c r="AB50" s="4"/>
      <c r="AC50" s="99"/>
      <c r="AD50" s="10"/>
      <c r="AF50" s="548">
        <f t="shared" si="20"/>
        <v>0</v>
      </c>
      <c r="AH50" s="29">
        <v>2025100</v>
      </c>
      <c r="AI50" s="99">
        <f t="shared" si="15"/>
        <v>-330350</v>
      </c>
    </row>
    <row r="51" spans="1:35" x14ac:dyDescent="0.25">
      <c r="A51" s="571"/>
      <c r="B51" s="121">
        <f>+'Dvd Holdings'!G2</f>
        <v>39</v>
      </c>
      <c r="C51" s="121"/>
      <c r="D51" s="508">
        <f>+F51/$F$53</f>
        <v>0.31691171329619877</v>
      </c>
      <c r="E51" s="469" t="s">
        <v>250</v>
      </c>
      <c r="F51" s="995">
        <f>+'Dvd Holdings'!O46</f>
        <v>288990127.60000002</v>
      </c>
      <c r="G51" s="996"/>
      <c r="H51" s="559"/>
      <c r="I51" s="499">
        <f>+K51/$K$53</f>
        <v>0.33465555958236842</v>
      </c>
      <c r="J51" s="373" t="s">
        <v>250</v>
      </c>
      <c r="K51" s="374">
        <f>+K47</f>
        <v>298319269</v>
      </c>
      <c r="L51" s="560" t="s">
        <v>248</v>
      </c>
      <c r="M51" s="363">
        <f>+F53-K53</f>
        <v>20472927.100000024</v>
      </c>
      <c r="N51" s="577">
        <f>+M49-M52</f>
        <v>1539867.9626494646</v>
      </c>
      <c r="O51" s="357">
        <f>_xll.BDP(R51&amp;" EQUITY",$C$3)*0.01</f>
        <v>8.1932160733431802E-3</v>
      </c>
      <c r="P51" s="323">
        <f t="shared" si="7"/>
        <v>2.4893938455890822E-3</v>
      </c>
      <c r="Q51" s="323">
        <f t="shared" si="8"/>
        <v>3.7415114553696559E-3</v>
      </c>
      <c r="R51" s="78" t="s">
        <v>95</v>
      </c>
      <c r="S51" s="101">
        <v>5000</v>
      </c>
      <c r="T51" s="9">
        <f>_xll.BDP(R51&amp;" EQUITY",$H$1)</f>
        <v>443.82</v>
      </c>
      <c r="U51" s="9">
        <v>221.49</v>
      </c>
      <c r="V51" s="99"/>
      <c r="W51" s="420">
        <f t="shared" si="9"/>
        <v>2219100</v>
      </c>
      <c r="X51" s="217">
        <f>_xll.BDP(R51&amp;" EQUITY",$L$1)</f>
        <v>31.329944938585342</v>
      </c>
      <c r="Y51" s="161">
        <f t="shared" si="10"/>
        <v>1111650</v>
      </c>
      <c r="Z51" s="29"/>
      <c r="AA51" s="99"/>
      <c r="AB51" s="4"/>
      <c r="AC51" s="99"/>
      <c r="AD51" s="10"/>
      <c r="AF51" s="548">
        <f t="shared" si="20"/>
        <v>3.0655011794732302E-5</v>
      </c>
      <c r="AH51" s="29">
        <v>1947600</v>
      </c>
      <c r="AI51" s="99">
        <f t="shared" si="15"/>
        <v>-271500</v>
      </c>
    </row>
    <row r="52" spans="1:35" x14ac:dyDescent="0.25">
      <c r="A52" s="571"/>
      <c r="B52" s="121">
        <f>+'Core Holdings'!E2</f>
        <v>47</v>
      </c>
      <c r="C52" s="121"/>
      <c r="D52" s="508">
        <f>+F52/$F$53</f>
        <v>0.68308828670380128</v>
      </c>
      <c r="E52" s="469" t="s">
        <v>249</v>
      </c>
      <c r="F52" s="995">
        <f>+'Core Holdings'!M67</f>
        <v>622904622.5</v>
      </c>
      <c r="G52" s="996"/>
      <c r="H52" s="559"/>
      <c r="I52" s="499">
        <f>+K52/$K$53</f>
        <v>0.66534444041763152</v>
      </c>
      <c r="J52" s="373" t="s">
        <v>249</v>
      </c>
      <c r="K52" s="374">
        <f>+W54</f>
        <v>593102554</v>
      </c>
      <c r="L52" s="560" t="s">
        <v>245</v>
      </c>
      <c r="M52" s="536">
        <v>273460132.03735054</v>
      </c>
      <c r="N52" s="578">
        <f>+M52/M49</f>
        <v>0.99440048013582016</v>
      </c>
      <c r="O52" s="28"/>
      <c r="P52" s="132"/>
      <c r="Q52" s="323"/>
      <c r="R52" s="78"/>
      <c r="S52" s="101"/>
      <c r="T52" s="9"/>
      <c r="U52" s="9"/>
      <c r="V52" s="99"/>
      <c r="W52" s="155"/>
      <c r="X52" s="217"/>
      <c r="Y52" s="161"/>
      <c r="AF52" s="548"/>
      <c r="AH52" s="4"/>
      <c r="AI52" s="99"/>
    </row>
    <row r="53" spans="1:35" ht="18.75" x14ac:dyDescent="0.25">
      <c r="A53" s="571"/>
      <c r="B53" s="572">
        <f>SUM(B51:B52)</f>
        <v>86</v>
      </c>
      <c r="C53" s="573"/>
      <c r="D53" s="362"/>
      <c r="E53" s="561" t="s">
        <v>246</v>
      </c>
      <c r="F53" s="972">
        <f>+'Dvd Holdings'!O46+'Core Holdings'!M67</f>
        <v>911894750.10000002</v>
      </c>
      <c r="G53" s="973"/>
      <c r="H53" s="974"/>
      <c r="I53" s="561"/>
      <c r="J53" s="561" t="s">
        <v>247</v>
      </c>
      <c r="K53" s="375">
        <f>+W54+K47</f>
        <v>891421823</v>
      </c>
      <c r="L53" s="562"/>
      <c r="M53" s="364">
        <f>SUM(M51:M52)</f>
        <v>293933059.13735056</v>
      </c>
      <c r="N53" s="579"/>
      <c r="O53" s="28"/>
      <c r="P53" s="132"/>
      <c r="W53" s="125"/>
      <c r="Y53" s="161"/>
    </row>
    <row r="54" spans="1:35" ht="15.75" x14ac:dyDescent="0.25">
      <c r="A54" s="571"/>
      <c r="B54" s="47"/>
      <c r="C54" s="47"/>
      <c r="D54" s="362"/>
      <c r="E54" s="559"/>
      <c r="F54" s="559"/>
      <c r="G54" s="559"/>
      <c r="H54" s="559"/>
      <c r="I54" s="559"/>
      <c r="J54" s="559"/>
      <c r="K54" s="468">
        <f>+K53/2</f>
        <v>445710911.5</v>
      </c>
      <c r="L54" s="559"/>
      <c r="M54" s="365"/>
      <c r="N54" s="579"/>
      <c r="O54" s="44"/>
      <c r="P54" s="125"/>
      <c r="Q54" s="376">
        <f>SUM(Q6:Q53)</f>
        <v>1</v>
      </c>
      <c r="R54" s="34"/>
      <c r="S54" s="34"/>
      <c r="T54" s="34"/>
      <c r="U54" s="34"/>
      <c r="V54" s="358">
        <f>+W54/K53</f>
        <v>0.66534444041763152</v>
      </c>
      <c r="W54" s="361">
        <f>SUM(W6:W53)</f>
        <v>593102554</v>
      </c>
      <c r="X54" s="521"/>
      <c r="Y54" s="361">
        <f>SUM(Y6:Y53)</f>
        <v>397898086.71711189</v>
      </c>
      <c r="AF54" s="163">
        <f>SUM(AF6:AF53)</f>
        <v>6.8549178296556006E-3</v>
      </c>
      <c r="AH54" s="99">
        <f>SUM(AH6:AH53)</f>
        <v>518889613</v>
      </c>
      <c r="AI54" s="99">
        <f>SUM(AI6:AI53)</f>
        <v>-74212941</v>
      </c>
    </row>
    <row r="55" spans="1:35" ht="15.75" thickBot="1" x14ac:dyDescent="0.3">
      <c r="A55" s="574"/>
      <c r="B55" s="575"/>
      <c r="C55" s="575"/>
      <c r="D55" s="563"/>
      <c r="E55" s="564" t="s">
        <v>253</v>
      </c>
      <c r="F55" s="564"/>
      <c r="G55" s="977"/>
      <c r="H55" s="978"/>
      <c r="I55" s="565">
        <f>+G55/F53</f>
        <v>0</v>
      </c>
      <c r="J55" s="564"/>
      <c r="K55" s="566">
        <v>0.5</v>
      </c>
      <c r="L55" s="567" t="s">
        <v>252</v>
      </c>
      <c r="M55" s="568">
        <v>116016355.11103715</v>
      </c>
      <c r="N55" s="580"/>
    </row>
    <row r="56" spans="1:35" ht="15.75" customHeight="1" x14ac:dyDescent="0.25">
      <c r="N56" s="186"/>
    </row>
    <row r="57" spans="1:35" x14ac:dyDescent="0.25">
      <c r="K57" s="543"/>
      <c r="N57" s="186"/>
      <c r="W57" s="99"/>
    </row>
    <row r="58" spans="1:35" ht="15.75" x14ac:dyDescent="0.25">
      <c r="J58" s="544"/>
      <c r="K58" s="545"/>
      <c r="M58" s="11"/>
    </row>
    <row r="59" spans="1:35" x14ac:dyDescent="0.25">
      <c r="D59" s="360" t="s">
        <v>250</v>
      </c>
      <c r="E59" s="467" t="s">
        <v>402</v>
      </c>
      <c r="K59" s="491" t="s">
        <v>254</v>
      </c>
      <c r="L59" s="491"/>
      <c r="M59" s="491" t="s">
        <v>159</v>
      </c>
      <c r="N59" s="99"/>
    </row>
    <row r="60" spans="1:35" x14ac:dyDescent="0.25">
      <c r="E60" s="330"/>
      <c r="F60" s="415" t="s">
        <v>229</v>
      </c>
      <c r="G60" s="416">
        <v>265537</v>
      </c>
      <c r="H60" s="98">
        <v>13.312096952967005</v>
      </c>
      <c r="I60" s="98">
        <v>14.861996633237553</v>
      </c>
      <c r="J60" s="417">
        <f t="shared" ref="J60:J68" si="21">+(H60/I60)-1</f>
        <v>-0.10428610088662871</v>
      </c>
      <c r="K60" s="416">
        <f>+H60*G60</f>
        <v>3534854.2885999996</v>
      </c>
      <c r="L60" s="418"/>
      <c r="M60" s="418">
        <v>-425512.40140000009</v>
      </c>
      <c r="N60" s="99"/>
      <c r="P60" s="348" t="s">
        <v>249</v>
      </c>
      <c r="Q60" s="348" t="s">
        <v>401</v>
      </c>
      <c r="W60" s="506" t="s">
        <v>254</v>
      </c>
      <c r="X60" s="506"/>
      <c r="Y60" s="506" t="s">
        <v>159</v>
      </c>
      <c r="Z60" s="507"/>
    </row>
    <row r="61" spans="1:35" x14ac:dyDescent="0.25">
      <c r="E61" s="330"/>
      <c r="F61" s="486" t="s">
        <v>232</v>
      </c>
      <c r="G61" s="487">
        <v>146775</v>
      </c>
      <c r="H61" s="488">
        <v>18.02</v>
      </c>
      <c r="I61" s="488">
        <v>20.101291091807187</v>
      </c>
      <c r="J61" s="489">
        <f t="shared" si="21"/>
        <v>-0.10354016974837366</v>
      </c>
      <c r="K61" s="487">
        <f>+H61*G61</f>
        <v>2644885.5</v>
      </c>
      <c r="L61" s="490"/>
      <c r="M61" s="485">
        <v>-314457.33</v>
      </c>
      <c r="N61" s="99"/>
      <c r="Q61" s="330"/>
      <c r="R61" s="415" t="s">
        <v>55</v>
      </c>
      <c r="S61" s="416">
        <v>6300</v>
      </c>
      <c r="T61" s="471">
        <v>349.93509999999998</v>
      </c>
      <c r="U61" s="98">
        <v>415.34</v>
      </c>
      <c r="V61" s="418"/>
      <c r="W61" s="416">
        <f t="shared" ref="W61:W65" si="22">+T61*S61</f>
        <v>2204591.13</v>
      </c>
      <c r="X61" s="433"/>
      <c r="Y61" s="472">
        <v>-412158.60000000009</v>
      </c>
      <c r="Z61" s="2"/>
    </row>
    <row r="62" spans="1:35" x14ac:dyDescent="0.25">
      <c r="E62" s="330"/>
      <c r="F62" s="486" t="s">
        <v>206</v>
      </c>
      <c r="G62" s="487">
        <v>423313</v>
      </c>
      <c r="H62" s="488">
        <v>17.9389</v>
      </c>
      <c r="I62" s="488">
        <v>18.842974347586775</v>
      </c>
      <c r="J62" s="489">
        <f t="shared" si="21"/>
        <v>-4.7979386423277703E-2</v>
      </c>
      <c r="K62" s="487">
        <f>+H62*G62</f>
        <v>7593769.5756999999</v>
      </c>
      <c r="L62" s="490"/>
      <c r="M62" s="485">
        <v>-403812.65</v>
      </c>
      <c r="N62" s="99"/>
      <c r="Q62" s="330"/>
      <c r="R62" s="415" t="s">
        <v>71</v>
      </c>
      <c r="S62" s="416">
        <v>12000</v>
      </c>
      <c r="T62" s="98">
        <v>158.37639999999999</v>
      </c>
      <c r="U62" s="98">
        <v>202.84</v>
      </c>
      <c r="V62" s="418"/>
      <c r="W62" s="416">
        <f t="shared" si="22"/>
        <v>1900516.7999999998</v>
      </c>
      <c r="X62" s="433"/>
      <c r="Y62" s="418">
        <v>-533778.81000000006</v>
      </c>
      <c r="Z62" s="2"/>
    </row>
    <row r="63" spans="1:35" x14ac:dyDescent="0.25">
      <c r="E63" s="330"/>
      <c r="F63" s="415" t="s">
        <v>221</v>
      </c>
      <c r="G63" s="416">
        <v>79400</v>
      </c>
      <c r="H63" s="98">
        <v>57.460799999999999</v>
      </c>
      <c r="I63" s="98">
        <v>69.517825062972292</v>
      </c>
      <c r="J63" s="417">
        <f t="shared" si="21"/>
        <v>-0.17343789239738894</v>
      </c>
      <c r="K63" s="416">
        <f t="shared" ref="K63:K66" si="23">+H63*G63</f>
        <v>4562387.5199999996</v>
      </c>
      <c r="L63" s="418"/>
      <c r="M63" s="485">
        <v>-958158.29</v>
      </c>
      <c r="R63" s="415" t="s">
        <v>56</v>
      </c>
      <c r="S63" s="416">
        <v>35000</v>
      </c>
      <c r="T63" s="98">
        <v>157.37090000000001</v>
      </c>
      <c r="U63" s="98">
        <v>131.91</v>
      </c>
      <c r="V63" s="418"/>
      <c r="W63" s="416">
        <f t="shared" si="22"/>
        <v>5507981.5</v>
      </c>
      <c r="X63" s="433"/>
      <c r="Y63" s="418">
        <v>890341.89</v>
      </c>
      <c r="Z63" s="2"/>
    </row>
    <row r="64" spans="1:35" x14ac:dyDescent="0.25">
      <c r="E64" s="330"/>
      <c r="F64" s="415" t="s">
        <v>227</v>
      </c>
      <c r="G64" s="416">
        <v>93000</v>
      </c>
      <c r="H64" s="98">
        <v>41.819800000000001</v>
      </c>
      <c r="I64" s="98">
        <v>53.945399999999999</v>
      </c>
      <c r="J64" s="417">
        <f t="shared" si="21"/>
        <v>-0.22477542107390058</v>
      </c>
      <c r="K64" s="416">
        <f t="shared" si="23"/>
        <v>3889241.4</v>
      </c>
      <c r="L64" s="418"/>
      <c r="M64" s="485">
        <v>-1128641.9200000004</v>
      </c>
      <c r="Q64" s="330"/>
      <c r="R64" s="415" t="s">
        <v>52</v>
      </c>
      <c r="S64" s="416">
        <v>50000</v>
      </c>
      <c r="T64" s="98">
        <v>91.51</v>
      </c>
      <c r="U64" s="98">
        <v>82.82</v>
      </c>
      <c r="V64" s="418"/>
      <c r="W64" s="416">
        <f t="shared" si="22"/>
        <v>4575500</v>
      </c>
      <c r="X64" s="433"/>
      <c r="Y64" s="418">
        <v>433463.39</v>
      </c>
      <c r="Z64" s="2"/>
    </row>
    <row r="65" spans="4:29" x14ac:dyDescent="0.25">
      <c r="F65" s="415" t="s">
        <v>15</v>
      </c>
      <c r="G65" s="416">
        <v>67000</v>
      </c>
      <c r="H65" s="98">
        <v>142.65090000000001</v>
      </c>
      <c r="I65" s="98">
        <v>149.39100641791043</v>
      </c>
      <c r="J65" s="417">
        <f t="shared" si="21"/>
        <v>-4.5117216755709344E-2</v>
      </c>
      <c r="K65" s="416">
        <f t="shared" si="23"/>
        <v>9557610.3000000007</v>
      </c>
      <c r="L65" s="418"/>
      <c r="M65" s="485">
        <v>-453003.59999999963</v>
      </c>
      <c r="Q65" s="10"/>
      <c r="R65" s="415" t="s">
        <v>92</v>
      </c>
      <c r="S65" s="416">
        <v>50000</v>
      </c>
      <c r="T65" s="98">
        <f>_xll.BDP(R65&amp;" EQUITY",$H$1)</f>
        <v>32.130000000000003</v>
      </c>
      <c r="U65" s="98">
        <v>96.89</v>
      </c>
      <c r="V65" s="418"/>
      <c r="W65" s="416">
        <f t="shared" si="22"/>
        <v>1606500.0000000002</v>
      </c>
      <c r="X65" s="433"/>
      <c r="Y65" s="418">
        <v>-1834939.09</v>
      </c>
      <c r="Z65" s="2"/>
    </row>
    <row r="66" spans="4:29" x14ac:dyDescent="0.25">
      <c r="F66" s="415" t="s">
        <v>210</v>
      </c>
      <c r="G66" s="416">
        <v>77000</v>
      </c>
      <c r="H66" s="98">
        <v>73.42</v>
      </c>
      <c r="I66" s="98">
        <v>77.61571428571429</v>
      </c>
      <c r="J66" s="417">
        <f t="shared" si="21"/>
        <v>-5.4057536213211632E-2</v>
      </c>
      <c r="K66" s="416">
        <f t="shared" si="23"/>
        <v>5653340</v>
      </c>
      <c r="L66" s="418"/>
      <c r="M66" s="485">
        <v>-325425.63</v>
      </c>
      <c r="Q66" s="10"/>
      <c r="R66" s="415" t="s">
        <v>27</v>
      </c>
      <c r="S66" s="416">
        <v>67000</v>
      </c>
      <c r="T66" s="98">
        <v>182.52250000000001</v>
      </c>
      <c r="U66" s="98">
        <v>71.45026</v>
      </c>
      <c r="V66" s="418"/>
      <c r="W66" s="416">
        <f t="shared" ref="W66:W67" si="24">+T66*S66</f>
        <v>12229007.5</v>
      </c>
      <c r="X66" s="433"/>
      <c r="Y66" s="418">
        <v>7441072.4100000001</v>
      </c>
      <c r="Z66" s="2"/>
      <c r="AC66" s="4"/>
    </row>
    <row r="67" spans="4:29" x14ac:dyDescent="0.25">
      <c r="F67" s="415" t="s">
        <v>228</v>
      </c>
      <c r="G67" s="416">
        <v>34000</v>
      </c>
      <c r="H67" s="98">
        <v>102.15089999999999</v>
      </c>
      <c r="I67" s="98">
        <v>180.73823529411766</v>
      </c>
      <c r="J67" s="417">
        <f t="shared" si="21"/>
        <v>-0.43481300548404422</v>
      </c>
      <c r="K67" s="416">
        <f>+H67*G67</f>
        <v>3473130.5999999996</v>
      </c>
      <c r="L67" s="418"/>
      <c r="M67" s="485">
        <v>-2673016.89</v>
      </c>
      <c r="N67" s="99"/>
      <c r="Q67" s="10"/>
      <c r="R67" s="415" t="s">
        <v>29</v>
      </c>
      <c r="S67" s="416">
        <v>81000</v>
      </c>
      <c r="T67" s="98">
        <v>70</v>
      </c>
      <c r="U67" s="98">
        <v>46.33</v>
      </c>
      <c r="V67" s="418"/>
      <c r="W67" s="416">
        <f t="shared" si="24"/>
        <v>5670000</v>
      </c>
      <c r="X67" s="433"/>
      <c r="Y67" s="529">
        <f t="shared" ref="Y67" si="25">+(T67-U67)*S67</f>
        <v>1917270.0000000002</v>
      </c>
      <c r="Z67" s="2"/>
      <c r="AC67" s="4"/>
    </row>
    <row r="68" spans="4:29" x14ac:dyDescent="0.25">
      <c r="F68" s="415" t="s">
        <v>231</v>
      </c>
      <c r="G68" s="416">
        <v>200260</v>
      </c>
      <c r="H68" s="98">
        <v>14.067</v>
      </c>
      <c r="I68" s="98">
        <v>19.387156696294817</v>
      </c>
      <c r="J68" s="417">
        <f t="shared" si="21"/>
        <v>-0.27441655213482541</v>
      </c>
      <c r="K68" s="416">
        <f>+H68*G68</f>
        <v>2817057.42</v>
      </c>
      <c r="L68" s="418"/>
      <c r="M68" s="485">
        <v>-1077378.2472206836</v>
      </c>
      <c r="N68" s="99"/>
      <c r="Q68" s="10"/>
      <c r="AC68" s="4"/>
    </row>
    <row r="69" spans="4:29" x14ac:dyDescent="0.25">
      <c r="F69" s="415" t="s">
        <v>213</v>
      </c>
      <c r="G69" s="416">
        <v>30000</v>
      </c>
      <c r="H69" s="98">
        <v>120.39449999999999</v>
      </c>
      <c r="I69" s="98">
        <v>141.05888695652175</v>
      </c>
      <c r="J69" s="417">
        <f t="shared" ref="J69:J70" si="26">+(H69/I69)-1</f>
        <v>-0.14649475408728474</v>
      </c>
      <c r="K69" s="416">
        <f t="shared" ref="K69:K70" si="27">+H69*G69</f>
        <v>3611835</v>
      </c>
      <c r="L69" s="418"/>
      <c r="M69" s="485">
        <v>-620860.38</v>
      </c>
      <c r="N69" s="99"/>
      <c r="Q69" s="10"/>
    </row>
    <row r="70" spans="4:29" ht="15.75" customHeight="1" x14ac:dyDescent="0.25">
      <c r="F70" s="415" t="s">
        <v>216</v>
      </c>
      <c r="G70" s="416">
        <v>59000</v>
      </c>
      <c r="H70" s="98">
        <v>95.643699999999995</v>
      </c>
      <c r="I70" s="98">
        <v>101.02635593220339</v>
      </c>
      <c r="J70" s="417">
        <f t="shared" si="26"/>
        <v>-5.3279719757640009E-2</v>
      </c>
      <c r="K70" s="416">
        <f t="shared" si="27"/>
        <v>5642978.2999999998</v>
      </c>
      <c r="L70" s="418"/>
      <c r="M70" s="485">
        <v>-319391.45</v>
      </c>
      <c r="N70" s="99"/>
      <c r="Q70" s="10"/>
    </row>
    <row r="71" spans="4:29" x14ac:dyDescent="0.25">
      <c r="F71" s="78"/>
      <c r="G71" s="101"/>
      <c r="H71" s="9"/>
      <c r="I71" s="9"/>
      <c r="J71" s="120"/>
      <c r="K71" s="101"/>
      <c r="L71" s="99"/>
      <c r="M71" s="99"/>
      <c r="N71" s="99"/>
      <c r="Q71" s="10"/>
      <c r="R71" s="78"/>
      <c r="S71" s="101"/>
      <c r="T71" s="9"/>
      <c r="U71" s="9"/>
      <c r="V71" s="99"/>
      <c r="W71" s="101"/>
      <c r="X71" s="421"/>
      <c r="Y71" s="99"/>
      <c r="Z71" s="2"/>
    </row>
    <row r="72" spans="4:29" x14ac:dyDescent="0.25">
      <c r="F72" s="78"/>
      <c r="G72" s="101"/>
      <c r="H72" s="9"/>
      <c r="I72" s="9"/>
      <c r="J72" s="120"/>
      <c r="K72" s="101"/>
      <c r="L72" s="99"/>
      <c r="M72" s="99"/>
      <c r="N72" s="99"/>
      <c r="Q72" s="330"/>
      <c r="Z72" s="2"/>
    </row>
    <row r="73" spans="4:29" ht="15.75" x14ac:dyDescent="0.25">
      <c r="J73" s="544"/>
      <c r="K73" s="545">
        <f>SUM(K60:K72)</f>
        <v>52981089.904299997</v>
      </c>
      <c r="M73" s="11"/>
      <c r="W73" s="81">
        <f>SUM(W61:W72)</f>
        <v>33694096.93</v>
      </c>
      <c r="X73" s="217"/>
      <c r="Y73" s="484">
        <f>SUM(Y61:Y72)</f>
        <v>7901271.1899999995</v>
      </c>
      <c r="Z73" s="2"/>
    </row>
    <row r="74" spans="4:29" ht="15.75" x14ac:dyDescent="0.25">
      <c r="J74" s="544"/>
      <c r="K74" s="545"/>
      <c r="M74" s="11"/>
    </row>
    <row r="75" spans="4:29" ht="15.75" x14ac:dyDescent="0.25">
      <c r="J75" s="544"/>
      <c r="K75" s="545"/>
      <c r="M75" s="11"/>
    </row>
    <row r="76" spans="4:29" ht="15.75" x14ac:dyDescent="0.25">
      <c r="J76" s="544"/>
      <c r="K76" s="545"/>
      <c r="M76" s="11"/>
    </row>
    <row r="77" spans="4:29" x14ac:dyDescent="0.25">
      <c r="N77" s="99"/>
    </row>
    <row r="78" spans="4:29" ht="15.75" x14ac:dyDescent="0.25">
      <c r="D78" s="975" t="s">
        <v>251</v>
      </c>
      <c r="E78" s="976"/>
      <c r="N78" s="99"/>
    </row>
    <row r="79" spans="4:29" ht="15.75" x14ac:dyDescent="0.25">
      <c r="D79" s="492"/>
      <c r="E79" s="492"/>
      <c r="N79" s="99"/>
    </row>
    <row r="80" spans="4:29" ht="15.75" x14ac:dyDescent="0.25">
      <c r="D80" s="492"/>
      <c r="E80" s="492"/>
      <c r="F80" s="415" t="s">
        <v>8</v>
      </c>
      <c r="G80" s="416">
        <v>80000</v>
      </c>
      <c r="H80" s="98">
        <f>_xll.BDP(F80&amp;" EQUITY",$H$1)</f>
        <v>114.37</v>
      </c>
      <c r="I80" s="98"/>
      <c r="J80" s="418"/>
      <c r="K80" s="422">
        <f t="shared" ref="K80:K83" si="28">+H80*G80</f>
        <v>9149600</v>
      </c>
      <c r="N80" s="99"/>
    </row>
    <row r="81" spans="4:20" ht="15.75" x14ac:dyDescent="0.25">
      <c r="D81" s="492"/>
      <c r="E81" s="492"/>
      <c r="F81" s="415" t="s">
        <v>13</v>
      </c>
      <c r="G81" s="416">
        <v>51000</v>
      </c>
      <c r="H81" s="98">
        <f>_xll.BDP(F81&amp;" EQUITY",$H$1)</f>
        <v>337.36</v>
      </c>
      <c r="I81" s="98"/>
      <c r="J81" s="418"/>
      <c r="K81" s="422">
        <f t="shared" si="28"/>
        <v>17205360</v>
      </c>
      <c r="N81" s="99"/>
    </row>
    <row r="82" spans="4:20" ht="15.75" x14ac:dyDescent="0.25">
      <c r="D82" s="492"/>
      <c r="E82" s="492"/>
      <c r="F82" s="415" t="s">
        <v>40</v>
      </c>
      <c r="G82" s="416">
        <v>44000</v>
      </c>
      <c r="H82" s="98">
        <f>_xll.BDP(F82&amp;" EQUITY",$H$1)</f>
        <v>193.8</v>
      </c>
      <c r="I82" s="98"/>
      <c r="J82" s="418"/>
      <c r="K82" s="422">
        <f t="shared" si="28"/>
        <v>8527200</v>
      </c>
      <c r="N82" s="99"/>
    </row>
    <row r="83" spans="4:20" x14ac:dyDescent="0.25">
      <c r="F83" s="415" t="s">
        <v>15</v>
      </c>
      <c r="G83" s="416">
        <v>120000</v>
      </c>
      <c r="H83" s="98">
        <f>_xll.BDP(F83&amp;" EQUITY",$H$1)</f>
        <v>199.30009999999999</v>
      </c>
      <c r="I83" s="98"/>
      <c r="J83" s="418"/>
      <c r="K83" s="422">
        <f t="shared" si="28"/>
        <v>23916012</v>
      </c>
      <c r="N83" s="99"/>
    </row>
    <row r="84" spans="4:20" x14ac:dyDescent="0.25">
      <c r="E84" s="330"/>
      <c r="F84" s="415" t="s">
        <v>34</v>
      </c>
      <c r="G84" s="416">
        <v>185000</v>
      </c>
      <c r="H84" s="98">
        <f>_xll.BDP(F84&amp;" EQUITY",$H$1)</f>
        <v>38.143799999999999</v>
      </c>
      <c r="I84" s="98"/>
      <c r="J84" s="418"/>
      <c r="K84" s="422">
        <f t="shared" ref="K84:K88" si="29">+H84*G84</f>
        <v>7056603</v>
      </c>
      <c r="L84" s="217">
        <v>5306725</v>
      </c>
      <c r="M84" s="99">
        <f>+K84-L84</f>
        <v>1749878</v>
      </c>
      <c r="N84" s="99"/>
      <c r="R84" t="s">
        <v>412</v>
      </c>
    </row>
    <row r="85" spans="4:20" x14ac:dyDescent="0.25">
      <c r="E85" s="330"/>
      <c r="F85" s="415" t="s">
        <v>25</v>
      </c>
      <c r="G85" s="416">
        <v>15000</v>
      </c>
      <c r="H85" s="98">
        <f>_xll.BDP(F85&amp;" EQUITY",$H$1)</f>
        <v>467.80599999999998</v>
      </c>
      <c r="I85" s="98"/>
      <c r="J85" s="418"/>
      <c r="K85" s="422">
        <f>+H85*G85</f>
        <v>7017090</v>
      </c>
      <c r="L85" s="217"/>
      <c r="M85" s="99"/>
      <c r="N85" s="99"/>
      <c r="Q85" s="537">
        <f>+S85/R85</f>
        <v>59.833189466666667</v>
      </c>
      <c r="R85" s="4">
        <v>75000</v>
      </c>
      <c r="S85" s="5">
        <f>620940.62+3323626.25+542922.34</f>
        <v>4487489.21</v>
      </c>
      <c r="T85" t="s">
        <v>411</v>
      </c>
    </row>
    <row r="86" spans="4:20" x14ac:dyDescent="0.25">
      <c r="E86" s="330"/>
      <c r="F86" s="415" t="s">
        <v>7</v>
      </c>
      <c r="G86" s="416">
        <v>55000</v>
      </c>
      <c r="H86" s="98">
        <f>_xll.BDP(F86&amp;" EQUITY",$H$1)</f>
        <v>159.11000000000001</v>
      </c>
      <c r="I86" s="98"/>
      <c r="J86" s="418"/>
      <c r="K86" s="422">
        <f t="shared" ref="K86" si="30">+H86*G86</f>
        <v>8751050</v>
      </c>
      <c r="L86" s="217"/>
      <c r="M86" s="99"/>
      <c r="N86" s="99"/>
      <c r="Q86" s="537">
        <f>+S86/R86</f>
        <v>59.833189555555563</v>
      </c>
      <c r="R86" s="4">
        <v>90000</v>
      </c>
      <c r="S86" s="5">
        <f>745128.75+651506.81+3988351.5</f>
        <v>5384987.0600000005</v>
      </c>
      <c r="T86" t="s">
        <v>406</v>
      </c>
    </row>
    <row r="87" spans="4:20" x14ac:dyDescent="0.25">
      <c r="E87" s="330"/>
      <c r="F87" s="415" t="s">
        <v>11</v>
      </c>
      <c r="G87" s="416">
        <v>330000</v>
      </c>
      <c r="H87" s="98">
        <f>_xll.BDP(F87&amp;" EQUITY",$H$1)</f>
        <v>39.555</v>
      </c>
      <c r="I87" s="98"/>
      <c r="J87" s="418"/>
      <c r="K87" s="422">
        <f t="shared" si="29"/>
        <v>13053150</v>
      </c>
      <c r="L87" s="217"/>
      <c r="M87" s="99"/>
      <c r="N87" s="99"/>
      <c r="Q87" s="537"/>
      <c r="R87" s="4"/>
      <c r="S87" s="5"/>
    </row>
    <row r="88" spans="4:20" x14ac:dyDescent="0.25">
      <c r="E88" s="330"/>
      <c r="F88" s="415" t="s">
        <v>133</v>
      </c>
      <c r="G88" s="416">
        <v>15000</v>
      </c>
      <c r="H88" s="98">
        <f>_xll.BDP(F88&amp;" EQUITY",$H$1)</f>
        <v>223.46</v>
      </c>
      <c r="I88" s="98"/>
      <c r="J88" s="418"/>
      <c r="K88" s="422">
        <f t="shared" si="29"/>
        <v>3351900</v>
      </c>
      <c r="L88" s="217"/>
      <c r="M88" s="99"/>
      <c r="N88" s="99"/>
      <c r="Q88" s="537"/>
      <c r="S88" s="79"/>
    </row>
    <row r="89" spans="4:20" x14ac:dyDescent="0.25">
      <c r="E89" s="330"/>
      <c r="F89" s="78"/>
      <c r="G89" s="101"/>
      <c r="H89" s="9"/>
      <c r="I89" s="9"/>
      <c r="J89" s="99"/>
      <c r="K89" s="77"/>
      <c r="L89" s="217"/>
      <c r="M89" s="99"/>
      <c r="Q89" s="537">
        <f>+S89/R89</f>
        <v>87.039404545454545</v>
      </c>
      <c r="R89" s="4">
        <v>55000</v>
      </c>
      <c r="S89" s="77">
        <f>848163.47+1480491.87+2458511.91</f>
        <v>4787167.25</v>
      </c>
      <c r="T89" t="s">
        <v>408</v>
      </c>
    </row>
    <row r="90" spans="4:20" x14ac:dyDescent="0.25">
      <c r="E90" s="330"/>
      <c r="F90" s="78"/>
      <c r="G90" s="101"/>
      <c r="H90" s="9"/>
      <c r="I90" s="9"/>
      <c r="J90" s="99"/>
      <c r="K90" s="445">
        <f>SUM(K80:K89)</f>
        <v>98027965</v>
      </c>
      <c r="L90" s="217"/>
      <c r="M90" s="99"/>
      <c r="Q90" s="537">
        <f>+S90/R90</f>
        <v>113.93291428571429</v>
      </c>
      <c r="R90" s="32">
        <v>35000</v>
      </c>
      <c r="S90" s="370">
        <v>3987652</v>
      </c>
      <c r="T90" s="34" t="s">
        <v>409</v>
      </c>
    </row>
    <row r="91" spans="4:20" x14ac:dyDescent="0.25">
      <c r="E91" s="34"/>
      <c r="F91" s="34"/>
      <c r="G91" s="34"/>
      <c r="H91" s="34"/>
      <c r="I91" s="34"/>
      <c r="J91" s="34"/>
      <c r="K91" s="34"/>
      <c r="L91" s="34"/>
      <c r="M91" s="34"/>
      <c r="R91" s="4">
        <f>+R90+R89</f>
        <v>90000</v>
      </c>
      <c r="S91" s="10">
        <f>+S90+S89</f>
        <v>8774819.25</v>
      </c>
      <c r="T91" t="s">
        <v>410</v>
      </c>
    </row>
    <row r="92" spans="4:20" x14ac:dyDescent="0.25">
      <c r="E92" s="3"/>
      <c r="F92" s="101"/>
      <c r="G92" s="9"/>
      <c r="J92" s="22" t="s">
        <v>239</v>
      </c>
      <c r="K92" t="s">
        <v>238</v>
      </c>
      <c r="M92" s="28"/>
      <c r="Q92" t="s">
        <v>407</v>
      </c>
      <c r="R92" s="581">
        <f>+S91/R91</f>
        <v>97.497991666666664</v>
      </c>
    </row>
    <row r="93" spans="4:20" x14ac:dyDescent="0.25">
      <c r="E93" s="3" t="s">
        <v>7</v>
      </c>
      <c r="F93" s="101">
        <v>55000</v>
      </c>
      <c r="G93" s="9">
        <f>_xll.BDP(E93&amp;" EQUITY",$H$1)</f>
        <v>159.11000000000001</v>
      </c>
      <c r="H93" s="10">
        <v>87.039404545454545</v>
      </c>
      <c r="I93" s="339">
        <f t="shared" ref="I93:I94" si="31">+(G93/H93)-1</f>
        <v>0.82802261608887817</v>
      </c>
      <c r="J93" s="29">
        <f>+G93*F93</f>
        <v>8751050</v>
      </c>
      <c r="K93" s="99">
        <f>+(G93-H93)*F93</f>
        <v>3963882.7500000009</v>
      </c>
      <c r="L93" s="93">
        <f>+(G93/H93)-1</f>
        <v>0.82802261608887817</v>
      </c>
      <c r="M93" s="513">
        <f>+J93-K93</f>
        <v>4787167.2499999991</v>
      </c>
      <c r="S93" s="537">
        <f>+R92*75000</f>
        <v>7312349.375</v>
      </c>
    </row>
    <row r="94" spans="4:20" x14ac:dyDescent="0.25">
      <c r="E94" s="3" t="s">
        <v>7</v>
      </c>
      <c r="F94" s="29">
        <v>35000</v>
      </c>
      <c r="G94" s="9">
        <f>_xll.BDP(E94&amp;" EQUITY",$H$1)</f>
        <v>159.11000000000001</v>
      </c>
      <c r="H94" s="9">
        <v>113.93291428571429</v>
      </c>
      <c r="I94" s="339">
        <f t="shared" si="31"/>
        <v>0.39652356825520396</v>
      </c>
      <c r="J94" s="29">
        <f t="shared" ref="J94" si="32">+G94*F94</f>
        <v>5568850.0000000009</v>
      </c>
      <c r="K94" s="99">
        <f>+(G94-H94)*F94</f>
        <v>1581198.0000000002</v>
      </c>
      <c r="L94" s="93">
        <f>+(G94/H94)-1</f>
        <v>0.39652356825520396</v>
      </c>
      <c r="M94" s="513">
        <f>+J94-K94</f>
        <v>3987652.0000000009</v>
      </c>
    </row>
    <row r="95" spans="4:20" x14ac:dyDescent="0.25">
      <c r="E95" s="2"/>
      <c r="J95" s="99"/>
      <c r="M95" s="28"/>
    </row>
    <row r="96" spans="4:20" x14ac:dyDescent="0.25">
      <c r="E96" s="2"/>
      <c r="F96" s="99">
        <f>SUM(F93:F95)</f>
        <v>90000</v>
      </c>
      <c r="J96" s="29">
        <f>SUM(J93:J95)</f>
        <v>14319900</v>
      </c>
      <c r="K96" s="99">
        <f>SUM(K93:K95)</f>
        <v>5545080.7500000009</v>
      </c>
      <c r="L96" s="522">
        <f>+M96/F96</f>
        <v>97.497991666666664</v>
      </c>
      <c r="M96" s="337">
        <f>SUM(M93:M95)</f>
        <v>8774819.25</v>
      </c>
    </row>
    <row r="97" spans="4:14" x14ac:dyDescent="0.25">
      <c r="E97" s="97"/>
      <c r="F97" s="34"/>
      <c r="G97" s="34"/>
      <c r="H97" s="34"/>
      <c r="I97" s="34"/>
      <c r="J97" s="34"/>
      <c r="K97" s="34"/>
      <c r="L97" s="34"/>
      <c r="M97" s="44"/>
    </row>
    <row r="98" spans="4:14" x14ac:dyDescent="0.25">
      <c r="E98" s="52"/>
      <c r="F98" s="366"/>
      <c r="G98" s="52"/>
      <c r="H98" s="52"/>
      <c r="I98" s="52"/>
      <c r="J98" s="367"/>
      <c r="K98" s="366"/>
      <c r="L98" s="52"/>
      <c r="M98" s="52"/>
    </row>
    <row r="99" spans="4:14" x14ac:dyDescent="0.25">
      <c r="E99" s="3"/>
      <c r="F99" s="101"/>
      <c r="G99" s="9"/>
      <c r="J99" s="22" t="s">
        <v>239</v>
      </c>
      <c r="K99" t="s">
        <v>238</v>
      </c>
      <c r="M99" s="28"/>
    </row>
    <row r="100" spans="4:14" x14ac:dyDescent="0.25">
      <c r="E100" s="3" t="s">
        <v>25</v>
      </c>
      <c r="F100" s="101">
        <v>15000</v>
      </c>
      <c r="G100" s="9">
        <f>_xll.BDP(E100&amp;" EQUITY",$H$1)</f>
        <v>467.80599999999998</v>
      </c>
      <c r="H100" s="10">
        <v>196.86736866666666</v>
      </c>
      <c r="I100" s="339">
        <f t="shared" ref="I100:I101" si="33">+(G100/H100)-1</f>
        <v>1.3762495692827752</v>
      </c>
      <c r="J100" s="29">
        <f>+G100*F100</f>
        <v>7017090</v>
      </c>
      <c r="K100" s="99">
        <f>+(G100-H100)*F100</f>
        <v>4064079.4699999997</v>
      </c>
      <c r="L100" s="93">
        <f>+(G100/H100)-1</f>
        <v>1.3762495692827752</v>
      </c>
      <c r="M100" s="513">
        <f>+J100-K100</f>
        <v>2953010.5300000003</v>
      </c>
      <c r="N100" s="10">
        <f>+M101+M100</f>
        <v>7992532.5300000012</v>
      </c>
    </row>
    <row r="101" spans="4:14" x14ac:dyDescent="0.25">
      <c r="E101" s="3" t="s">
        <v>25</v>
      </c>
      <c r="F101" s="29">
        <v>15000</v>
      </c>
      <c r="G101" s="9">
        <f>_xll.BDP(E101&amp;" EQUITY",$H$1)</f>
        <v>467.80599999999998</v>
      </c>
      <c r="H101" s="9">
        <v>335.96813333333336</v>
      </c>
      <c r="I101" s="339">
        <f t="shared" si="33"/>
        <v>0.39241182000991359</v>
      </c>
      <c r="J101" s="29">
        <f t="shared" ref="J101" si="34">+G101*F101</f>
        <v>7017090</v>
      </c>
      <c r="K101" s="99">
        <f>+(G101-H101)*F101</f>
        <v>1977567.9999999993</v>
      </c>
      <c r="L101" s="93">
        <f>+(G101/H101)-1</f>
        <v>0.39241182000991359</v>
      </c>
      <c r="M101" s="513">
        <f>+J101-K101</f>
        <v>5039522.0000000009</v>
      </c>
      <c r="N101">
        <f>+N100/30000</f>
        <v>266.41775100000007</v>
      </c>
    </row>
    <row r="102" spans="4:14" x14ac:dyDescent="0.25">
      <c r="E102" s="2"/>
      <c r="J102" s="99"/>
      <c r="M102" s="28"/>
    </row>
    <row r="103" spans="4:14" x14ac:dyDescent="0.25">
      <c r="E103" s="2"/>
      <c r="J103" s="29">
        <f>SUM(J100:J102)</f>
        <v>14034180</v>
      </c>
      <c r="K103" s="99">
        <f>SUM(K100:K102)</f>
        <v>6041647.4699999988</v>
      </c>
      <c r="M103" s="28"/>
    </row>
    <row r="104" spans="4:14" x14ac:dyDescent="0.25">
      <c r="E104" s="97"/>
      <c r="F104" s="34"/>
      <c r="G104" s="34"/>
      <c r="H104" s="34"/>
      <c r="I104" s="34"/>
      <c r="J104" s="34">
        <f>+J103/30000</f>
        <v>467.80599999999998</v>
      </c>
      <c r="K104" s="34"/>
      <c r="L104" s="34"/>
      <c r="M104" s="44"/>
    </row>
    <row r="106" spans="4:14" x14ac:dyDescent="0.25">
      <c r="D106" s="133" t="s">
        <v>354</v>
      </c>
      <c r="E106" s="448"/>
      <c r="F106" s="449"/>
      <c r="G106" s="450"/>
      <c r="H106" s="451"/>
      <c r="I106" s="451"/>
      <c r="J106" s="452" t="s">
        <v>239</v>
      </c>
      <c r="K106" s="451" t="s">
        <v>238</v>
      </c>
      <c r="L106" s="451"/>
      <c r="M106" s="453"/>
    </row>
    <row r="107" spans="4:14" x14ac:dyDescent="0.25">
      <c r="E107" s="454" t="s">
        <v>40</v>
      </c>
      <c r="F107" s="455">
        <v>44000</v>
      </c>
      <c r="G107" s="456">
        <f>_xll.BDP(E107&amp;" EQUITY",$H$1)</f>
        <v>193.8</v>
      </c>
      <c r="H107" s="457">
        <v>44.637091363636365</v>
      </c>
      <c r="I107" s="458">
        <v>0.90577333456800613</v>
      </c>
      <c r="J107" s="455">
        <f>+G107*F107</f>
        <v>8527200</v>
      </c>
      <c r="K107" s="459">
        <f>+(G107-H107)*F107</f>
        <v>6563167.9800000004</v>
      </c>
      <c r="L107" s="460">
        <f>+(G107/H107)-1</f>
        <v>3.341680743066501</v>
      </c>
      <c r="M107" s="461"/>
    </row>
    <row r="108" spans="4:14" x14ac:dyDescent="0.25">
      <c r="E108" s="454" t="s">
        <v>40</v>
      </c>
      <c r="F108" s="455">
        <v>16600</v>
      </c>
      <c r="G108" s="456">
        <f>_xll.BDP(E108&amp;" EQUITY",$H$1)</f>
        <v>193.8</v>
      </c>
      <c r="H108" s="456">
        <v>240.75</v>
      </c>
      <c r="I108" s="458">
        <v>-4.7213179686103501E-2</v>
      </c>
      <c r="J108" s="455">
        <f>+G108*F108</f>
        <v>3217080</v>
      </c>
      <c r="K108" s="459">
        <f>+(G108-H108)*F108</f>
        <v>-779369.99999999977</v>
      </c>
      <c r="L108" s="460">
        <f>+(G108/H108)-1</f>
        <v>-0.19501557632398747</v>
      </c>
      <c r="M108" s="461"/>
    </row>
    <row r="109" spans="4:14" x14ac:dyDescent="0.25">
      <c r="E109" s="462"/>
      <c r="F109" s="463"/>
      <c r="G109" s="463"/>
      <c r="H109" s="463"/>
      <c r="I109" s="463"/>
      <c r="J109" s="459"/>
      <c r="K109" s="463"/>
      <c r="L109" s="463"/>
      <c r="M109" s="461"/>
    </row>
    <row r="110" spans="4:14" x14ac:dyDescent="0.25">
      <c r="E110" s="462"/>
      <c r="F110" s="463"/>
      <c r="G110" s="463"/>
      <c r="H110" s="463"/>
      <c r="I110" s="463"/>
      <c r="J110" s="455">
        <f>SUM(J107:J109)</f>
        <v>11744280</v>
      </c>
      <c r="K110" s="459">
        <f>SUM(K107:K109)</f>
        <v>5783797.9800000004</v>
      </c>
      <c r="L110" s="459"/>
      <c r="M110" s="461"/>
    </row>
    <row r="111" spans="4:14" x14ac:dyDescent="0.25">
      <c r="E111" s="464"/>
      <c r="F111" s="465"/>
      <c r="G111" s="465"/>
      <c r="H111" s="465"/>
      <c r="I111" s="465"/>
      <c r="J111" s="465"/>
      <c r="K111" s="465"/>
      <c r="L111" s="465"/>
      <c r="M111" s="466"/>
    </row>
    <row r="114" spans="4:13" x14ac:dyDescent="0.25">
      <c r="D114" s="133" t="s">
        <v>354</v>
      </c>
      <c r="E114" s="448"/>
      <c r="F114" s="449"/>
      <c r="G114" s="450"/>
      <c r="H114" s="451"/>
      <c r="I114" s="451"/>
      <c r="J114" s="452" t="s">
        <v>239</v>
      </c>
      <c r="K114" s="451" t="s">
        <v>238</v>
      </c>
      <c r="L114" s="451"/>
      <c r="M114" s="453"/>
    </row>
    <row r="115" spans="4:13" x14ac:dyDescent="0.25">
      <c r="E115" s="454" t="s">
        <v>15</v>
      </c>
      <c r="F115" s="455">
        <v>120000</v>
      </c>
      <c r="G115" s="456">
        <f>_xll.BDP(E115&amp;" EQUITY",$H$1)</f>
        <v>199.30009999999999</v>
      </c>
      <c r="H115" s="457">
        <v>58.294294083333334</v>
      </c>
      <c r="I115" s="458">
        <v>0.90577333456800613</v>
      </c>
      <c r="J115" s="455">
        <v>17163600</v>
      </c>
      <c r="K115" s="459">
        <f>+(G115-H115)*F115</f>
        <v>16920696.709999997</v>
      </c>
      <c r="L115" s="460">
        <v>0.90577333456800613</v>
      </c>
      <c r="M115" s="552">
        <f>+J115-K115</f>
        <v>242903.29000000283</v>
      </c>
    </row>
    <row r="116" spans="4:13" x14ac:dyDescent="0.25">
      <c r="E116" s="454" t="s">
        <v>15</v>
      </c>
      <c r="F116" s="455">
        <v>67000</v>
      </c>
      <c r="G116" s="456">
        <v>142.65090000000001</v>
      </c>
      <c r="H116" s="456">
        <v>149.3723432835821</v>
      </c>
      <c r="I116" s="458">
        <v>-4.7213179686103501E-2</v>
      </c>
      <c r="J116" s="455">
        <f>+G116*F116</f>
        <v>9557610.3000000007</v>
      </c>
      <c r="K116" s="459">
        <f>+(G116-H116)*F116</f>
        <v>-450336.7</v>
      </c>
      <c r="L116" s="460">
        <v>-4.7213179686103501E-2</v>
      </c>
      <c r="M116" s="552">
        <f>+J116-K116</f>
        <v>10007947</v>
      </c>
    </row>
    <row r="117" spans="4:13" x14ac:dyDescent="0.25">
      <c r="E117" s="462"/>
      <c r="F117" s="463"/>
      <c r="G117" s="463"/>
      <c r="H117" s="463"/>
      <c r="I117" s="463"/>
      <c r="J117" s="459"/>
      <c r="K117" s="463"/>
      <c r="L117" s="463"/>
      <c r="M117" s="461"/>
    </row>
    <row r="118" spans="4:13" x14ac:dyDescent="0.25">
      <c r="E118" s="462"/>
      <c r="F118" s="463"/>
      <c r="G118" s="463"/>
      <c r="H118" s="463"/>
      <c r="I118" s="463"/>
      <c r="J118" s="455">
        <v>26699040</v>
      </c>
      <c r="K118" s="459">
        <f>SUM(K115:K117)</f>
        <v>16470360.009999998</v>
      </c>
      <c r="L118" s="459">
        <f>+J118-K118</f>
        <v>10228679.990000002</v>
      </c>
      <c r="M118" s="461"/>
    </row>
    <row r="119" spans="4:13" x14ac:dyDescent="0.25">
      <c r="E119" s="464"/>
      <c r="F119" s="465"/>
      <c r="G119" s="465"/>
      <c r="H119" s="465"/>
      <c r="I119" s="465"/>
      <c r="J119" s="465"/>
      <c r="K119" s="465"/>
      <c r="L119" s="465"/>
      <c r="M119" s="466"/>
    </row>
    <row r="126" spans="4:13" x14ac:dyDescent="0.25">
      <c r="F126" s="78" t="s">
        <v>11</v>
      </c>
      <c r="G126" s="101">
        <v>330000</v>
      </c>
      <c r="H126" s="9">
        <f>_xll.BDP(F126&amp;" EQUITY",$H$1)</f>
        <v>39.555</v>
      </c>
      <c r="I126" s="99"/>
      <c r="J126" s="77">
        <f t="shared" ref="J126:J131" si="35">+H126*G126</f>
        <v>13053150</v>
      </c>
    </row>
    <row r="127" spans="4:13" x14ac:dyDescent="0.25">
      <c r="F127" s="78" t="s">
        <v>7</v>
      </c>
      <c r="G127" s="101">
        <v>55000</v>
      </c>
      <c r="H127" s="9">
        <f>_xll.BDP(F127&amp;" EQUITY",$H$1)</f>
        <v>159.11000000000001</v>
      </c>
      <c r="I127" s="99"/>
      <c r="J127" s="77">
        <f t="shared" si="35"/>
        <v>8751050</v>
      </c>
    </row>
    <row r="128" spans="4:13" x14ac:dyDescent="0.25">
      <c r="F128" s="78" t="s">
        <v>34</v>
      </c>
      <c r="G128" s="101">
        <v>185000</v>
      </c>
      <c r="H128" s="9">
        <f>_xll.BDP(F128&amp;" EQUITY",$H$1)</f>
        <v>38.143799999999999</v>
      </c>
      <c r="I128" s="99"/>
      <c r="J128" s="77">
        <f t="shared" si="35"/>
        <v>7056603</v>
      </c>
    </row>
    <row r="129" spans="5:11" x14ac:dyDescent="0.25">
      <c r="F129" s="78" t="s">
        <v>25</v>
      </c>
      <c r="G129" s="101">
        <v>15000</v>
      </c>
      <c r="H129" s="9">
        <f>_xll.BDP(F129&amp;" EQUITY",$H$1)</f>
        <v>467.80599999999998</v>
      </c>
      <c r="I129" s="99"/>
      <c r="J129" s="77">
        <f t="shared" si="35"/>
        <v>7017090</v>
      </c>
    </row>
    <row r="130" spans="5:11" x14ac:dyDescent="0.25">
      <c r="F130" s="78" t="s">
        <v>70</v>
      </c>
      <c r="G130" s="101">
        <v>20000</v>
      </c>
      <c r="H130" s="9">
        <f>_xll.BDP(F130&amp;" EQUITY",$H$1)</f>
        <v>67.0137</v>
      </c>
      <c r="I130" s="99"/>
      <c r="J130" s="77">
        <f t="shared" si="35"/>
        <v>1340274</v>
      </c>
    </row>
    <row r="131" spans="5:11" x14ac:dyDescent="0.25">
      <c r="F131" s="78" t="s">
        <v>133</v>
      </c>
      <c r="G131" s="101">
        <v>15000</v>
      </c>
      <c r="H131" s="9">
        <f>_xll.BDP(F131&amp;" EQUITY",$H$1)</f>
        <v>223.46</v>
      </c>
      <c r="I131" s="99"/>
      <c r="J131" s="77">
        <f t="shared" si="35"/>
        <v>3351900</v>
      </c>
    </row>
    <row r="132" spans="5:11" x14ac:dyDescent="0.25">
      <c r="F132" s="78"/>
      <c r="G132" s="101"/>
      <c r="H132" s="9"/>
      <c r="I132" s="99"/>
      <c r="J132" s="77"/>
    </row>
    <row r="133" spans="5:11" x14ac:dyDescent="0.25">
      <c r="F133" s="78"/>
      <c r="G133" s="101"/>
      <c r="H133" s="9"/>
      <c r="I133" s="99"/>
      <c r="J133" s="77"/>
    </row>
    <row r="134" spans="5:11" x14ac:dyDescent="0.25">
      <c r="F134" s="78"/>
      <c r="G134" s="101"/>
      <c r="H134" s="9"/>
      <c r="I134" s="99"/>
      <c r="J134" s="77"/>
    </row>
    <row r="136" spans="5:11" x14ac:dyDescent="0.25">
      <c r="J136" s="186" t="s">
        <v>381</v>
      </c>
      <c r="K136" s="186" t="s">
        <v>238</v>
      </c>
    </row>
    <row r="137" spans="5:11" x14ac:dyDescent="0.25">
      <c r="F137" s="78" t="s">
        <v>203</v>
      </c>
      <c r="G137" s="101">
        <v>189000</v>
      </c>
      <c r="H137" s="9">
        <f>_xll.BDP(F137&amp;" EQUITY",$H$1)</f>
        <v>39.92</v>
      </c>
      <c r="I137" s="9"/>
      <c r="J137" s="29">
        <f t="shared" ref="J137:J145" si="36">+H137*G137</f>
        <v>7544880</v>
      </c>
      <c r="K137" s="99">
        <v>-4340506</v>
      </c>
    </row>
    <row r="138" spans="5:11" x14ac:dyDescent="0.25">
      <c r="F138" s="78" t="s">
        <v>213</v>
      </c>
      <c r="G138" s="101">
        <v>57500</v>
      </c>
      <c r="H138" s="9">
        <f>_xll.BDP(F138&amp;" EQUITY",$H$1)</f>
        <v>146.965</v>
      </c>
      <c r="I138" s="9"/>
      <c r="J138" s="29">
        <f t="shared" si="36"/>
        <v>8450487.5</v>
      </c>
      <c r="K138" s="99">
        <v>-2636311.0000000009</v>
      </c>
    </row>
    <row r="139" spans="5:11" x14ac:dyDescent="0.25">
      <c r="F139" s="78" t="s">
        <v>216</v>
      </c>
      <c r="G139" s="101">
        <v>59000</v>
      </c>
      <c r="H139" s="9">
        <f>_xll.BDP(F139&amp;" EQUITY",$H$1)</f>
        <v>118.92</v>
      </c>
      <c r="I139" s="9"/>
      <c r="J139" s="29">
        <f t="shared" si="36"/>
        <v>7016280</v>
      </c>
      <c r="K139" s="99">
        <v>-1204564.9999999998</v>
      </c>
    </row>
    <row r="140" spans="5:11" x14ac:dyDescent="0.25">
      <c r="F140" s="78" t="s">
        <v>220</v>
      </c>
      <c r="G140" s="101">
        <v>97000</v>
      </c>
      <c r="H140" s="9">
        <f>_xll.BDP(F140&amp;" EQUITY",$H$1)</f>
        <v>61.32</v>
      </c>
      <c r="I140" s="9"/>
      <c r="J140" s="29">
        <f t="shared" si="36"/>
        <v>5948040</v>
      </c>
      <c r="K140" s="99">
        <v>-1487439.0000000002</v>
      </c>
    </row>
    <row r="141" spans="5:11" x14ac:dyDescent="0.25">
      <c r="F141" s="78" t="s">
        <v>224</v>
      </c>
      <c r="G141" s="101">
        <v>133000</v>
      </c>
      <c r="H141" s="9">
        <f>_xll.BDP(F141&amp;" EQUITY",$H$1)</f>
        <v>11.785</v>
      </c>
      <c r="I141" s="9"/>
      <c r="J141" s="29">
        <f t="shared" si="36"/>
        <v>1567405</v>
      </c>
      <c r="K141" s="99">
        <v>-1771532</v>
      </c>
    </row>
    <row r="142" spans="5:11" x14ac:dyDescent="0.25">
      <c r="E142" s="391" t="s">
        <v>380</v>
      </c>
      <c r="F142" s="78" t="s">
        <v>199</v>
      </c>
      <c r="G142" s="101">
        <v>100000</v>
      </c>
      <c r="H142" s="9">
        <f>_xll.BDP(F142&amp;" EQUITY",$H$1)</f>
        <v>41.5</v>
      </c>
      <c r="I142" s="9"/>
      <c r="J142" s="29">
        <f t="shared" si="36"/>
        <v>4150000</v>
      </c>
      <c r="K142" s="99">
        <v>-1142442.0000000002</v>
      </c>
    </row>
    <row r="143" spans="5:11" x14ac:dyDescent="0.25">
      <c r="E143" s="391"/>
      <c r="F143" s="78" t="s">
        <v>228</v>
      </c>
      <c r="G143" s="101">
        <v>34000</v>
      </c>
      <c r="H143" s="9">
        <f>_xll.BDP(F143&amp;" EQUITY",$H$1)</f>
        <v>102.39</v>
      </c>
      <c r="I143" s="9"/>
      <c r="J143" s="29">
        <f t="shared" si="36"/>
        <v>3481260</v>
      </c>
      <c r="K143" s="99">
        <v>-2787940.0000000005</v>
      </c>
    </row>
    <row r="144" spans="5:11" x14ac:dyDescent="0.25">
      <c r="E144" s="391"/>
      <c r="F144" s="78" t="s">
        <v>231</v>
      </c>
      <c r="G144" s="101">
        <v>200260</v>
      </c>
      <c r="H144" s="9">
        <f>_xll.BDP(F144&amp;" EQUITY",$H$1)</f>
        <v>15.77</v>
      </c>
      <c r="I144" s="9"/>
      <c r="J144" s="29">
        <f t="shared" si="36"/>
        <v>3158100.1999999997</v>
      </c>
      <c r="K144" s="99">
        <v>-1296474.568</v>
      </c>
    </row>
    <row r="145" spans="5:11" x14ac:dyDescent="0.25">
      <c r="E145" s="391" t="s">
        <v>380</v>
      </c>
      <c r="F145" s="78" t="s">
        <v>40</v>
      </c>
      <c r="G145" s="101">
        <v>10600</v>
      </c>
      <c r="H145" s="9">
        <f>_xll.BDP(F145&amp;" EQUITY",$H$1)</f>
        <v>193.8</v>
      </c>
      <c r="I145" s="9"/>
      <c r="J145" s="29">
        <f t="shared" si="36"/>
        <v>2054280.0000000002</v>
      </c>
      <c r="K145" s="99">
        <v>993432.00000000012</v>
      </c>
    </row>
    <row r="146" spans="5:11" x14ac:dyDescent="0.25">
      <c r="E146" s="391"/>
    </row>
  </sheetData>
  <sortState xmlns:xlrd2="http://schemas.microsoft.com/office/spreadsheetml/2017/richdata2" ref="A6:M43">
    <sortCondition descending="1" ref="K6:K43"/>
  </sortState>
  <mergeCells count="10">
    <mergeCell ref="A4:A5"/>
    <mergeCell ref="C4:C5"/>
    <mergeCell ref="O4:O5"/>
    <mergeCell ref="F51:G51"/>
    <mergeCell ref="F52:G52"/>
    <mergeCell ref="F53:H53"/>
    <mergeCell ref="D78:E78"/>
    <mergeCell ref="G55:H55"/>
    <mergeCell ref="F2:K3"/>
    <mergeCell ref="R2:W3"/>
  </mergeCells>
  <pageMargins left="0.7" right="0.7" top="0.75" bottom="0.75" header="0.3" footer="0.3"/>
  <pageSetup orientation="portrait" horizontalDpi="204" verticalDpi="192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20D0-295C-432E-AB4A-474DAE12A91D}">
  <sheetPr codeName="Sheet11"/>
  <dimension ref="A1:AW230"/>
  <sheetViews>
    <sheetView zoomScale="80" zoomScaleNormal="80" workbookViewId="0">
      <selection activeCell="T79" sqref="T79"/>
    </sheetView>
  </sheetViews>
  <sheetFormatPr defaultRowHeight="15" x14ac:dyDescent="0.25"/>
  <cols>
    <col min="3" max="3" width="10.5703125" customWidth="1"/>
    <col min="6" max="6" width="10.28515625" customWidth="1"/>
    <col min="8" max="8" width="10.5703125" bestFit="1" customWidth="1"/>
    <col min="9" max="9" width="13.7109375" customWidth="1"/>
    <col min="10" max="10" width="9" customWidth="1"/>
    <col min="11" max="11" width="22.5703125" bestFit="1" customWidth="1"/>
    <col min="12" max="12" width="6.140625" customWidth="1"/>
    <col min="13" max="14" width="12.5703125" customWidth="1"/>
    <col min="15" max="15" width="11.7109375" customWidth="1"/>
    <col min="16" max="16" width="9.85546875" customWidth="1"/>
    <col min="17" max="17" width="8.5703125" customWidth="1"/>
    <col min="18" max="18" width="13.42578125" customWidth="1"/>
    <col min="19" max="19" width="11.5703125" customWidth="1"/>
    <col min="20" max="21" width="11.28515625" customWidth="1"/>
    <col min="22" max="22" width="8.140625" customWidth="1"/>
    <col min="23" max="23" width="13.140625" customWidth="1"/>
    <col min="24" max="24" width="12.5703125" customWidth="1"/>
    <col min="26" max="26" width="11.28515625" customWidth="1"/>
    <col min="27" max="27" width="4.85546875" style="47" customWidth="1"/>
    <col min="28" max="28" width="17.140625" customWidth="1"/>
    <col min="29" max="29" width="13.7109375" customWidth="1"/>
    <col min="31" max="31" width="10.5703125" customWidth="1"/>
    <col min="32" max="32" width="5.85546875" customWidth="1"/>
    <col min="33" max="33" width="17.140625" customWidth="1"/>
    <col min="34" max="34" width="14.42578125" customWidth="1"/>
    <col min="35" max="35" width="11.5703125" customWidth="1"/>
    <col min="37" max="37" width="6.85546875" customWidth="1"/>
    <col min="38" max="38" width="15" customWidth="1"/>
    <col min="39" max="39" width="15.42578125" customWidth="1"/>
    <col min="43" max="43" width="9.140625" style="22"/>
    <col min="44" max="44" width="8.42578125" customWidth="1"/>
    <col min="45" max="45" width="9.140625" style="96"/>
    <col min="46" max="47" width="8.7109375" customWidth="1"/>
    <col min="48" max="48" width="10.140625" bestFit="1" customWidth="1"/>
    <col min="54" max="54" width="16.28515625" bestFit="1" customWidth="1"/>
  </cols>
  <sheetData>
    <row r="1" spans="1:45" ht="35.25" customHeight="1" thickBot="1" x14ac:dyDescent="0.3">
      <c r="A1" s="47"/>
      <c r="B1" s="967">
        <v>2022</v>
      </c>
      <c r="C1" s="968"/>
      <c r="D1" s="968"/>
      <c r="E1" s="968"/>
      <c r="F1" s="968"/>
      <c r="G1" s="947">
        <v>2022</v>
      </c>
      <c r="H1" s="914"/>
      <c r="I1" s="172" t="s">
        <v>77</v>
      </c>
      <c r="J1" s="47"/>
      <c r="K1" s="110"/>
      <c r="L1" s="110"/>
      <c r="M1" s="899" t="s">
        <v>117</v>
      </c>
      <c r="N1" s="900"/>
      <c r="O1" s="171">
        <v>-0.19442824232404154</v>
      </c>
      <c r="P1" s="47"/>
      <c r="Q1" s="47"/>
      <c r="R1" s="121" t="s">
        <v>81</v>
      </c>
      <c r="S1" s="121" t="s">
        <v>80</v>
      </c>
      <c r="T1" s="47"/>
      <c r="U1" s="47"/>
      <c r="V1" s="47"/>
      <c r="W1" s="121" t="s">
        <v>86</v>
      </c>
      <c r="X1" s="121" t="s">
        <v>85</v>
      </c>
      <c r="Y1" s="47"/>
      <c r="Z1" s="47"/>
      <c r="AB1" s="47"/>
      <c r="AC1" s="47"/>
      <c r="AD1" s="47"/>
      <c r="AE1" s="47"/>
      <c r="AF1" s="47"/>
      <c r="AQ1"/>
      <c r="AS1"/>
    </row>
    <row r="2" spans="1:45" ht="18.75" x14ac:dyDescent="0.25">
      <c r="A2" s="47"/>
      <c r="B2" s="47"/>
      <c r="C2" s="68"/>
      <c r="D2" s="47"/>
      <c r="E2" s="47"/>
      <c r="F2" s="47"/>
      <c r="G2" s="194"/>
      <c r="H2" s="195"/>
      <c r="I2" s="72"/>
      <c r="J2" s="189"/>
      <c r="K2" s="154" t="s">
        <v>0</v>
      </c>
      <c r="L2" s="189"/>
      <c r="M2" s="1">
        <v>44561</v>
      </c>
      <c r="N2" s="49" t="s">
        <v>1</v>
      </c>
      <c r="O2" s="80" t="s">
        <v>57</v>
      </c>
      <c r="P2" s="197" t="s">
        <v>58</v>
      </c>
      <c r="Q2" s="47"/>
      <c r="R2" s="80" t="s">
        <v>83</v>
      </c>
      <c r="S2" s="104" t="s">
        <v>82</v>
      </c>
      <c r="T2" s="49"/>
      <c r="U2" s="80" t="s">
        <v>57</v>
      </c>
      <c r="V2" s="47"/>
      <c r="W2" s="80" t="s">
        <v>83</v>
      </c>
      <c r="X2" s="104" t="s">
        <v>84</v>
      </c>
      <c r="Y2" s="49"/>
      <c r="Z2" s="80" t="s">
        <v>57</v>
      </c>
      <c r="AB2" s="104" t="s">
        <v>94</v>
      </c>
      <c r="AC2" s="122" t="s">
        <v>111</v>
      </c>
      <c r="AD2" s="80" t="s">
        <v>57</v>
      </c>
      <c r="AE2" s="47"/>
      <c r="AF2" s="47"/>
      <c r="AQ2"/>
      <c r="AS2"/>
    </row>
    <row r="3" spans="1:45" x14ac:dyDescent="0.25">
      <c r="C3" s="23" t="s">
        <v>65</v>
      </c>
      <c r="D3" s="69" t="s">
        <v>64</v>
      </c>
      <c r="E3" s="69" t="s">
        <v>63</v>
      </c>
      <c r="F3" s="70" t="s">
        <v>62</v>
      </c>
      <c r="G3" s="12"/>
      <c r="H3" s="52"/>
      <c r="I3" s="74" t="s">
        <v>163</v>
      </c>
      <c r="K3" s="51"/>
      <c r="M3" s="2"/>
      <c r="P3" s="45"/>
      <c r="Q3" s="47"/>
      <c r="R3" s="2"/>
      <c r="U3" s="28"/>
      <c r="V3" s="47"/>
      <c r="W3" s="2"/>
      <c r="X3" s="2"/>
      <c r="Z3" s="28"/>
      <c r="AB3" s="2"/>
      <c r="AD3" s="28"/>
      <c r="AE3" s="47"/>
      <c r="AF3" s="47"/>
      <c r="AQ3"/>
      <c r="AS3"/>
    </row>
    <row r="4" spans="1:45" x14ac:dyDescent="0.25">
      <c r="A4" s="17">
        <f t="shared" ref="A4:A35" si="0">+RANK(B4,$B$4:$B$72)</f>
        <v>49</v>
      </c>
      <c r="B4" s="26">
        <f t="shared" ref="B4:B35" si="1">+F4/E4-1</f>
        <v>-0.2608772583057104</v>
      </c>
      <c r="C4" s="17">
        <f t="shared" ref="C4:C35" si="2">+RANK(D4,$D$4:$D$72)</f>
        <v>51</v>
      </c>
      <c r="D4" s="24">
        <f t="shared" ref="D4:D35" si="3">+F4-E4</f>
        <v>-1.8574460791366577E-2</v>
      </c>
      <c r="E4" s="25">
        <v>7.1199999999999999E-2</v>
      </c>
      <c r="F4" s="25">
        <f>+K4/$K$77</f>
        <v>5.2625539208633422E-2</v>
      </c>
      <c r="G4" s="3" t="s">
        <v>37</v>
      </c>
      <c r="H4" s="29">
        <v>290000</v>
      </c>
      <c r="I4" s="9">
        <v>129.93</v>
      </c>
      <c r="J4" s="99"/>
      <c r="K4" s="62">
        <f t="shared" ref="K4:K35" si="4">+I4*H4</f>
        <v>37679700</v>
      </c>
      <c r="L4" s="99"/>
      <c r="M4" s="36">
        <v>177.57</v>
      </c>
      <c r="N4" s="37">
        <f t="shared" ref="N4:N35" si="5">+I4/M4-1</f>
        <v>-0.26828856225713793</v>
      </c>
      <c r="O4" s="17">
        <f t="shared" ref="O4:O35" si="6">+RANK(N4,$N$4:$N$72)</f>
        <v>34</v>
      </c>
      <c r="P4" s="45"/>
      <c r="Q4" s="48"/>
      <c r="R4" s="105" t="str">
        <f>_xll.BDP(G4&amp;" EQUITY",$R$1)</f>
        <v>6/12/2024</v>
      </c>
      <c r="S4" s="84">
        <f>_xll.BDP(G4&amp;" EQUITY",$S$1)</f>
        <v>220.2</v>
      </c>
      <c r="T4" s="37">
        <f t="shared" ref="T4:T49" si="7">+I4/S4-1</f>
        <v>-0.40994550408719344</v>
      </c>
      <c r="U4" s="40">
        <f t="shared" ref="U4:U49" si="8">+RANK(T4,$T$4:$T$72)</f>
        <v>46</v>
      </c>
      <c r="V4" s="119"/>
      <c r="W4" s="105" t="str">
        <f>_xll.BDP(G4&amp;" EQUITY",$W$1)</f>
        <v>4/19/2024</v>
      </c>
      <c r="X4" s="77">
        <f>_xll.BDP(G4&amp;" EQUITY",$X$1)</f>
        <v>164.07499999999999</v>
      </c>
      <c r="Y4" s="37">
        <f t="shared" ref="Y4:Y49" si="9">+I4/X4-1</f>
        <v>-0.2081060490629284</v>
      </c>
      <c r="Z4" s="39">
        <f t="shared" ref="Z4:Z49" si="10">+RANK(Y4,$Y$4:$Y$72)</f>
        <v>50</v>
      </c>
      <c r="AB4" s="36">
        <v>132.69</v>
      </c>
      <c r="AC4" s="37">
        <f t="shared" ref="AC4:AC49" si="11">+I4/AB4-1</f>
        <v>-2.0800361745421547E-2</v>
      </c>
      <c r="AD4" s="40">
        <f t="shared" ref="AD4:AD49" si="12">+RANK(AC4,$AC$4:$AC$72)</f>
        <v>31</v>
      </c>
      <c r="AE4" s="47"/>
      <c r="AF4" s="47"/>
      <c r="AQ4"/>
      <c r="AS4"/>
    </row>
    <row r="5" spans="1:45" x14ac:dyDescent="0.25">
      <c r="A5" s="17">
        <f t="shared" si="0"/>
        <v>46</v>
      </c>
      <c r="B5" s="26">
        <f t="shared" si="1"/>
        <v>-0.12021744205916574</v>
      </c>
      <c r="C5" s="17">
        <f t="shared" si="2"/>
        <v>49</v>
      </c>
      <c r="D5" s="24">
        <f t="shared" si="3"/>
        <v>-6.4075896617535322E-3</v>
      </c>
      <c r="E5" s="25">
        <v>5.33E-2</v>
      </c>
      <c r="F5" s="25">
        <f>+K5/$K$77</f>
        <v>4.6892410338246468E-2</v>
      </c>
      <c r="G5" s="3" t="s">
        <v>38</v>
      </c>
      <c r="H5" s="29">
        <v>140000</v>
      </c>
      <c r="I5" s="9">
        <v>239.82</v>
      </c>
      <c r="J5" s="99"/>
      <c r="K5" s="62">
        <f t="shared" si="4"/>
        <v>33574800</v>
      </c>
      <c r="L5" s="99"/>
      <c r="M5" s="36">
        <v>336.32</v>
      </c>
      <c r="N5" s="37">
        <f t="shared" si="5"/>
        <v>-0.2869291151284491</v>
      </c>
      <c r="O5" s="17">
        <f t="shared" si="6"/>
        <v>37</v>
      </c>
      <c r="P5" s="45"/>
      <c r="Q5" s="48"/>
      <c r="R5" s="105" t="str">
        <f>_xll.BDP(G5&amp;" EQUITY",$R$1)</f>
        <v>6/24/2024</v>
      </c>
      <c r="S5" s="84">
        <f>_xll.BDP(G5&amp;" EQUITY",$S$1)</f>
        <v>452.75</v>
      </c>
      <c r="T5" s="37">
        <f t="shared" si="7"/>
        <v>-0.47030369961347318</v>
      </c>
      <c r="U5" s="39">
        <f t="shared" si="8"/>
        <v>49</v>
      </c>
      <c r="V5" s="119"/>
      <c r="W5" s="105" t="str">
        <f>_xll.BDP(G5&amp;" EQUITY",$W$1)</f>
        <v>9/28/2023</v>
      </c>
      <c r="X5" s="77">
        <f>_xll.BDP(G5&amp;" EQUITY",$X$1)</f>
        <v>309.45</v>
      </c>
      <c r="Y5" s="37">
        <f t="shared" si="9"/>
        <v>-0.22501211827435774</v>
      </c>
      <c r="Z5" s="39">
        <f t="shared" si="10"/>
        <v>52</v>
      </c>
      <c r="AB5" s="36">
        <v>222.42</v>
      </c>
      <c r="AC5" s="37">
        <f t="shared" si="11"/>
        <v>7.8230374966280047E-2</v>
      </c>
      <c r="AD5" s="40">
        <f t="shared" si="12"/>
        <v>23</v>
      </c>
      <c r="AE5" s="47"/>
      <c r="AF5" s="47"/>
      <c r="AQ5"/>
      <c r="AS5"/>
    </row>
    <row r="6" spans="1:45" x14ac:dyDescent="0.25">
      <c r="A6" s="17">
        <f t="shared" si="0"/>
        <v>43</v>
      </c>
      <c r="B6" s="26">
        <f t="shared" si="1"/>
        <v>0.19087272534698752</v>
      </c>
      <c r="C6" s="17">
        <f t="shared" si="2"/>
        <v>28</v>
      </c>
      <c r="D6" s="24">
        <f t="shared" si="3"/>
        <v>6.3560617540546829E-3</v>
      </c>
      <c r="E6" s="25">
        <f>0.0176+0.0157</f>
        <v>3.3299999999999996E-2</v>
      </c>
      <c r="F6" s="25">
        <f>+K6/$K$77</f>
        <v>3.9656061754054679E-2</v>
      </c>
      <c r="G6" s="3" t="s">
        <v>28</v>
      </c>
      <c r="H6" s="29">
        <v>320000</v>
      </c>
      <c r="I6" s="9">
        <v>88.73</v>
      </c>
      <c r="J6" s="99"/>
      <c r="K6" s="62">
        <f t="shared" si="4"/>
        <v>28393600</v>
      </c>
      <c r="L6" s="99"/>
      <c r="M6" s="36">
        <v>144.68</v>
      </c>
      <c r="N6" s="37">
        <f t="shared" si="5"/>
        <v>-0.38671551009123584</v>
      </c>
      <c r="O6" s="17">
        <f t="shared" si="6"/>
        <v>46</v>
      </c>
      <c r="P6" s="45"/>
      <c r="Q6" s="48"/>
      <c r="R6" s="105" t="str">
        <f>_xll.BDP(G6&amp;" EQUITY",$R$1)</f>
        <v>6/25/2024</v>
      </c>
      <c r="S6" s="84">
        <f>_xll.BDP(G6&amp;" EQUITY",$S$1)</f>
        <v>184.16</v>
      </c>
      <c r="T6" s="37">
        <f t="shared" si="7"/>
        <v>-0.51819070373588183</v>
      </c>
      <c r="U6" s="39">
        <f t="shared" si="8"/>
        <v>53</v>
      </c>
      <c r="V6" s="119"/>
      <c r="W6" s="105" t="str">
        <f>_xll.BDP(G6&amp;" EQUITY",$W$1)</f>
        <v>7/11/2023</v>
      </c>
      <c r="X6" s="77">
        <f>_xll.BDP(G6&amp;" EQUITY",$X$1)</f>
        <v>115.83</v>
      </c>
      <c r="Y6" s="37">
        <f t="shared" si="9"/>
        <v>-0.2339635672969006</v>
      </c>
      <c r="Z6" s="39">
        <f t="shared" si="10"/>
        <v>54</v>
      </c>
      <c r="AB6" s="36">
        <v>87.59</v>
      </c>
      <c r="AC6" s="37">
        <f t="shared" si="11"/>
        <v>1.3015184381778733E-2</v>
      </c>
      <c r="AD6" s="40">
        <f t="shared" si="12"/>
        <v>28</v>
      </c>
      <c r="AE6" s="47"/>
      <c r="AF6" s="47"/>
      <c r="AQ6"/>
      <c r="AS6"/>
    </row>
    <row r="7" spans="1:45" x14ac:dyDescent="0.25">
      <c r="A7" s="17">
        <f t="shared" si="0"/>
        <v>38</v>
      </c>
      <c r="B7" s="26">
        <f t="shared" si="1"/>
        <v>0.71634093348236294</v>
      </c>
      <c r="C7" s="21">
        <f t="shared" si="2"/>
        <v>12</v>
      </c>
      <c r="D7" s="24">
        <f t="shared" si="3"/>
        <v>1.0816748095583679E-2</v>
      </c>
      <c r="E7" s="25">
        <v>1.5100000000000001E-2</v>
      </c>
      <c r="F7" s="25">
        <f>+K7/$K$77</f>
        <v>2.591674809558368E-2</v>
      </c>
      <c r="G7" s="3" t="s">
        <v>32</v>
      </c>
      <c r="H7" s="101">
        <v>35000</v>
      </c>
      <c r="I7" s="9">
        <v>530.17999999999995</v>
      </c>
      <c r="J7" s="99"/>
      <c r="K7" s="62">
        <f t="shared" si="4"/>
        <v>18556300</v>
      </c>
      <c r="L7" s="99"/>
      <c r="M7" s="38">
        <v>502.14</v>
      </c>
      <c r="N7" s="37">
        <f t="shared" si="5"/>
        <v>5.5841000517783845E-2</v>
      </c>
      <c r="O7" s="82">
        <f t="shared" si="6"/>
        <v>8</v>
      </c>
      <c r="P7" s="45" t="s">
        <v>61</v>
      </c>
      <c r="Q7" s="48"/>
      <c r="R7" s="105" t="str">
        <f>_xll.BDP(G7&amp;" EQUITY",$R$1)</f>
        <v>12/1/2023</v>
      </c>
      <c r="S7" s="84">
        <f>_xll.BDP(G7&amp;" EQUITY",$S$1)</f>
        <v>554.70000000000005</v>
      </c>
      <c r="T7" s="37">
        <f t="shared" si="7"/>
        <v>-4.4204074274382665E-2</v>
      </c>
      <c r="U7" s="106">
        <f t="shared" si="8"/>
        <v>9</v>
      </c>
      <c r="V7" s="47"/>
      <c r="W7" s="105" t="str">
        <f>_xll.BDP(G7&amp;" EQUITY",$W$1)</f>
        <v>4/12/2024</v>
      </c>
      <c r="X7" s="77">
        <f>_xll.BDP(G7&amp;" EQUITY",$X$1)</f>
        <v>436.38</v>
      </c>
      <c r="Y7" s="37">
        <f t="shared" si="9"/>
        <v>0.21495027269810696</v>
      </c>
      <c r="Z7" s="40">
        <f t="shared" si="10"/>
        <v>22</v>
      </c>
      <c r="AB7" s="38">
        <v>350.68</v>
      </c>
      <c r="AC7" s="37">
        <f t="shared" si="11"/>
        <v>0.51186266681875203</v>
      </c>
      <c r="AD7" s="106">
        <f t="shared" si="12"/>
        <v>6</v>
      </c>
      <c r="AE7" s="47"/>
      <c r="AF7" s="47"/>
      <c r="AQ7"/>
      <c r="AS7"/>
    </row>
    <row r="8" spans="1:45" x14ac:dyDescent="0.25">
      <c r="A8" s="21">
        <f t="shared" si="0"/>
        <v>23</v>
      </c>
      <c r="B8" s="26">
        <f t="shared" si="1"/>
        <v>2.9857219172004958</v>
      </c>
      <c r="C8" s="18">
        <f t="shared" si="2"/>
        <v>1</v>
      </c>
      <c r="D8" s="24">
        <f t="shared" si="3"/>
        <v>1.9407192461803224E-2</v>
      </c>
      <c r="E8" s="25">
        <v>6.4999999999999997E-3</v>
      </c>
      <c r="F8" s="109">
        <f>+K8/$K$77</f>
        <v>2.5907192461803223E-2</v>
      </c>
      <c r="G8" s="3" t="s">
        <v>41</v>
      </c>
      <c r="H8" s="29">
        <v>34000</v>
      </c>
      <c r="I8" s="9">
        <v>545.57230000000004</v>
      </c>
      <c r="J8" s="99"/>
      <c r="K8" s="62">
        <f t="shared" si="4"/>
        <v>18549458.200000003</v>
      </c>
      <c r="L8" s="99"/>
      <c r="M8" s="36">
        <v>667.24</v>
      </c>
      <c r="N8" s="37">
        <f t="shared" si="5"/>
        <v>-0.18234473352916492</v>
      </c>
      <c r="O8" s="17">
        <f t="shared" si="6"/>
        <v>25</v>
      </c>
      <c r="P8" s="45"/>
      <c r="Q8" s="48"/>
      <c r="R8" s="105" t="str">
        <f>_xll.BDP(G8&amp;" EQUITY",$R$1)</f>
        <v>3/8/2024</v>
      </c>
      <c r="S8" s="84">
        <f>_xll.BDP(G8&amp;" EQUITY",$S$1)</f>
        <v>603.82000000000005</v>
      </c>
      <c r="T8" s="37">
        <f t="shared" si="7"/>
        <v>-9.6465337352191094E-2</v>
      </c>
      <c r="U8" s="39">
        <f t="shared" si="8"/>
        <v>16</v>
      </c>
      <c r="V8" s="47"/>
      <c r="W8" s="105" t="str">
        <f>_xll.BDP(G8&amp;" EQUITY",$W$1)</f>
        <v>10/25/2023</v>
      </c>
      <c r="X8" s="77">
        <f>_xll.BDP(G8&amp;" EQUITY",$X$1)</f>
        <v>415.6</v>
      </c>
      <c r="Y8" s="37">
        <f t="shared" si="9"/>
        <v>0.31273411934552464</v>
      </c>
      <c r="Z8" s="107">
        <f t="shared" si="10"/>
        <v>14</v>
      </c>
      <c r="AB8" s="36">
        <v>465.78</v>
      </c>
      <c r="AC8" s="37">
        <f t="shared" si="11"/>
        <v>0.1713089870754434</v>
      </c>
      <c r="AD8" s="40">
        <f t="shared" si="12"/>
        <v>13</v>
      </c>
      <c r="AE8" s="47"/>
      <c r="AF8" s="47"/>
      <c r="AQ8"/>
      <c r="AS8"/>
    </row>
    <row r="9" spans="1:45" x14ac:dyDescent="0.25">
      <c r="A9" s="17">
        <f t="shared" si="0"/>
        <v>29</v>
      </c>
      <c r="B9" s="26">
        <f t="shared" si="1"/>
        <v>1.5869565217391308</v>
      </c>
      <c r="C9" s="18">
        <f t="shared" si="2"/>
        <v>6</v>
      </c>
      <c r="D9" s="24">
        <f t="shared" si="3"/>
        <v>1.4600000000000002E-2</v>
      </c>
      <c r="E9" s="25">
        <v>9.1999999999999998E-3</v>
      </c>
      <c r="F9" s="25">
        <v>2.3800000000000002E-2</v>
      </c>
      <c r="G9" s="3" t="s">
        <v>13</v>
      </c>
      <c r="H9" s="29">
        <v>51000</v>
      </c>
      <c r="I9" s="9">
        <v>315.86</v>
      </c>
      <c r="J9" s="99"/>
      <c r="K9" s="62">
        <f t="shared" si="4"/>
        <v>16108860</v>
      </c>
      <c r="L9" s="99"/>
      <c r="M9" s="38">
        <v>415.01</v>
      </c>
      <c r="N9" s="37">
        <f t="shared" si="5"/>
        <v>-0.23890990578540272</v>
      </c>
      <c r="O9" s="17">
        <f t="shared" si="6"/>
        <v>29</v>
      </c>
      <c r="P9" s="45"/>
      <c r="Q9" s="48"/>
      <c r="R9" s="105" t="str">
        <f>_xll.BDP(G9&amp;" EQUITY",$R$1)</f>
        <v>3/21/2024</v>
      </c>
      <c r="S9" s="84">
        <f>_xll.BDP(G9&amp;" EQUITY",$S$1)</f>
        <v>396.87299999999999</v>
      </c>
      <c r="T9" s="37">
        <f t="shared" si="7"/>
        <v>-0.2041282727723982</v>
      </c>
      <c r="U9" s="39">
        <f t="shared" si="8"/>
        <v>26</v>
      </c>
      <c r="V9" s="47"/>
      <c r="W9" s="105" t="str">
        <f>_xll.BDP(G9&amp;" EQUITY",$W$1)</f>
        <v>10/27/2023</v>
      </c>
      <c r="X9" s="77">
        <f>_xll.BDP(G9&amp;" EQUITY",$X$1)</f>
        <v>274.26</v>
      </c>
      <c r="Y9" s="37">
        <f t="shared" si="9"/>
        <v>0.15168088674979963</v>
      </c>
      <c r="Z9" s="107">
        <f t="shared" si="10"/>
        <v>25</v>
      </c>
      <c r="AB9" s="38">
        <v>265.62</v>
      </c>
      <c r="AC9" s="37">
        <f t="shared" si="11"/>
        <v>0.18914238385663729</v>
      </c>
      <c r="AD9" s="40">
        <f t="shared" si="12"/>
        <v>12</v>
      </c>
      <c r="AE9" s="47"/>
      <c r="AF9" s="47"/>
      <c r="AQ9"/>
      <c r="AS9"/>
    </row>
    <row r="10" spans="1:45" x14ac:dyDescent="0.25">
      <c r="A10" s="17">
        <f t="shared" si="0"/>
        <v>36</v>
      </c>
      <c r="B10" s="26">
        <f t="shared" si="1"/>
        <v>0.87291427688589396</v>
      </c>
      <c r="C10" s="17">
        <f t="shared" si="2"/>
        <v>14</v>
      </c>
      <c r="D10" s="24">
        <f t="shared" si="3"/>
        <v>1.0474971322630727E-2</v>
      </c>
      <c r="E10" s="25">
        <v>1.2E-2</v>
      </c>
      <c r="F10" s="109">
        <f t="shared" ref="F10:F18" si="13">+K10/$K$77</f>
        <v>2.2474971322630728E-2</v>
      </c>
      <c r="G10" s="3" t="s">
        <v>15</v>
      </c>
      <c r="H10" s="29">
        <v>120000</v>
      </c>
      <c r="I10" s="9">
        <v>134.1</v>
      </c>
      <c r="J10" s="99"/>
      <c r="K10" s="62">
        <f t="shared" si="4"/>
        <v>16092000</v>
      </c>
      <c r="L10" s="99"/>
      <c r="M10" s="36">
        <v>158.35</v>
      </c>
      <c r="N10" s="37">
        <f t="shared" si="5"/>
        <v>-0.1531417745500474</v>
      </c>
      <c r="O10" s="17">
        <f t="shared" si="6"/>
        <v>21</v>
      </c>
      <c r="P10" s="45"/>
      <c r="Q10" s="48"/>
      <c r="R10" s="105" t="str">
        <f>_xll.BDP(G10&amp;" EQUITY",$R$1)</f>
        <v>5/20/2024</v>
      </c>
      <c r="S10" s="84">
        <f>_xll.BDP(G10&amp;" EQUITY",$S$1)</f>
        <v>205.88</v>
      </c>
      <c r="T10" s="37">
        <f t="shared" si="7"/>
        <v>-0.34864969885370123</v>
      </c>
      <c r="U10" s="39">
        <f t="shared" si="8"/>
        <v>41</v>
      </c>
      <c r="V10" s="47"/>
      <c r="W10" s="105" t="str">
        <f>_xll.BDP(G10&amp;" EQUITY",$W$1)</f>
        <v>10/27/2023</v>
      </c>
      <c r="X10" s="77">
        <f>_xll.BDP(G10&amp;" EQUITY",$X$1)</f>
        <v>135.19</v>
      </c>
      <c r="Y10" s="37">
        <f t="shared" si="9"/>
        <v>-8.0627265330276421E-3</v>
      </c>
      <c r="Z10" s="40">
        <f t="shared" si="10"/>
        <v>36</v>
      </c>
      <c r="AB10" s="36">
        <v>127.07</v>
      </c>
      <c r="AC10" s="37">
        <f t="shared" si="11"/>
        <v>5.5323837255056185E-2</v>
      </c>
      <c r="AD10" s="39">
        <f t="shared" si="12"/>
        <v>24</v>
      </c>
      <c r="AE10" s="47"/>
      <c r="AF10" s="47"/>
      <c r="AQ10"/>
      <c r="AS10"/>
    </row>
    <row r="11" spans="1:45" x14ac:dyDescent="0.25">
      <c r="A11" s="17">
        <f t="shared" si="0"/>
        <v>33</v>
      </c>
      <c r="B11" s="26">
        <f t="shared" si="1"/>
        <v>1.1692247925955579</v>
      </c>
      <c r="C11" s="21">
        <f t="shared" si="2"/>
        <v>11</v>
      </c>
      <c r="D11" s="24">
        <f t="shared" si="3"/>
        <v>1.2043015363734248E-2</v>
      </c>
      <c r="E11" s="25">
        <v>1.03E-2</v>
      </c>
      <c r="F11" s="25">
        <f t="shared" si="13"/>
        <v>2.2343015363734248E-2</v>
      </c>
      <c r="G11" s="3" t="s">
        <v>31</v>
      </c>
      <c r="H11" s="29">
        <v>77000</v>
      </c>
      <c r="I11" s="9">
        <v>207.76</v>
      </c>
      <c r="J11" s="99"/>
      <c r="K11" s="62">
        <f t="shared" si="4"/>
        <v>15997520</v>
      </c>
      <c r="L11" s="99"/>
      <c r="M11" s="38">
        <v>216.71</v>
      </c>
      <c r="N11" s="37">
        <f t="shared" si="5"/>
        <v>-4.1299432421208149E-2</v>
      </c>
      <c r="O11" s="102">
        <f t="shared" si="6"/>
        <v>16</v>
      </c>
      <c r="P11" s="45"/>
      <c r="Q11" s="48"/>
      <c r="R11" s="105" t="str">
        <f>_xll.BDP(G11&amp;" EQUITY",$R$1)</f>
        <v>3/21/2024</v>
      </c>
      <c r="S11" s="84">
        <f>_xll.BDP(G11&amp;" EQUITY",$S$1)</f>
        <v>290.95999999999998</v>
      </c>
      <c r="T11" s="37">
        <f t="shared" si="7"/>
        <v>-0.28594995875721751</v>
      </c>
      <c r="U11" s="106">
        <f t="shared" si="8"/>
        <v>35</v>
      </c>
      <c r="V11" s="47"/>
      <c r="W11" s="105" t="str">
        <f>_xll.BDP(G11&amp;" EQUITY",$W$1)</f>
        <v>6/28/2023</v>
      </c>
      <c r="X11" s="77">
        <f>_xll.BDP(G11&amp;" EQUITY",$X$1)</f>
        <v>226.02</v>
      </c>
      <c r="Y11" s="37">
        <f t="shared" si="9"/>
        <v>-8.0789310680470794E-2</v>
      </c>
      <c r="Z11" s="39">
        <f t="shared" si="10"/>
        <v>44</v>
      </c>
      <c r="AB11" s="38">
        <v>218.73</v>
      </c>
      <c r="AC11" s="37">
        <f t="shared" si="11"/>
        <v>-5.0153156860055725E-2</v>
      </c>
      <c r="AD11" s="39">
        <f t="shared" si="12"/>
        <v>34</v>
      </c>
      <c r="AE11" s="47"/>
      <c r="AF11" s="47"/>
      <c r="AQ11"/>
      <c r="AS11"/>
    </row>
    <row r="12" spans="1:45" x14ac:dyDescent="0.25">
      <c r="A12" s="17">
        <f t="shared" si="0"/>
        <v>28</v>
      </c>
      <c r="B12" s="26">
        <f t="shared" si="1"/>
        <v>1.6595602206127689</v>
      </c>
      <c r="C12" s="18">
        <f t="shared" si="2"/>
        <v>9</v>
      </c>
      <c r="D12" s="24">
        <f t="shared" si="3"/>
        <v>1.3940305853147256E-2</v>
      </c>
      <c r="E12" s="25">
        <v>8.3999999999999995E-3</v>
      </c>
      <c r="F12" s="25">
        <f t="shared" si="13"/>
        <v>2.2340305853147256E-2</v>
      </c>
      <c r="G12" s="3" t="s">
        <v>17</v>
      </c>
      <c r="H12" s="29">
        <v>46000</v>
      </c>
      <c r="I12" s="9">
        <v>347.73</v>
      </c>
      <c r="J12" s="99"/>
      <c r="K12" s="62">
        <f t="shared" si="4"/>
        <v>15995580</v>
      </c>
      <c r="L12" s="99"/>
      <c r="M12" s="38">
        <v>359.32</v>
      </c>
      <c r="N12" s="37">
        <f t="shared" si="5"/>
        <v>-3.2255371256818322E-2</v>
      </c>
      <c r="O12" s="102">
        <f t="shared" si="6"/>
        <v>14</v>
      </c>
      <c r="P12" s="45"/>
      <c r="Q12" s="48"/>
      <c r="R12" s="105" t="str">
        <f>_xll.BDP(G12&amp;" EQUITY",$R$1)</f>
        <v>3/21/2024</v>
      </c>
      <c r="S12" s="84">
        <f>_xll.BDP(G12&amp;" EQUITY",$S$1)</f>
        <v>490</v>
      </c>
      <c r="T12" s="37">
        <f t="shared" si="7"/>
        <v>-0.29034693877551021</v>
      </c>
      <c r="U12" s="40">
        <f t="shared" si="8"/>
        <v>37</v>
      </c>
      <c r="V12" s="47"/>
      <c r="W12" s="105" t="str">
        <f>_xll.BDP(G12&amp;" EQUITY",$W$1)</f>
        <v>10/27/2023</v>
      </c>
      <c r="X12" s="77">
        <f>_xll.BDP(G12&amp;" EQUITY",$X$1)</f>
        <v>359.77</v>
      </c>
      <c r="Y12" s="37">
        <f t="shared" si="9"/>
        <v>-3.346582538844256E-2</v>
      </c>
      <c r="Z12" s="39">
        <f t="shared" si="10"/>
        <v>40</v>
      </c>
      <c r="AB12" s="38">
        <v>356.94</v>
      </c>
      <c r="AC12" s="37">
        <f t="shared" si="11"/>
        <v>-2.5802655908556016E-2</v>
      </c>
      <c r="AD12" s="39">
        <f t="shared" si="12"/>
        <v>32</v>
      </c>
      <c r="AE12" s="47"/>
      <c r="AF12" s="47"/>
      <c r="AQ12"/>
      <c r="AS12"/>
    </row>
    <row r="13" spans="1:45" x14ac:dyDescent="0.25">
      <c r="A13" s="17">
        <f t="shared" si="0"/>
        <v>48</v>
      </c>
      <c r="B13" s="26">
        <f t="shared" si="1"/>
        <v>-0.24310312834228154</v>
      </c>
      <c r="C13" s="17">
        <f t="shared" si="2"/>
        <v>50</v>
      </c>
      <c r="D13" s="24">
        <f t="shared" si="3"/>
        <v>-6.7825772807496541E-3</v>
      </c>
      <c r="E13" s="25">
        <v>2.7900000000000001E-2</v>
      </c>
      <c r="F13" s="25">
        <f t="shared" si="13"/>
        <v>2.1117422719250347E-2</v>
      </c>
      <c r="G13" s="31" t="s">
        <v>42</v>
      </c>
      <c r="H13" s="32">
        <v>180000</v>
      </c>
      <c r="I13" s="33">
        <v>84</v>
      </c>
      <c r="J13" s="99"/>
      <c r="K13" s="63">
        <f t="shared" si="4"/>
        <v>15120000</v>
      </c>
      <c r="L13" s="99"/>
      <c r="M13" s="36">
        <v>166.71700000000001</v>
      </c>
      <c r="N13" s="37">
        <f t="shared" si="5"/>
        <v>-0.49615216204706181</v>
      </c>
      <c r="O13" s="103">
        <f t="shared" si="6"/>
        <v>57</v>
      </c>
      <c r="P13" s="45"/>
      <c r="Q13" s="48"/>
      <c r="R13" s="105" t="str">
        <f>_xll.BDP(G13&amp;" EQUITY",$R$1)</f>
        <v>5/9/2024</v>
      </c>
      <c r="S13" s="84">
        <f>_xll.BDP(G13&amp;" EQUITY",$S$1)</f>
        <v>191.7</v>
      </c>
      <c r="T13" s="37">
        <f t="shared" si="7"/>
        <v>-0.56181533646322368</v>
      </c>
      <c r="U13" s="107">
        <f t="shared" si="8"/>
        <v>56</v>
      </c>
      <c r="V13" s="47"/>
      <c r="W13" s="105" t="str">
        <f>_xll.BDP(G13&amp;" EQUITY",$W$1)</f>
        <v>10/26/2023</v>
      </c>
      <c r="X13" s="77">
        <f>_xll.BDP(G13&amp;" EQUITY",$X$1)</f>
        <v>118.35</v>
      </c>
      <c r="Y13" s="37">
        <f t="shared" si="9"/>
        <v>-0.29024081115335865</v>
      </c>
      <c r="Z13" s="39">
        <f t="shared" si="10"/>
        <v>58</v>
      </c>
      <c r="AB13" s="36">
        <v>162.80000000000001</v>
      </c>
      <c r="AC13" s="123">
        <f t="shared" si="11"/>
        <v>-0.48402948402948409</v>
      </c>
      <c r="AD13" s="39">
        <f t="shared" si="12"/>
        <v>54</v>
      </c>
      <c r="AE13" s="47"/>
      <c r="AF13" s="47"/>
      <c r="AQ13"/>
      <c r="AS13"/>
    </row>
    <row r="14" spans="1:45" x14ac:dyDescent="0.25">
      <c r="A14" s="17">
        <f t="shared" si="0"/>
        <v>22</v>
      </c>
      <c r="B14" s="26">
        <f t="shared" si="1"/>
        <v>2.9977467657159522</v>
      </c>
      <c r="C14" s="18">
        <f t="shared" si="2"/>
        <v>4</v>
      </c>
      <c r="D14" s="24">
        <f t="shared" si="3"/>
        <v>1.5288508505151358E-2</v>
      </c>
      <c r="E14" s="25">
        <v>5.1000000000000004E-3</v>
      </c>
      <c r="F14" s="109">
        <f t="shared" si="13"/>
        <v>2.0388508505151358E-2</v>
      </c>
      <c r="G14" s="3" t="s">
        <v>39</v>
      </c>
      <c r="H14" s="29">
        <v>55000</v>
      </c>
      <c r="I14" s="9">
        <v>265.42</v>
      </c>
      <c r="J14" s="99"/>
      <c r="K14" s="62">
        <f t="shared" si="4"/>
        <v>14598100</v>
      </c>
      <c r="L14" s="99"/>
      <c r="M14" s="36">
        <v>329.01</v>
      </c>
      <c r="N14" s="37">
        <f t="shared" si="5"/>
        <v>-0.19327680009726145</v>
      </c>
      <c r="O14" s="17">
        <f t="shared" si="6"/>
        <v>26</v>
      </c>
      <c r="P14" s="45"/>
      <c r="Q14" s="48"/>
      <c r="R14" s="105" t="str">
        <f>_xll.BDP(G14&amp;" EQUITY",$R$1)</f>
        <v>6/6/2024</v>
      </c>
      <c r="S14" s="84">
        <f>_xll.BDP(G14&amp;" EQUITY",$S$1)</f>
        <v>269.11</v>
      </c>
      <c r="T14" s="37">
        <f t="shared" si="7"/>
        <v>-1.3711865036602155E-2</v>
      </c>
      <c r="U14" s="39">
        <f t="shared" si="8"/>
        <v>7</v>
      </c>
      <c r="V14" s="47"/>
      <c r="W14" s="105" t="str">
        <f>_xll.BDP(G14&amp;" EQUITY",$W$1)</f>
        <v>10/30/2023</v>
      </c>
      <c r="X14" s="77">
        <f>_xll.BDP(G14&amp;" EQUITY",$X$1)</f>
        <v>182.09</v>
      </c>
      <c r="Y14" s="37">
        <f t="shared" si="9"/>
        <v>0.45763084189137238</v>
      </c>
      <c r="Z14" s="107">
        <f t="shared" si="10"/>
        <v>6</v>
      </c>
      <c r="AB14" s="36">
        <v>222.14</v>
      </c>
      <c r="AC14" s="37">
        <f t="shared" si="11"/>
        <v>0.19483208787251294</v>
      </c>
      <c r="AD14" s="40">
        <f t="shared" si="12"/>
        <v>11</v>
      </c>
      <c r="AE14" s="47"/>
      <c r="AF14" s="47"/>
      <c r="AQ14"/>
      <c r="AS14"/>
    </row>
    <row r="15" spans="1:45" x14ac:dyDescent="0.25">
      <c r="A15" s="21">
        <f t="shared" si="0"/>
        <v>13</v>
      </c>
      <c r="B15" s="26">
        <f t="shared" si="1"/>
        <v>6.591908999262345</v>
      </c>
      <c r="C15" s="18">
        <f t="shared" si="2"/>
        <v>3</v>
      </c>
      <c r="D15" s="24">
        <f t="shared" si="3"/>
        <v>1.6479772498155864E-2</v>
      </c>
      <c r="E15" s="25">
        <v>2.5000000000000001E-3</v>
      </c>
      <c r="F15" s="25">
        <f t="shared" si="13"/>
        <v>1.8979772498155863E-2</v>
      </c>
      <c r="G15" s="3" t="s">
        <v>24</v>
      </c>
      <c r="H15" s="101">
        <v>35000</v>
      </c>
      <c r="I15" s="9">
        <v>388.27</v>
      </c>
      <c r="J15" s="99"/>
      <c r="K15" s="62">
        <f t="shared" si="4"/>
        <v>13589450</v>
      </c>
      <c r="L15" s="99"/>
      <c r="M15" s="38">
        <v>649.11</v>
      </c>
      <c r="N15" s="37">
        <f t="shared" si="5"/>
        <v>-0.40184252283896416</v>
      </c>
      <c r="O15" s="103">
        <f t="shared" si="6"/>
        <v>49</v>
      </c>
      <c r="P15" s="45"/>
      <c r="Q15" s="48"/>
      <c r="R15" s="105" t="str">
        <f>_xll.BDP(G15&amp;" EQUITY",$R$1)</f>
        <v>2/9/2024</v>
      </c>
      <c r="S15" s="84">
        <f>_xll.BDP(G15&amp;" EQUITY",$S$1)</f>
        <v>815.32</v>
      </c>
      <c r="T15" s="37">
        <f t="shared" si="7"/>
        <v>-0.5237820732963745</v>
      </c>
      <c r="U15" s="39">
        <f t="shared" si="8"/>
        <v>54</v>
      </c>
      <c r="V15" s="47"/>
      <c r="W15" s="105" t="str">
        <f>_xll.BDP(G15&amp;" EQUITY",$W$1)</f>
        <v>10/25/2023</v>
      </c>
      <c r="X15" s="77">
        <f>_xll.BDP(G15&amp;" EQUITY",$X$1)</f>
        <v>527.24</v>
      </c>
      <c r="Y15" s="37">
        <f t="shared" si="9"/>
        <v>-0.26358015325089146</v>
      </c>
      <c r="Z15" s="39">
        <f t="shared" si="10"/>
        <v>56</v>
      </c>
      <c r="AB15" s="38">
        <v>550.42999999999995</v>
      </c>
      <c r="AC15" s="37">
        <f t="shared" si="11"/>
        <v>-0.29460603528150719</v>
      </c>
      <c r="AD15" s="107">
        <f t="shared" si="12"/>
        <v>48</v>
      </c>
      <c r="AE15" s="47"/>
      <c r="AF15" s="47"/>
      <c r="AQ15"/>
      <c r="AS15"/>
    </row>
    <row r="16" spans="1:45" x14ac:dyDescent="0.25">
      <c r="A16" s="21">
        <f t="shared" si="0"/>
        <v>8</v>
      </c>
      <c r="B16" s="26">
        <f t="shared" si="1"/>
        <v>19.891909501322555</v>
      </c>
      <c r="C16" s="18">
        <f t="shared" si="2"/>
        <v>2</v>
      </c>
      <c r="D16" s="24">
        <f t="shared" si="3"/>
        <v>1.7902718551190296E-2</v>
      </c>
      <c r="E16" s="25">
        <v>8.9999999999999998E-4</v>
      </c>
      <c r="F16" s="109">
        <f t="shared" si="13"/>
        <v>1.8802718551190298E-2</v>
      </c>
      <c r="G16" s="3" t="s">
        <v>16</v>
      </c>
      <c r="H16" s="101">
        <v>33000</v>
      </c>
      <c r="I16" s="9">
        <v>407.96</v>
      </c>
      <c r="J16" s="99"/>
      <c r="K16" s="62">
        <f t="shared" si="4"/>
        <v>13462680</v>
      </c>
      <c r="L16" s="99"/>
      <c r="M16" s="38">
        <v>658.46</v>
      </c>
      <c r="N16" s="37">
        <f t="shared" si="5"/>
        <v>-0.38043313185311189</v>
      </c>
      <c r="O16" s="17">
        <f t="shared" si="6"/>
        <v>45</v>
      </c>
      <c r="P16" s="45"/>
      <c r="Q16" s="48"/>
      <c r="R16" s="105" t="str">
        <f>_xll.BDP(G16&amp;" EQUITY",$R$1)</f>
        <v>3/1/2024</v>
      </c>
      <c r="S16" s="84">
        <f>_xll.BDP(G16&amp;" EQUITY",$S$1)</f>
        <v>583.39</v>
      </c>
      <c r="T16" s="37">
        <f t="shared" si="7"/>
        <v>-0.30070793122953776</v>
      </c>
      <c r="U16" s="39">
        <f t="shared" si="8"/>
        <v>39</v>
      </c>
      <c r="V16" s="47"/>
      <c r="W16" s="105" t="str">
        <f>_xll.BDP(G16&amp;" EQUITY",$W$1)</f>
        <v>11/1/2023</v>
      </c>
      <c r="X16" s="77">
        <f>_xll.BDP(G16&amp;" EQUITY",$X$1)</f>
        <v>372.5</v>
      </c>
      <c r="Y16" s="37">
        <f t="shared" si="9"/>
        <v>9.5194630872483144E-2</v>
      </c>
      <c r="Z16" s="39">
        <f t="shared" si="10"/>
        <v>30</v>
      </c>
      <c r="AB16" s="38">
        <v>499.87</v>
      </c>
      <c r="AC16" s="123">
        <f t="shared" si="11"/>
        <v>-0.1838678056294637</v>
      </c>
      <c r="AD16" s="39">
        <f t="shared" si="12"/>
        <v>43</v>
      </c>
      <c r="AE16" s="47"/>
      <c r="AF16" s="47"/>
      <c r="AQ16"/>
      <c r="AS16"/>
    </row>
    <row r="17" spans="1:45" x14ac:dyDescent="0.25">
      <c r="A17" s="21">
        <f t="shared" si="0"/>
        <v>18</v>
      </c>
      <c r="B17" s="26">
        <f t="shared" si="1"/>
        <v>3.6568735555496055</v>
      </c>
      <c r="C17" s="18">
        <f t="shared" si="2"/>
        <v>5</v>
      </c>
      <c r="D17" s="24">
        <f t="shared" si="3"/>
        <v>1.4627494222198421E-2</v>
      </c>
      <c r="E17" s="25">
        <v>4.0000000000000001E-3</v>
      </c>
      <c r="F17" s="25">
        <f t="shared" si="13"/>
        <v>1.8627494222198421E-2</v>
      </c>
      <c r="G17" s="3" t="s">
        <v>110</v>
      </c>
      <c r="H17" s="101">
        <v>26000</v>
      </c>
      <c r="I17" s="9">
        <v>512.97</v>
      </c>
      <c r="J17" s="99"/>
      <c r="K17" s="62">
        <f t="shared" si="4"/>
        <v>13337220</v>
      </c>
      <c r="L17" s="99"/>
      <c r="M17" s="36">
        <v>463.54</v>
      </c>
      <c r="N17" s="37">
        <f t="shared" si="5"/>
        <v>0.10663588902791554</v>
      </c>
      <c r="O17" s="82">
        <f t="shared" si="6"/>
        <v>7</v>
      </c>
      <c r="P17" s="45" t="s">
        <v>61</v>
      </c>
      <c r="Q17" s="48"/>
      <c r="R17" s="105" t="str">
        <f>_xll.BDP(G17&amp;" EQUITY",$R$1)</f>
        <v>5/22/2024</v>
      </c>
      <c r="S17" s="84">
        <f>_xll.BDP(G17&amp;" EQUITY",$S$1)</f>
        <v>550.34</v>
      </c>
      <c r="T17" s="37">
        <f t="shared" si="7"/>
        <v>-6.7903477850056349E-2</v>
      </c>
      <c r="U17" s="40">
        <f t="shared" si="8"/>
        <v>12</v>
      </c>
      <c r="V17" s="47"/>
      <c r="W17" s="105" t="str">
        <f>_xll.BDP(G17&amp;" EQUITY",$W$1)</f>
        <v>7/12/2023</v>
      </c>
      <c r="X17" s="77">
        <f>_xll.BDP(G17&amp;" EQUITY",$X$1)</f>
        <v>412</v>
      </c>
      <c r="Y17" s="37">
        <f t="shared" si="9"/>
        <v>0.24507281553398075</v>
      </c>
      <c r="Z17" s="106">
        <f t="shared" si="10"/>
        <v>20</v>
      </c>
      <c r="AB17" s="36">
        <v>321.08999999999997</v>
      </c>
      <c r="AC17" s="37">
        <f t="shared" si="11"/>
        <v>0.59758946089881371</v>
      </c>
      <c r="AD17" s="106">
        <f t="shared" si="12"/>
        <v>4</v>
      </c>
      <c r="AE17" s="47"/>
      <c r="AF17" s="47"/>
      <c r="AQ17"/>
      <c r="AS17"/>
    </row>
    <row r="18" spans="1:45" x14ac:dyDescent="0.25">
      <c r="A18" s="21">
        <f t="shared" si="0"/>
        <v>15</v>
      </c>
      <c r="B18" s="26">
        <f t="shared" si="1"/>
        <v>5.0063145769931321</v>
      </c>
      <c r="C18" s="18">
        <f t="shared" si="2"/>
        <v>7</v>
      </c>
      <c r="D18" s="24">
        <f t="shared" si="3"/>
        <v>1.4518312273280081E-2</v>
      </c>
      <c r="E18" s="25">
        <v>2.8999999999999998E-3</v>
      </c>
      <c r="F18" s="25">
        <f t="shared" si="13"/>
        <v>1.7418312273280081E-2</v>
      </c>
      <c r="G18" s="3" t="s">
        <v>19</v>
      </c>
      <c r="H18" s="101">
        <v>47000</v>
      </c>
      <c r="I18" s="9">
        <v>265.35000000000002</v>
      </c>
      <c r="J18" s="99"/>
      <c r="K18" s="62">
        <f t="shared" si="4"/>
        <v>12471450.000000002</v>
      </c>
      <c r="L18" s="99"/>
      <c r="M18" s="38">
        <v>359.3</v>
      </c>
      <c r="N18" s="37">
        <f t="shared" si="5"/>
        <v>-0.26148065683273025</v>
      </c>
      <c r="O18" s="17">
        <f t="shared" si="6"/>
        <v>32</v>
      </c>
      <c r="P18" s="45"/>
      <c r="Q18" s="48"/>
      <c r="R18" s="105" t="str">
        <f>_xll.BDP(G18&amp;" EQUITY",$R$1)</f>
        <v>6/20/2024</v>
      </c>
      <c r="S18" s="84">
        <f>_xll.BDP(G18&amp;" EQUITY",$S$1)</f>
        <v>437.2</v>
      </c>
      <c r="T18" s="37">
        <f t="shared" si="7"/>
        <v>-0.39306953339432749</v>
      </c>
      <c r="U18" s="39">
        <f t="shared" si="8"/>
        <v>44</v>
      </c>
      <c r="V18" s="47"/>
      <c r="W18" s="105" t="str">
        <f>_xll.BDP(G18&amp;" EQUITY",$W$1)</f>
        <v>10/30/2023</v>
      </c>
      <c r="X18" s="77">
        <f>_xll.BDP(G18&amp;" EQUITY",$X$1)</f>
        <v>254.85</v>
      </c>
      <c r="Y18" s="37">
        <f t="shared" si="9"/>
        <v>4.1200706297822354E-2</v>
      </c>
      <c r="Z18" s="40">
        <f t="shared" si="10"/>
        <v>33</v>
      </c>
      <c r="AB18" s="38">
        <v>272.7</v>
      </c>
      <c r="AC18" s="37">
        <f t="shared" si="11"/>
        <v>-2.6952695269526816E-2</v>
      </c>
      <c r="AD18" s="39">
        <f t="shared" si="12"/>
        <v>33</v>
      </c>
      <c r="AE18" s="47"/>
      <c r="AF18" s="47"/>
      <c r="AQ18"/>
      <c r="AS18"/>
    </row>
    <row r="19" spans="1:45" x14ac:dyDescent="0.25">
      <c r="A19" s="21">
        <f t="shared" si="0"/>
        <v>10</v>
      </c>
      <c r="B19" s="26">
        <f t="shared" si="1"/>
        <v>17.683333333333334</v>
      </c>
      <c r="C19" s="21">
        <f t="shared" si="2"/>
        <v>13</v>
      </c>
      <c r="D19" s="24">
        <f t="shared" si="3"/>
        <v>1.061E-2</v>
      </c>
      <c r="E19" s="25">
        <v>5.9999999999999995E-4</v>
      </c>
      <c r="F19" s="25">
        <v>1.1209999999999999E-2</v>
      </c>
      <c r="G19" s="3" t="s">
        <v>4</v>
      </c>
      <c r="H19" s="101">
        <v>25000</v>
      </c>
      <c r="I19" s="9">
        <v>469.07</v>
      </c>
      <c r="J19" s="99"/>
      <c r="K19" s="62">
        <f t="shared" si="4"/>
        <v>11726750</v>
      </c>
      <c r="L19" s="99"/>
      <c r="M19" s="36">
        <v>412.34</v>
      </c>
      <c r="N19" s="37">
        <f t="shared" si="5"/>
        <v>0.13758063733811898</v>
      </c>
      <c r="O19" s="82">
        <f t="shared" si="6"/>
        <v>6</v>
      </c>
      <c r="P19" s="45" t="s">
        <v>61</v>
      </c>
      <c r="Q19" s="48"/>
      <c r="R19" s="105" t="str">
        <f>_xll.BDP(G19&amp;" EQUITY",$R$1)</f>
        <v>3/14/2024</v>
      </c>
      <c r="S19" s="84">
        <f>_xll.BDP(G19&amp;" EQUITY",$S$1)</f>
        <v>574.76</v>
      </c>
      <c r="T19" s="37">
        <f t="shared" si="7"/>
        <v>-0.1838854478390981</v>
      </c>
      <c r="U19" s="106">
        <f t="shared" si="8"/>
        <v>23</v>
      </c>
      <c r="V19" s="47"/>
      <c r="W19" s="105" t="str">
        <f>_xll.BDP(G19&amp;" EQUITY",$W$1)</f>
        <v>10/23/2023</v>
      </c>
      <c r="X19" s="77">
        <f>_xll.BDP(G19&amp;" EQUITY",$X$1)</f>
        <v>368.02</v>
      </c>
      <c r="Y19" s="37">
        <f t="shared" si="9"/>
        <v>0.27457746861583621</v>
      </c>
      <c r="Z19" s="39">
        <f t="shared" si="10"/>
        <v>18</v>
      </c>
      <c r="AB19" s="36">
        <v>287.16000000000003</v>
      </c>
      <c r="AC19" s="37">
        <f t="shared" si="11"/>
        <v>0.63347959325811387</v>
      </c>
      <c r="AD19" s="106">
        <f t="shared" si="12"/>
        <v>3</v>
      </c>
      <c r="AE19" s="47"/>
      <c r="AF19" s="47"/>
      <c r="AQ19"/>
      <c r="AS19"/>
    </row>
    <row r="20" spans="1:45" x14ac:dyDescent="0.25">
      <c r="A20" s="21">
        <f t="shared" si="0"/>
        <v>14</v>
      </c>
      <c r="B20" s="26">
        <f t="shared" si="1"/>
        <v>6.4932000787173187</v>
      </c>
      <c r="C20" s="18">
        <f t="shared" si="2"/>
        <v>10</v>
      </c>
      <c r="D20" s="24">
        <f t="shared" si="3"/>
        <v>1.3635720165306368E-2</v>
      </c>
      <c r="E20" s="25">
        <v>2.0999999999999999E-3</v>
      </c>
      <c r="F20" s="109">
        <f>+K20/$K$77</f>
        <v>1.5735720165306367E-2</v>
      </c>
      <c r="G20" s="3" t="s">
        <v>27</v>
      </c>
      <c r="H20" s="29">
        <v>67000</v>
      </c>
      <c r="I20" s="9">
        <v>168.16</v>
      </c>
      <c r="J20" s="99"/>
      <c r="K20" s="62">
        <f t="shared" si="4"/>
        <v>11266720</v>
      </c>
      <c r="L20" s="99"/>
      <c r="M20" s="36">
        <v>228.46</v>
      </c>
      <c r="N20" s="37">
        <f t="shared" si="5"/>
        <v>-0.26394117132101902</v>
      </c>
      <c r="O20" s="17">
        <f t="shared" si="6"/>
        <v>33</v>
      </c>
      <c r="P20" s="45"/>
      <c r="Q20" s="48"/>
      <c r="R20" s="105" t="str">
        <f>_xll.BDP(G20&amp;" EQUITY",$R$1)</f>
        <v>2/29/2024</v>
      </c>
      <c r="S20" s="84">
        <f>_xll.BDP(G20&amp;" EQUITY",$S$1)</f>
        <v>222.63</v>
      </c>
      <c r="T20" s="37">
        <f t="shared" si="7"/>
        <v>-0.24466603782059915</v>
      </c>
      <c r="U20" s="39">
        <f t="shared" si="8"/>
        <v>30</v>
      </c>
      <c r="V20" s="47"/>
      <c r="W20" s="105" t="str">
        <f>_xll.BDP(G20&amp;" EQUITY",$W$1)</f>
        <v>6/26/2023</v>
      </c>
      <c r="X20" s="77">
        <f>_xll.BDP(G20&amp;" EQUITY",$X$1)</f>
        <v>173.62</v>
      </c>
      <c r="Y20" s="37">
        <f t="shared" si="9"/>
        <v>-3.1447989862919079E-2</v>
      </c>
      <c r="Z20" s="107">
        <f t="shared" si="10"/>
        <v>39</v>
      </c>
      <c r="AB20" s="36">
        <v>182.05</v>
      </c>
      <c r="AC20" s="37">
        <f t="shared" si="11"/>
        <v>-7.6297720406481861E-2</v>
      </c>
      <c r="AD20" s="39">
        <f t="shared" si="12"/>
        <v>38</v>
      </c>
      <c r="AE20" s="47"/>
      <c r="AF20" s="47"/>
      <c r="AQ20"/>
      <c r="AS20"/>
    </row>
    <row r="21" spans="1:45" x14ac:dyDescent="0.25">
      <c r="A21" s="17">
        <f t="shared" si="0"/>
        <v>32</v>
      </c>
      <c r="B21" s="26">
        <f t="shared" si="1"/>
        <v>1.2448352722564446</v>
      </c>
      <c r="C21" s="17">
        <f t="shared" si="2"/>
        <v>24</v>
      </c>
      <c r="D21" s="24">
        <f t="shared" si="3"/>
        <v>8.4648798513438234E-3</v>
      </c>
      <c r="E21" s="25">
        <v>6.7999999999999996E-3</v>
      </c>
      <c r="F21" s="109">
        <f>+K21/$K$77</f>
        <v>1.5264879851343824E-2</v>
      </c>
      <c r="G21" s="3" t="s">
        <v>11</v>
      </c>
      <c r="H21" s="101">
        <v>330000</v>
      </c>
      <c r="I21" s="9">
        <v>33.119999999999997</v>
      </c>
      <c r="J21" s="99"/>
      <c r="K21" s="62">
        <f t="shared" si="4"/>
        <v>10929600</v>
      </c>
      <c r="L21" s="99"/>
      <c r="M21" s="38">
        <v>44.49</v>
      </c>
      <c r="N21" s="37">
        <f t="shared" si="5"/>
        <v>-0.25556304787592732</v>
      </c>
      <c r="O21" s="17">
        <f t="shared" si="6"/>
        <v>30</v>
      </c>
      <c r="P21" s="45"/>
      <c r="Q21" s="48"/>
      <c r="R21" s="105" t="str">
        <f>_xll.BDP(G21&amp;" EQUITY",$R$1)</f>
        <v>6/24/2024</v>
      </c>
      <c r="S21" s="84">
        <f>_xll.BDP(G21&amp;" EQUITY",$S$1)</f>
        <v>40.340000000000003</v>
      </c>
      <c r="T21" s="37">
        <f t="shared" si="7"/>
        <v>-0.17897868120971749</v>
      </c>
      <c r="U21" s="39">
        <f t="shared" si="8"/>
        <v>22</v>
      </c>
      <c r="V21" s="47"/>
      <c r="W21" s="105" t="str">
        <f>_xll.BDP(G21&amp;" EQUITY",$W$1)</f>
        <v>10/27/2023</v>
      </c>
      <c r="X21" s="77">
        <f>_xll.BDP(G21&amp;" EQUITY",$X$1)</f>
        <v>24.96</v>
      </c>
      <c r="Y21" s="37">
        <f t="shared" si="9"/>
        <v>0.32692307692307687</v>
      </c>
      <c r="Z21" s="40">
        <f t="shared" si="10"/>
        <v>12</v>
      </c>
      <c r="AB21" s="36">
        <v>30.31</v>
      </c>
      <c r="AC21" s="37">
        <f t="shared" si="11"/>
        <v>9.2708677004289086E-2</v>
      </c>
      <c r="AD21" s="40">
        <f t="shared" si="12"/>
        <v>20</v>
      </c>
      <c r="AE21" s="47"/>
      <c r="AF21" s="47"/>
      <c r="AQ21"/>
      <c r="AS21"/>
    </row>
    <row r="22" spans="1:45" x14ac:dyDescent="0.25">
      <c r="A22" s="17">
        <f t="shared" si="0"/>
        <v>27</v>
      </c>
      <c r="B22" s="26">
        <f t="shared" si="1"/>
        <v>1.9230070953443104</v>
      </c>
      <c r="C22" s="21">
        <f t="shared" si="2"/>
        <v>18</v>
      </c>
      <c r="D22" s="24">
        <f t="shared" si="3"/>
        <v>9.8073361862559844E-3</v>
      </c>
      <c r="E22" s="85">
        <v>5.1000000000000004E-3</v>
      </c>
      <c r="F22" s="25">
        <f>+K22/$K$77</f>
        <v>1.4907336186255985E-2</v>
      </c>
      <c r="G22" s="3" t="s">
        <v>35</v>
      </c>
      <c r="H22" s="101">
        <v>40000</v>
      </c>
      <c r="I22" s="98">
        <v>266.83999999999997</v>
      </c>
      <c r="J22" s="99"/>
      <c r="K22" s="62">
        <f t="shared" si="4"/>
        <v>10673599.999999998</v>
      </c>
      <c r="L22" s="99"/>
      <c r="M22" s="36">
        <v>414.55</v>
      </c>
      <c r="N22" s="37">
        <f t="shared" si="5"/>
        <v>-0.3563140755035582</v>
      </c>
      <c r="O22" s="17">
        <f t="shared" si="6"/>
        <v>41</v>
      </c>
      <c r="P22" s="45"/>
      <c r="Q22" s="48"/>
      <c r="R22" s="108">
        <v>44559</v>
      </c>
      <c r="S22" s="84">
        <v>417.37</v>
      </c>
      <c r="T22" s="37">
        <f t="shared" si="7"/>
        <v>-0.36066320051752643</v>
      </c>
      <c r="U22" s="39">
        <f t="shared" si="8"/>
        <v>43</v>
      </c>
      <c r="V22" s="47"/>
      <c r="W22" s="108">
        <v>44099</v>
      </c>
      <c r="X22" s="77">
        <v>201.42</v>
      </c>
      <c r="Y22" s="37">
        <f t="shared" si="9"/>
        <v>0.32479396286366802</v>
      </c>
      <c r="Z22" s="106">
        <f t="shared" si="10"/>
        <v>13</v>
      </c>
      <c r="AB22" s="36">
        <v>261.20999999999998</v>
      </c>
      <c r="AC22" s="37">
        <f t="shared" si="11"/>
        <v>2.1553539297882951E-2</v>
      </c>
      <c r="AD22" s="39">
        <f t="shared" si="12"/>
        <v>26</v>
      </c>
      <c r="AE22" s="47"/>
      <c r="AF22" s="47"/>
      <c r="AQ22"/>
      <c r="AS22"/>
    </row>
    <row r="23" spans="1:45" x14ac:dyDescent="0.25">
      <c r="A23" s="18">
        <f t="shared" si="0"/>
        <v>1</v>
      </c>
      <c r="B23" s="26">
        <f t="shared" si="1"/>
        <v>144.06496217973921</v>
      </c>
      <c r="C23" s="18">
        <f t="shared" si="2"/>
        <v>8</v>
      </c>
      <c r="D23" s="24">
        <f t="shared" si="3"/>
        <v>1.4406496217973921E-2</v>
      </c>
      <c r="E23" s="117">
        <v>1E-4</v>
      </c>
      <c r="F23" s="25">
        <f>+K23/$K$77</f>
        <v>1.4506496217973921E-2</v>
      </c>
      <c r="G23" s="3" t="s">
        <v>14</v>
      </c>
      <c r="H23" s="29">
        <v>140000</v>
      </c>
      <c r="I23" s="9">
        <v>74.19</v>
      </c>
      <c r="J23" s="99"/>
      <c r="K23" s="62">
        <f t="shared" si="4"/>
        <v>10386600</v>
      </c>
      <c r="L23" s="99"/>
      <c r="M23" s="38">
        <v>129.38999999999999</v>
      </c>
      <c r="N23" s="37">
        <f t="shared" si="5"/>
        <v>-0.4266172038024576</v>
      </c>
      <c r="O23" s="103">
        <f t="shared" si="6"/>
        <v>52</v>
      </c>
      <c r="P23" s="45"/>
      <c r="Q23" s="48"/>
      <c r="R23" s="105" t="str">
        <f>_xll.BDP(G23&amp;" EQUITY",$R$1)</f>
        <v>3/21/2024</v>
      </c>
      <c r="S23" s="84">
        <f>_xll.BDP(G23&amp;" EQUITY",$S$1)</f>
        <v>133.56</v>
      </c>
      <c r="T23" s="37">
        <f t="shared" si="7"/>
        <v>-0.4445193171608266</v>
      </c>
      <c r="U23" s="39">
        <f t="shared" si="8"/>
        <v>48</v>
      </c>
      <c r="V23" s="47"/>
      <c r="W23" s="105" t="str">
        <f>_xll.BDP(G23&amp;" EQUITY",$W$1)</f>
        <v>6/26/2023</v>
      </c>
      <c r="X23" s="77">
        <f>_xll.BDP(G23&amp;" EQUITY",$X$1)</f>
        <v>87.59</v>
      </c>
      <c r="Y23" s="37">
        <f t="shared" si="9"/>
        <v>-0.1529855006279256</v>
      </c>
      <c r="Z23" s="107">
        <f t="shared" si="10"/>
        <v>49</v>
      </c>
      <c r="AB23" s="38">
        <v>64.81</v>
      </c>
      <c r="AC23" s="37">
        <f t="shared" si="11"/>
        <v>0.14473075142724889</v>
      </c>
      <c r="AD23" s="106">
        <f t="shared" si="12"/>
        <v>17</v>
      </c>
      <c r="AE23" s="47"/>
      <c r="AF23" s="47"/>
      <c r="AQ23"/>
      <c r="AS23"/>
    </row>
    <row r="24" spans="1:45" x14ac:dyDescent="0.25">
      <c r="A24" s="17">
        <f t="shared" si="0"/>
        <v>41</v>
      </c>
      <c r="B24" s="26">
        <f t="shared" si="1"/>
        <v>0.39269775274773844</v>
      </c>
      <c r="C24" s="17">
        <f t="shared" si="2"/>
        <v>34</v>
      </c>
      <c r="D24" s="24">
        <f t="shared" si="3"/>
        <v>3.8877077522026099E-3</v>
      </c>
      <c r="E24" s="25">
        <v>9.9000000000000008E-3</v>
      </c>
      <c r="F24" s="25">
        <f>+K24/$K$77</f>
        <v>1.3787707752202611E-2</v>
      </c>
      <c r="G24" s="3" t="s">
        <v>7</v>
      </c>
      <c r="H24" s="101">
        <v>55000</v>
      </c>
      <c r="I24" s="9">
        <v>179.49</v>
      </c>
      <c r="J24" s="99"/>
      <c r="K24" s="62">
        <f t="shared" si="4"/>
        <v>9871950</v>
      </c>
      <c r="L24" s="99"/>
      <c r="M24" s="38">
        <v>117.35</v>
      </c>
      <c r="N24" s="37">
        <f t="shared" si="5"/>
        <v>0.52952705581593529</v>
      </c>
      <c r="O24" s="82">
        <f t="shared" si="6"/>
        <v>3</v>
      </c>
      <c r="P24" s="45" t="s">
        <v>61</v>
      </c>
      <c r="Q24" s="48"/>
      <c r="R24" s="105" t="str">
        <f>_xll.BDP(G24&amp;" EQUITY",$R$1)</f>
        <v>9/28/2023</v>
      </c>
      <c r="S24" s="84">
        <f>_xll.BDP(G24&amp;" EQUITY",$S$1)</f>
        <v>171.7</v>
      </c>
      <c r="T24" s="37">
        <f t="shared" si="7"/>
        <v>4.5369831100757319E-2</v>
      </c>
      <c r="U24" s="106">
        <f t="shared" si="8"/>
        <v>4</v>
      </c>
      <c r="V24" s="47"/>
      <c r="W24" s="105" t="str">
        <f>_xll.BDP(G24&amp;" EQUITY",$W$1)</f>
        <v>1/18/2024</v>
      </c>
      <c r="X24" s="77">
        <f>_xll.BDP(G24&amp;" EQUITY",$X$1)</f>
        <v>139.62</v>
      </c>
      <c r="Y24" s="37">
        <f t="shared" si="9"/>
        <v>0.28556080790717675</v>
      </c>
      <c r="Z24" s="106">
        <f t="shared" si="10"/>
        <v>17</v>
      </c>
      <c r="AB24" s="36">
        <v>84.45</v>
      </c>
      <c r="AC24" s="37">
        <f t="shared" si="11"/>
        <v>1.125399644760213</v>
      </c>
      <c r="AD24" s="106">
        <f t="shared" si="12"/>
        <v>2</v>
      </c>
      <c r="AE24" s="47"/>
      <c r="AF24" s="47"/>
      <c r="AQ24"/>
      <c r="AS24"/>
    </row>
    <row r="25" spans="1:45" x14ac:dyDescent="0.25">
      <c r="A25" s="18">
        <f t="shared" si="0"/>
        <v>21</v>
      </c>
      <c r="B25" s="26">
        <f t="shared" si="1"/>
        <v>3.1290322580645169</v>
      </c>
      <c r="C25" s="21">
        <f t="shared" si="2"/>
        <v>19</v>
      </c>
      <c r="D25" s="24">
        <f t="shared" si="3"/>
        <v>9.7000000000000003E-3</v>
      </c>
      <c r="E25" s="25">
        <v>3.0999999999999999E-3</v>
      </c>
      <c r="F25" s="25">
        <v>1.2800000000000001E-2</v>
      </c>
      <c r="G25" s="3" t="s">
        <v>40</v>
      </c>
      <c r="H25" s="101">
        <v>44000</v>
      </c>
      <c r="I25" s="9">
        <v>211.86</v>
      </c>
      <c r="J25" s="99"/>
      <c r="K25" s="62">
        <f t="shared" si="4"/>
        <v>9321840</v>
      </c>
      <c r="L25" s="99"/>
      <c r="M25" s="36">
        <v>292.5</v>
      </c>
      <c r="N25" s="37">
        <f t="shared" si="5"/>
        <v>-0.27569230769230768</v>
      </c>
      <c r="O25" s="17">
        <f t="shared" si="6"/>
        <v>35</v>
      </c>
      <c r="P25" s="45"/>
      <c r="Q25" s="48"/>
      <c r="R25" s="105" t="str">
        <f>_xll.BDP(G25&amp;" EQUITY",$R$1)</f>
        <v>1/2/2024</v>
      </c>
      <c r="S25" s="84">
        <f>_xll.BDP(G25&amp;" EQUITY",$S$1)</f>
        <v>219.1</v>
      </c>
      <c r="T25" s="37">
        <f t="shared" si="7"/>
        <v>-3.3044272021907739E-2</v>
      </c>
      <c r="U25" s="39">
        <f t="shared" si="8"/>
        <v>8</v>
      </c>
      <c r="V25" s="47"/>
      <c r="W25" s="105" t="str">
        <f>_xll.BDP(G25&amp;" EQUITY",$W$1)</f>
        <v>10/6/2023</v>
      </c>
      <c r="X25" s="77">
        <f>_xll.BDP(G25&amp;" EQUITY",$X$1)</f>
        <v>154.58000000000001</v>
      </c>
      <c r="Y25" s="37">
        <f t="shared" si="9"/>
        <v>0.37055246474317505</v>
      </c>
      <c r="Z25" s="107">
        <f t="shared" si="10"/>
        <v>9</v>
      </c>
      <c r="AB25" s="36">
        <v>224.46</v>
      </c>
      <c r="AC25" s="37">
        <f t="shared" si="11"/>
        <v>-5.6134723336006442E-2</v>
      </c>
      <c r="AD25" s="39">
        <f t="shared" si="12"/>
        <v>35</v>
      </c>
      <c r="AE25" s="47"/>
      <c r="AF25" s="47"/>
      <c r="AQ25"/>
      <c r="AS25"/>
    </row>
    <row r="26" spans="1:45" x14ac:dyDescent="0.25">
      <c r="A26" s="17">
        <f t="shared" si="0"/>
        <v>35</v>
      </c>
      <c r="B26" s="26">
        <f t="shared" si="1"/>
        <v>0.87521464973112817</v>
      </c>
      <c r="C26" s="17">
        <f t="shared" si="2"/>
        <v>29</v>
      </c>
      <c r="D26" s="24">
        <f t="shared" si="3"/>
        <v>5.9514596181716719E-3</v>
      </c>
      <c r="E26" s="25">
        <v>6.7999999999999996E-3</v>
      </c>
      <c r="F26" s="109">
        <f>+K26/$K$77</f>
        <v>1.2751459618171672E-2</v>
      </c>
      <c r="G26" s="3" t="s">
        <v>43</v>
      </c>
      <c r="H26" s="101">
        <v>20000</v>
      </c>
      <c r="I26" s="9">
        <v>456.5</v>
      </c>
      <c r="J26" s="99"/>
      <c r="K26" s="62">
        <f t="shared" si="4"/>
        <v>9130000</v>
      </c>
      <c r="L26" s="99"/>
      <c r="M26" s="36">
        <v>567.70000000000005</v>
      </c>
      <c r="N26" s="37">
        <f t="shared" si="5"/>
        <v>-0.19587810463272859</v>
      </c>
      <c r="O26" s="17">
        <f t="shared" si="6"/>
        <v>27</v>
      </c>
      <c r="P26" s="45"/>
      <c r="Q26" s="48"/>
      <c r="R26" s="105" t="str">
        <f>_xll.BDP(G26&amp;" EQUITY",$R$1)</f>
        <v>6/18/2024</v>
      </c>
      <c r="S26" s="84">
        <f>_xll.BDP(G26&amp;" EQUITY",$S$1)</f>
        <v>873.96</v>
      </c>
      <c r="T26" s="37">
        <f t="shared" si="7"/>
        <v>-0.47766488168794907</v>
      </c>
      <c r="U26" s="40">
        <f t="shared" si="8"/>
        <v>50</v>
      </c>
      <c r="V26" s="47"/>
      <c r="W26" s="105" t="str">
        <f>_xll.BDP(G26&amp;" EQUITY",$W$1)</f>
        <v>6/26/2023</v>
      </c>
      <c r="X26" s="77">
        <f>_xll.BDP(G26&amp;" EQUITY",$X$1)</f>
        <v>509.67</v>
      </c>
      <c r="Y26" s="37">
        <f t="shared" si="9"/>
        <v>-0.10432240469323295</v>
      </c>
      <c r="Z26" s="40">
        <f t="shared" si="10"/>
        <v>46</v>
      </c>
      <c r="AB26" s="36">
        <v>376.78</v>
      </c>
      <c r="AC26" s="37">
        <f t="shared" si="11"/>
        <v>0.21158235575136697</v>
      </c>
      <c r="AD26" s="106">
        <f t="shared" si="12"/>
        <v>10</v>
      </c>
      <c r="AE26" s="47"/>
      <c r="AF26" s="47"/>
      <c r="AQ26"/>
      <c r="AS26"/>
    </row>
    <row r="27" spans="1:45" x14ac:dyDescent="0.25">
      <c r="A27" s="21">
        <f t="shared" si="0"/>
        <v>2</v>
      </c>
      <c r="B27" s="26">
        <f t="shared" si="1"/>
        <v>104</v>
      </c>
      <c r="C27" s="21">
        <f t="shared" si="2"/>
        <v>15</v>
      </c>
      <c r="D27" s="24">
        <f t="shared" si="3"/>
        <v>1.0400000000000001E-2</v>
      </c>
      <c r="E27" s="117">
        <v>1E-4</v>
      </c>
      <c r="F27" s="25">
        <v>1.0500000000000001E-2</v>
      </c>
      <c r="G27" s="3" t="s">
        <v>3</v>
      </c>
      <c r="H27" s="101">
        <v>115000</v>
      </c>
      <c r="I27" s="9">
        <v>78.8</v>
      </c>
      <c r="J27" s="99"/>
      <c r="K27" s="62">
        <f t="shared" si="4"/>
        <v>9062000</v>
      </c>
      <c r="L27" s="99"/>
      <c r="M27" s="38">
        <v>90.58</v>
      </c>
      <c r="N27" s="37">
        <f t="shared" si="5"/>
        <v>-0.13005078383749169</v>
      </c>
      <c r="O27" s="17">
        <f t="shared" si="6"/>
        <v>20</v>
      </c>
      <c r="P27" s="45"/>
      <c r="Q27" s="48"/>
      <c r="R27" s="105" t="str">
        <f>_xll.BDP(G27&amp;" EQUITY",$R$1)</f>
        <v>1/8/2024</v>
      </c>
      <c r="S27" s="84">
        <f>_xll.BDP(G27&amp;" EQUITY",$S$1)</f>
        <v>75.86</v>
      </c>
      <c r="T27" s="37">
        <f t="shared" si="7"/>
        <v>3.8755602425520674E-2</v>
      </c>
      <c r="U27" s="39">
        <f t="shared" si="8"/>
        <v>5</v>
      </c>
      <c r="V27" s="47"/>
      <c r="W27" s="105" t="str">
        <f>_xll.BDP(G27&amp;" EQUITY",$W$1)</f>
        <v>9/26/2023</v>
      </c>
      <c r="X27" s="77">
        <f>_xll.BDP(G27&amp;" EQUITY",$X$1)</f>
        <v>44.13</v>
      </c>
      <c r="Y27" s="37">
        <f t="shared" si="9"/>
        <v>0.78563335599365502</v>
      </c>
      <c r="Z27" s="107">
        <f t="shared" si="10"/>
        <v>4</v>
      </c>
      <c r="AB27" s="36">
        <v>77.63</v>
      </c>
      <c r="AC27" s="37">
        <f t="shared" si="11"/>
        <v>1.5071492979518153E-2</v>
      </c>
      <c r="AD27" s="39">
        <f t="shared" si="12"/>
        <v>27</v>
      </c>
      <c r="AE27" s="47"/>
      <c r="AF27" s="47"/>
      <c r="AQ27"/>
      <c r="AS27"/>
    </row>
    <row r="28" spans="1:45" x14ac:dyDescent="0.25">
      <c r="A28" s="17">
        <f t="shared" si="0"/>
        <v>45</v>
      </c>
      <c r="B28" s="26">
        <f t="shared" si="1"/>
        <v>-0.10695049231910381</v>
      </c>
      <c r="C28" s="17">
        <f t="shared" si="2"/>
        <v>47</v>
      </c>
      <c r="D28" s="24">
        <f t="shared" si="3"/>
        <v>-1.4759167940036327E-3</v>
      </c>
      <c r="E28" s="25">
        <v>1.38E-2</v>
      </c>
      <c r="F28" s="117">
        <f t="shared" ref="F28:F38" si="14">+K28/$K$77</f>
        <v>1.2324083205996367E-2</v>
      </c>
      <c r="G28" s="3" t="s">
        <v>8</v>
      </c>
      <c r="H28" s="101">
        <v>80000</v>
      </c>
      <c r="I28" s="9">
        <v>110.3</v>
      </c>
      <c r="J28" s="99"/>
      <c r="K28" s="62">
        <f t="shared" si="4"/>
        <v>8824000</v>
      </c>
      <c r="L28" s="99"/>
      <c r="M28" s="38">
        <v>61.19</v>
      </c>
      <c r="N28" s="37">
        <f t="shared" si="5"/>
        <v>0.80258212126164419</v>
      </c>
      <c r="O28" s="82">
        <f t="shared" si="6"/>
        <v>1</v>
      </c>
      <c r="P28" s="45" t="s">
        <v>61</v>
      </c>
      <c r="Q28" s="48"/>
      <c r="R28" s="105" t="str">
        <f>_xll.BDP(G28&amp;" EQUITY",$R$1)</f>
        <v>4/12/2024</v>
      </c>
      <c r="S28" s="84">
        <f>_xll.BDP(G28&amp;" EQUITY",$S$1)</f>
        <v>123.75</v>
      </c>
      <c r="T28" s="37">
        <f t="shared" si="7"/>
        <v>-0.10868686868686872</v>
      </c>
      <c r="U28" s="106">
        <f t="shared" si="8"/>
        <v>18</v>
      </c>
      <c r="V28" s="47"/>
      <c r="W28" s="105" t="str">
        <f>_xll.BDP(G28&amp;" EQUITY",$W$1)</f>
        <v>1/22/2024</v>
      </c>
      <c r="X28" s="77">
        <f>_xll.BDP(G28&amp;" EQUITY",$X$1)</f>
        <v>95.77</v>
      </c>
      <c r="Y28" s="37">
        <f t="shared" si="9"/>
        <v>0.15171765688629013</v>
      </c>
      <c r="Z28" s="106">
        <f t="shared" si="10"/>
        <v>24</v>
      </c>
      <c r="AB28" s="36">
        <v>41.22</v>
      </c>
      <c r="AC28" s="37">
        <f t="shared" si="11"/>
        <v>1.6758854924793791</v>
      </c>
      <c r="AD28" s="106">
        <f t="shared" si="12"/>
        <v>1</v>
      </c>
      <c r="AE28" s="47"/>
      <c r="AF28" s="47"/>
      <c r="AQ28"/>
      <c r="AS28"/>
    </row>
    <row r="29" spans="1:45" x14ac:dyDescent="0.25">
      <c r="A29" s="17">
        <f t="shared" si="0"/>
        <v>17</v>
      </c>
      <c r="B29" s="26">
        <f t="shared" si="1"/>
        <v>3.7035041038297738</v>
      </c>
      <c r="C29" s="21">
        <f t="shared" si="2"/>
        <v>20</v>
      </c>
      <c r="D29" s="24">
        <f t="shared" si="3"/>
        <v>9.6291106699574105E-3</v>
      </c>
      <c r="E29" s="25">
        <v>2.5999999999999999E-3</v>
      </c>
      <c r="F29" s="25">
        <f t="shared" si="14"/>
        <v>1.222911066995741E-2</v>
      </c>
      <c r="G29" s="3" t="s">
        <v>6</v>
      </c>
      <c r="H29" s="101">
        <v>110000</v>
      </c>
      <c r="I29" s="9">
        <v>79.599999999999994</v>
      </c>
      <c r="J29" s="99"/>
      <c r="K29" s="62">
        <f t="shared" si="4"/>
        <v>8756000</v>
      </c>
      <c r="L29" s="99"/>
      <c r="M29" s="38">
        <v>75.92</v>
      </c>
      <c r="N29" s="37">
        <f t="shared" si="5"/>
        <v>4.8472075869335995E-2</v>
      </c>
      <c r="O29" s="82">
        <f t="shared" si="6"/>
        <v>9</v>
      </c>
      <c r="P29" s="45" t="s">
        <v>61</v>
      </c>
      <c r="Q29" s="48"/>
      <c r="R29" s="105" t="str">
        <f>_xll.BDP(G29&amp;" EQUITY",$R$1)</f>
        <v>6/24/2024</v>
      </c>
      <c r="S29" s="84">
        <f>_xll.BDP(G29&amp;" EQUITY",$S$1)</f>
        <v>111.565</v>
      </c>
      <c r="T29" s="37">
        <f t="shared" si="7"/>
        <v>-0.28651458790839424</v>
      </c>
      <c r="U29" s="106">
        <f t="shared" si="8"/>
        <v>36</v>
      </c>
      <c r="V29" s="47"/>
      <c r="W29" s="105" t="str">
        <f>_xll.BDP(G29&amp;" EQUITY",$W$1)</f>
        <v>6/26/2023</v>
      </c>
      <c r="X29" s="77">
        <f>_xll.BDP(G29&amp;" EQUITY",$X$1)</f>
        <v>81.650000000000006</v>
      </c>
      <c r="Y29" s="37">
        <f t="shared" si="9"/>
        <v>-2.5107164727495523E-2</v>
      </c>
      <c r="Z29" s="40">
        <f t="shared" si="10"/>
        <v>38</v>
      </c>
      <c r="AB29" s="36">
        <v>68.290000000000006</v>
      </c>
      <c r="AC29" s="37">
        <f t="shared" si="11"/>
        <v>0.16561722067652629</v>
      </c>
      <c r="AD29" s="39">
        <f t="shared" si="12"/>
        <v>15</v>
      </c>
      <c r="AE29" s="47"/>
      <c r="AF29" s="47"/>
      <c r="AQ29"/>
      <c r="AS29"/>
    </row>
    <row r="30" spans="1:45" x14ac:dyDescent="0.25">
      <c r="A30" s="17">
        <f t="shared" si="0"/>
        <v>24</v>
      </c>
      <c r="B30" s="26">
        <f t="shared" si="1"/>
        <v>2.4593111409034605</v>
      </c>
      <c r="C30" s="17">
        <f t="shared" si="2"/>
        <v>25</v>
      </c>
      <c r="D30" s="24">
        <f t="shared" si="3"/>
        <v>8.1157267649814187E-3</v>
      </c>
      <c r="E30" s="25">
        <v>3.3E-3</v>
      </c>
      <c r="F30" s="25">
        <f t="shared" si="14"/>
        <v>1.141572676498142E-2</v>
      </c>
      <c r="G30" s="3" t="s">
        <v>21</v>
      </c>
      <c r="H30" s="101">
        <v>21000</v>
      </c>
      <c r="I30" s="9">
        <v>389.22</v>
      </c>
      <c r="J30" s="99"/>
      <c r="K30" s="62">
        <f t="shared" si="4"/>
        <v>8173620.0000000009</v>
      </c>
      <c r="L30" s="99"/>
      <c r="M30" s="38">
        <v>643.22</v>
      </c>
      <c r="N30" s="37">
        <f t="shared" si="5"/>
        <v>-0.39488821864991763</v>
      </c>
      <c r="O30" s="17">
        <f t="shared" si="6"/>
        <v>47</v>
      </c>
      <c r="P30" s="45"/>
      <c r="Q30" s="48"/>
      <c r="R30" s="105" t="str">
        <f>_xll.BDP(G30&amp;" EQUITY",$R$1)</f>
        <v>5/23/2024</v>
      </c>
      <c r="S30" s="84">
        <f>_xll.BDP(G30&amp;" EQUITY",$S$1)</f>
        <v>676.62</v>
      </c>
      <c r="T30" s="37">
        <f t="shared" si="7"/>
        <v>-0.42475835771925152</v>
      </c>
      <c r="U30" s="107">
        <f t="shared" si="8"/>
        <v>47</v>
      </c>
      <c r="V30" s="47"/>
      <c r="W30" s="105" t="str">
        <f>_xll.BDP(G30&amp;" EQUITY",$W$1)</f>
        <v>7/6/2023</v>
      </c>
      <c r="X30" s="77">
        <f>_xll.BDP(G30&amp;" EQUITY",$X$1)</f>
        <v>444.19</v>
      </c>
      <c r="Y30" s="37">
        <f t="shared" si="9"/>
        <v>-0.12375334879218347</v>
      </c>
      <c r="Z30" s="40">
        <f t="shared" si="10"/>
        <v>48</v>
      </c>
      <c r="AB30" s="38">
        <v>379.85</v>
      </c>
      <c r="AC30" s="37">
        <f t="shared" si="11"/>
        <v>2.4667631959984115E-2</v>
      </c>
      <c r="AD30" s="40">
        <f t="shared" si="12"/>
        <v>25</v>
      </c>
      <c r="AE30" s="47"/>
      <c r="AF30" s="47"/>
      <c r="AQ30"/>
      <c r="AS30"/>
    </row>
    <row r="31" spans="1:45" x14ac:dyDescent="0.25">
      <c r="A31" s="17">
        <f t="shared" si="0"/>
        <v>42</v>
      </c>
      <c r="B31" s="26">
        <f t="shared" si="1"/>
        <v>0.34058589657594274</v>
      </c>
      <c r="C31" s="17">
        <f t="shared" si="2"/>
        <v>38</v>
      </c>
      <c r="D31" s="24">
        <f t="shared" si="3"/>
        <v>2.8609215312379189E-3</v>
      </c>
      <c r="E31" s="25">
        <v>8.3999999999999995E-3</v>
      </c>
      <c r="F31" s="25">
        <f t="shared" si="14"/>
        <v>1.1260921531237918E-2</v>
      </c>
      <c r="G31" s="3" t="s">
        <v>108</v>
      </c>
      <c r="H31" s="101">
        <v>67000</v>
      </c>
      <c r="I31" s="9">
        <v>120.34</v>
      </c>
      <c r="J31" s="99"/>
      <c r="K31" s="62">
        <f t="shared" si="4"/>
        <v>8062780</v>
      </c>
      <c r="L31" s="99"/>
      <c r="M31" s="38">
        <v>336.35</v>
      </c>
      <c r="N31" s="37">
        <f t="shared" si="5"/>
        <v>-0.6422179277538278</v>
      </c>
      <c r="O31" s="103">
        <f t="shared" si="6"/>
        <v>60</v>
      </c>
      <c r="P31" s="45"/>
      <c r="Q31" s="48"/>
      <c r="R31" s="105" t="str">
        <f>_xll.BDP(G31&amp;" EQUITY",$R$1)</f>
        <v>4/8/2024</v>
      </c>
      <c r="S31" s="84">
        <f>_xll.BDP(G31&amp;" EQUITY",$S$1)</f>
        <v>531.49</v>
      </c>
      <c r="T31" s="37">
        <f t="shared" si="7"/>
        <v>-0.7735799356525993</v>
      </c>
      <c r="U31" s="107">
        <f t="shared" si="8"/>
        <v>61</v>
      </c>
      <c r="V31" s="47"/>
      <c r="W31" s="105" t="str">
        <f>_xll.BDP(G31&amp;" EQUITY",$W$1)</f>
        <v>8/18/2023</v>
      </c>
      <c r="X31" s="77">
        <f>_xll.BDP(G31&amp;" EQUITY",$X$1)</f>
        <v>274.38</v>
      </c>
      <c r="Y31" s="37">
        <f t="shared" si="9"/>
        <v>-0.56141118157300096</v>
      </c>
      <c r="Z31" s="39">
        <f t="shared" si="10"/>
        <v>61</v>
      </c>
      <c r="AB31" s="36">
        <v>273.16000000000003</v>
      </c>
      <c r="AC31" s="123">
        <f t="shared" si="11"/>
        <v>-0.5594523356274711</v>
      </c>
      <c r="AD31" s="107">
        <f t="shared" si="12"/>
        <v>59</v>
      </c>
      <c r="AE31" s="47"/>
      <c r="AF31" s="47"/>
      <c r="AQ31"/>
      <c r="AS31"/>
    </row>
    <row r="32" spans="1:45" x14ac:dyDescent="0.25">
      <c r="A32" s="21">
        <f t="shared" si="0"/>
        <v>12</v>
      </c>
      <c r="B32" s="26">
        <f t="shared" si="1"/>
        <v>6.7590367200347643</v>
      </c>
      <c r="C32" s="17">
        <f t="shared" si="2"/>
        <v>21</v>
      </c>
      <c r="D32" s="24">
        <f t="shared" si="3"/>
        <v>9.4626514080486702E-3</v>
      </c>
      <c r="E32" s="25">
        <v>1.4E-3</v>
      </c>
      <c r="F32" s="25">
        <f t="shared" si="14"/>
        <v>1.086265140804867E-2</v>
      </c>
      <c r="G32" s="3" t="s">
        <v>30</v>
      </c>
      <c r="H32" s="101">
        <v>18000</v>
      </c>
      <c r="I32" s="9">
        <v>432.09</v>
      </c>
      <c r="J32" s="99"/>
      <c r="K32" s="62">
        <f t="shared" si="4"/>
        <v>7777620</v>
      </c>
      <c r="L32" s="99"/>
      <c r="M32" s="38">
        <v>491.86</v>
      </c>
      <c r="N32" s="37">
        <f t="shared" si="5"/>
        <v>-0.12151831822063197</v>
      </c>
      <c r="O32" s="102">
        <f t="shared" si="6"/>
        <v>18</v>
      </c>
      <c r="P32" s="45"/>
      <c r="Q32" s="48"/>
      <c r="R32" s="105" t="str">
        <f>_xll.BDP(G32&amp;" EQUITY",$R$1)</f>
        <v>6/24/2024</v>
      </c>
      <c r="S32" s="84">
        <f>_xll.BDP(G32&amp;" EQUITY",$S$1)</f>
        <v>568.67999999999995</v>
      </c>
      <c r="T32" s="37">
        <f t="shared" si="7"/>
        <v>-0.24018780333403666</v>
      </c>
      <c r="U32" s="40">
        <f t="shared" si="8"/>
        <v>28</v>
      </c>
      <c r="V32" s="47"/>
      <c r="W32" s="105" t="str">
        <f>_xll.BDP(G32&amp;" EQUITY",$W$1)</f>
        <v>6/26/2023</v>
      </c>
      <c r="X32" s="77">
        <f>_xll.BDP(G32&amp;" EQUITY",$X$1)</f>
        <v>457.44</v>
      </c>
      <c r="Y32" s="37">
        <f t="shared" si="9"/>
        <v>-5.5417103882476448E-2</v>
      </c>
      <c r="Z32" s="107">
        <f t="shared" si="10"/>
        <v>42</v>
      </c>
      <c r="AB32" s="36">
        <v>431.09</v>
      </c>
      <c r="AC32" s="37">
        <f t="shared" si="11"/>
        <v>2.3197012224824842E-3</v>
      </c>
      <c r="AD32" s="39">
        <f t="shared" si="12"/>
        <v>29</v>
      </c>
      <c r="AE32" s="47"/>
      <c r="AF32" s="47"/>
      <c r="AQ32"/>
      <c r="AS32"/>
    </row>
    <row r="33" spans="1:45" x14ac:dyDescent="0.25">
      <c r="A33" s="21">
        <f t="shared" si="0"/>
        <v>11</v>
      </c>
      <c r="B33" s="26">
        <f t="shared" si="1"/>
        <v>17.016615972743139</v>
      </c>
      <c r="C33" s="21">
        <f t="shared" si="2"/>
        <v>16</v>
      </c>
      <c r="D33" s="24">
        <f t="shared" si="3"/>
        <v>1.0209969583645883E-2</v>
      </c>
      <c r="E33" s="25">
        <v>5.9999999999999995E-4</v>
      </c>
      <c r="F33" s="25">
        <f t="shared" si="14"/>
        <v>1.0809969583645882E-2</v>
      </c>
      <c r="G33" s="3" t="s">
        <v>22</v>
      </c>
      <c r="H33" s="101">
        <v>70000</v>
      </c>
      <c r="I33" s="9">
        <v>110.57</v>
      </c>
      <c r="J33" s="99"/>
      <c r="K33" s="62">
        <f t="shared" si="4"/>
        <v>7739899.9999999991</v>
      </c>
      <c r="L33" s="99"/>
      <c r="M33" s="38">
        <v>119.92</v>
      </c>
      <c r="N33" s="37">
        <f t="shared" si="5"/>
        <v>-7.7968645763842659E-2</v>
      </c>
      <c r="O33" s="102">
        <f t="shared" si="6"/>
        <v>17</v>
      </c>
      <c r="P33" s="45"/>
      <c r="Q33" s="48"/>
      <c r="R33" s="105" t="str">
        <f>_xll.BDP(G33&amp;" EQUITY",$R$1)</f>
        <v>5/21/2024</v>
      </c>
      <c r="S33" s="84">
        <f>_xll.BDP(G33&amp;" EQUITY",$S$1)</f>
        <v>146.08000000000001</v>
      </c>
      <c r="T33" s="37">
        <f t="shared" si="7"/>
        <v>-0.24308598028477557</v>
      </c>
      <c r="U33" s="39">
        <f t="shared" si="8"/>
        <v>29</v>
      </c>
      <c r="V33" s="47"/>
      <c r="W33" s="105" t="str">
        <f>_xll.BDP(G33&amp;" EQUITY",$W$1)</f>
        <v>10/30/2023</v>
      </c>
      <c r="X33" s="77">
        <f>_xll.BDP(G33&amp;" EQUITY",$X$1)</f>
        <v>87.59</v>
      </c>
      <c r="Y33" s="37">
        <f t="shared" si="9"/>
        <v>0.2623587167484871</v>
      </c>
      <c r="Z33" s="106">
        <f t="shared" si="10"/>
        <v>19</v>
      </c>
      <c r="AB33" s="38">
        <v>101.79</v>
      </c>
      <c r="AC33" s="123">
        <f t="shared" si="11"/>
        <v>8.6256017290499809E-2</v>
      </c>
      <c r="AD33" s="39">
        <f t="shared" si="12"/>
        <v>21</v>
      </c>
      <c r="AE33" s="47"/>
      <c r="AF33" s="47"/>
      <c r="AQ33"/>
      <c r="AS33"/>
    </row>
    <row r="34" spans="1:45" x14ac:dyDescent="0.25">
      <c r="A34" s="21">
        <f t="shared" si="0"/>
        <v>16</v>
      </c>
      <c r="B34" s="26">
        <f t="shared" si="1"/>
        <v>4.5611859454266428</v>
      </c>
      <c r="C34" s="21">
        <f t="shared" si="2"/>
        <v>23</v>
      </c>
      <c r="D34" s="24">
        <f t="shared" si="3"/>
        <v>8.6662532963106206E-3</v>
      </c>
      <c r="E34" s="25">
        <v>1.9E-3</v>
      </c>
      <c r="F34" s="25">
        <f t="shared" si="14"/>
        <v>1.0566253296310621E-2</v>
      </c>
      <c r="G34" s="3" t="s">
        <v>9</v>
      </c>
      <c r="H34" s="101">
        <v>18000</v>
      </c>
      <c r="I34" s="9">
        <v>420.3</v>
      </c>
      <c r="J34" s="99"/>
      <c r="K34" s="62">
        <f t="shared" si="4"/>
        <v>7565400</v>
      </c>
      <c r="L34" s="99"/>
      <c r="M34" s="38">
        <v>719.15</v>
      </c>
      <c r="N34" s="37">
        <f t="shared" si="5"/>
        <v>-0.41556003615379267</v>
      </c>
      <c r="O34" s="17">
        <f t="shared" si="6"/>
        <v>51</v>
      </c>
      <c r="P34" s="45"/>
      <c r="Q34" s="48"/>
      <c r="R34" s="105" t="str">
        <f>_xll.BDP(G34&amp;" EQUITY",$R$1)</f>
        <v>6/18/2024</v>
      </c>
      <c r="S34" s="84">
        <f>_xll.BDP(G34&amp;" EQUITY",$S$1)</f>
        <v>1101.8100999999999</v>
      </c>
      <c r="T34" s="37">
        <f t="shared" si="7"/>
        <v>-0.61853680593416227</v>
      </c>
      <c r="U34" s="39">
        <f t="shared" si="8"/>
        <v>59</v>
      </c>
      <c r="V34" s="47"/>
      <c r="W34" s="105" t="str">
        <f>_xll.BDP(G34&amp;" EQUITY",$W$1)</f>
        <v>10/31/2023</v>
      </c>
      <c r="X34" s="77">
        <f>_xll.BDP(G34&amp;" EQUITY",$X$1)</f>
        <v>574.41999999999996</v>
      </c>
      <c r="Y34" s="37">
        <f t="shared" si="9"/>
        <v>-0.26830542112043443</v>
      </c>
      <c r="Z34" s="40">
        <f t="shared" si="10"/>
        <v>57</v>
      </c>
      <c r="AB34" s="38">
        <v>472.27</v>
      </c>
      <c r="AC34" s="37">
        <f t="shared" si="11"/>
        <v>-0.11004298388633615</v>
      </c>
      <c r="AD34" s="107">
        <f t="shared" si="12"/>
        <v>41</v>
      </c>
      <c r="AE34" s="47"/>
      <c r="AF34" s="47"/>
      <c r="AQ34"/>
      <c r="AS34"/>
    </row>
    <row r="35" spans="1:45" x14ac:dyDescent="0.25">
      <c r="A35" s="18">
        <f t="shared" si="0"/>
        <v>7</v>
      </c>
      <c r="B35" s="26">
        <f t="shared" si="1"/>
        <v>25.390668033692783</v>
      </c>
      <c r="C35" s="21">
        <f t="shared" si="2"/>
        <v>17</v>
      </c>
      <c r="D35" s="24">
        <f t="shared" si="3"/>
        <v>1.0156267213477115E-2</v>
      </c>
      <c r="E35" s="25">
        <v>4.0000000000000002E-4</v>
      </c>
      <c r="F35" s="25">
        <f t="shared" si="14"/>
        <v>1.0556267213477114E-2</v>
      </c>
      <c r="G35" s="3" t="s">
        <v>26</v>
      </c>
      <c r="H35" s="101">
        <v>25000</v>
      </c>
      <c r="I35" s="9">
        <v>302.33</v>
      </c>
      <c r="J35" s="99"/>
      <c r="K35" s="62">
        <f t="shared" si="4"/>
        <v>7558250</v>
      </c>
      <c r="L35" s="99"/>
      <c r="M35" s="36">
        <v>566</v>
      </c>
      <c r="N35" s="37">
        <f t="shared" si="5"/>
        <v>-0.46584805653710248</v>
      </c>
      <c r="O35" s="103">
        <f t="shared" si="6"/>
        <v>54</v>
      </c>
      <c r="P35" s="45"/>
      <c r="Q35" s="48"/>
      <c r="R35" s="105" t="str">
        <f>_xll.BDP(G35&amp;" EQUITY",$R$1)</f>
        <v>3/8/2024</v>
      </c>
      <c r="S35" s="84">
        <f>_xll.BDP(G35&amp;" EQUITY",$S$1)</f>
        <v>422.73</v>
      </c>
      <c r="T35" s="37">
        <f t="shared" si="7"/>
        <v>-0.28481536678258002</v>
      </c>
      <c r="U35" s="107">
        <f t="shared" si="8"/>
        <v>34</v>
      </c>
      <c r="V35" s="47"/>
      <c r="W35" s="105" t="str">
        <f>_xll.BDP(G35&amp;" EQUITY",$W$1)</f>
        <v>6/25/2024</v>
      </c>
      <c r="X35" s="77">
        <f>_xll.BDP(G35&amp;" EQUITY",$X$1)</f>
        <v>299.24</v>
      </c>
      <c r="Y35" s="37">
        <f t="shared" si="9"/>
        <v>1.032615960433092E-2</v>
      </c>
      <c r="Z35" s="107">
        <f t="shared" si="10"/>
        <v>34</v>
      </c>
      <c r="AB35" s="36">
        <v>372.5</v>
      </c>
      <c r="AC35" s="37">
        <f t="shared" si="11"/>
        <v>-0.18837583892617449</v>
      </c>
      <c r="AD35" s="39">
        <f t="shared" si="12"/>
        <v>44</v>
      </c>
      <c r="AE35" s="47"/>
      <c r="AF35" s="47"/>
      <c r="AQ35"/>
      <c r="AS35"/>
    </row>
    <row r="36" spans="1:45" x14ac:dyDescent="0.25">
      <c r="A36" s="21">
        <f t="shared" ref="A36:A54" si="15">+RANK(B36,$B$4:$B$72)</f>
        <v>20</v>
      </c>
      <c r="B36" s="26">
        <f t="shared" ref="B36:B54" si="16">+F36/E36-1</f>
        <v>3.431252147467263</v>
      </c>
      <c r="C36" s="17">
        <f t="shared" ref="C36:C54" si="17">+RANK(D36,$D$4:$D$72)</f>
        <v>26</v>
      </c>
      <c r="D36" s="24">
        <f t="shared" ref="D36:D54" si="18">+F36-E36</f>
        <v>7.8918799391747042E-3</v>
      </c>
      <c r="E36" s="25">
        <v>2.3E-3</v>
      </c>
      <c r="F36" s="25">
        <f t="shared" si="14"/>
        <v>1.0191879939174704E-2</v>
      </c>
      <c r="G36" s="3" t="s">
        <v>25</v>
      </c>
      <c r="H36" s="101">
        <v>15000</v>
      </c>
      <c r="I36" s="9">
        <v>486.49</v>
      </c>
      <c r="J36" s="99"/>
      <c r="K36" s="62">
        <f t="shared" ref="K36:K54" si="19">+I36*H36</f>
        <v>7297350</v>
      </c>
      <c r="L36" s="99"/>
      <c r="M36" s="38">
        <v>355.41</v>
      </c>
      <c r="N36" s="37">
        <f t="shared" ref="N36:N54" si="20">+I36/M36-1</f>
        <v>0.36881348301961103</v>
      </c>
      <c r="O36" s="82">
        <f t="shared" ref="O36:O54" si="21">+RANK(N36,$N$4:$N$72)</f>
        <v>4</v>
      </c>
      <c r="P36" s="45" t="s">
        <v>61</v>
      </c>
      <c r="Q36" s="48"/>
      <c r="R36" s="105" t="str">
        <f>_xll.BDP(G36&amp;" EQUITY",$R$1)</f>
        <v>7/18/2023</v>
      </c>
      <c r="S36" s="84">
        <f>_xll.BDP(G36&amp;" EQUITY",$S$1)</f>
        <v>479.5</v>
      </c>
      <c r="T36" s="37">
        <f t="shared" si="7"/>
        <v>1.4577685088634107E-2</v>
      </c>
      <c r="U36" s="106">
        <f t="shared" si="8"/>
        <v>6</v>
      </c>
      <c r="V36" s="47"/>
      <c r="W36" s="105" t="str">
        <f>_xll.BDP(G36&amp;" EQUITY",$W$1)</f>
        <v>10/6/2023</v>
      </c>
      <c r="X36" s="77">
        <f>_xll.BDP(G36&amp;" EQUITY",$X$1)</f>
        <v>393.77</v>
      </c>
      <c r="Y36" s="37">
        <f t="shared" si="9"/>
        <v>0.23546740483023099</v>
      </c>
      <c r="Z36" s="106">
        <f t="shared" si="10"/>
        <v>21</v>
      </c>
      <c r="AB36" s="36">
        <v>354.98</v>
      </c>
      <c r="AC36" s="37">
        <f t="shared" si="11"/>
        <v>0.37047157586342894</v>
      </c>
      <c r="AD36" s="40">
        <f t="shared" si="12"/>
        <v>8</v>
      </c>
      <c r="AE36" s="47"/>
      <c r="AF36" s="47"/>
      <c r="AQ36"/>
      <c r="AS36"/>
    </row>
    <row r="37" spans="1:45" x14ac:dyDescent="0.25">
      <c r="A37" s="21">
        <f t="shared" si="15"/>
        <v>9</v>
      </c>
      <c r="B37" s="26">
        <f t="shared" si="16"/>
        <v>18.81300286985412</v>
      </c>
      <c r="C37" s="21">
        <f t="shared" si="17"/>
        <v>22</v>
      </c>
      <c r="D37" s="24">
        <f t="shared" si="18"/>
        <v>9.406501434927059E-3</v>
      </c>
      <c r="E37" s="25">
        <v>5.0000000000000001E-4</v>
      </c>
      <c r="F37" s="25">
        <f t="shared" si="14"/>
        <v>9.9065014349270595E-3</v>
      </c>
      <c r="G37" s="3" t="s">
        <v>36</v>
      </c>
      <c r="H37" s="101">
        <v>22000</v>
      </c>
      <c r="I37" s="9">
        <v>322.41000000000003</v>
      </c>
      <c r="J37" s="99"/>
      <c r="K37" s="62">
        <f t="shared" si="19"/>
        <v>7093020.0000000009</v>
      </c>
      <c r="L37" s="99"/>
      <c r="M37" s="38">
        <v>537.95000000000005</v>
      </c>
      <c r="N37" s="37">
        <f t="shared" si="20"/>
        <v>-0.40066920717538801</v>
      </c>
      <c r="O37" s="103">
        <f t="shared" si="21"/>
        <v>48</v>
      </c>
      <c r="P37" s="45"/>
      <c r="Q37" s="48"/>
      <c r="R37" s="105" t="str">
        <f>_xll.BDP(G37&amp;" EQUITY",$R$1)</f>
        <v>5/22/2024</v>
      </c>
      <c r="S37" s="84">
        <f>_xll.BDP(G37&amp;" EQUITY",$S$1)</f>
        <v>500.49</v>
      </c>
      <c r="T37" s="37">
        <f t="shared" si="7"/>
        <v>-0.35581130492117719</v>
      </c>
      <c r="U37" s="39">
        <f t="shared" si="8"/>
        <v>42</v>
      </c>
      <c r="V37" s="47"/>
      <c r="W37" s="105" t="str">
        <f>_xll.BDP(G37&amp;" EQUITY",$W$1)</f>
        <v>10/26/2023</v>
      </c>
      <c r="X37" s="77">
        <f>_xll.BDP(G37&amp;" EQUITY",$X$1)</f>
        <v>361.15699999999998</v>
      </c>
      <c r="Y37" s="37">
        <f t="shared" si="9"/>
        <v>-0.10728575107224825</v>
      </c>
      <c r="Z37" s="39">
        <f t="shared" si="10"/>
        <v>47</v>
      </c>
      <c r="AB37" s="36">
        <v>436.52</v>
      </c>
      <c r="AC37" s="123">
        <f t="shared" si="11"/>
        <v>-0.26140841198570508</v>
      </c>
      <c r="AD37" s="39">
        <f t="shared" si="12"/>
        <v>47</v>
      </c>
      <c r="AE37" s="47"/>
      <c r="AF37" s="47"/>
      <c r="AQ37"/>
      <c r="AS37"/>
    </row>
    <row r="38" spans="1:45" x14ac:dyDescent="0.25">
      <c r="A38" s="17">
        <f t="shared" si="15"/>
        <v>31</v>
      </c>
      <c r="B38" s="26">
        <f t="shared" si="16"/>
        <v>1.3741343426480497</v>
      </c>
      <c r="C38" s="17">
        <f t="shared" si="17"/>
        <v>30</v>
      </c>
      <c r="D38" s="24">
        <f t="shared" si="18"/>
        <v>5.3591239363273936E-3</v>
      </c>
      <c r="E38" s="25">
        <v>3.8999999999999998E-3</v>
      </c>
      <c r="F38" s="25">
        <f t="shared" si="14"/>
        <v>9.2591239363273934E-3</v>
      </c>
      <c r="G38" s="3" t="s">
        <v>33</v>
      </c>
      <c r="H38" s="101">
        <v>50000</v>
      </c>
      <c r="I38" s="9">
        <v>132.59</v>
      </c>
      <c r="J38" s="99"/>
      <c r="K38" s="62">
        <f t="shared" si="19"/>
        <v>6629500</v>
      </c>
      <c r="L38" s="99"/>
      <c r="M38" s="38">
        <v>254.13</v>
      </c>
      <c r="N38" s="37">
        <f t="shared" si="20"/>
        <v>-0.47825915869830404</v>
      </c>
      <c r="O38" s="103">
        <f t="shared" si="21"/>
        <v>55</v>
      </c>
      <c r="P38" s="45"/>
      <c r="Q38" s="48"/>
      <c r="R38" s="105" t="str">
        <f>_xll.BDP(G38&amp;" EQUITY",$R$1)</f>
        <v>3/1/2024</v>
      </c>
      <c r="S38" s="84">
        <f>_xll.BDP(G38&amp;" EQUITY",$S$1)</f>
        <v>318.71499999999997</v>
      </c>
      <c r="T38" s="37">
        <f t="shared" si="7"/>
        <v>-0.58398569254663246</v>
      </c>
      <c r="U38" s="107">
        <f t="shared" si="8"/>
        <v>57</v>
      </c>
      <c r="V38" s="47"/>
      <c r="W38" s="105" t="str">
        <f>_xll.BDP(G38&amp;" EQUITY",$W$1)</f>
        <v>10/26/2023</v>
      </c>
      <c r="X38" s="77">
        <f>_xll.BDP(G38&amp;" EQUITY",$X$1)</f>
        <v>193.68</v>
      </c>
      <c r="Y38" s="37">
        <f t="shared" si="9"/>
        <v>-0.31541718298223875</v>
      </c>
      <c r="Z38" s="39">
        <f t="shared" si="10"/>
        <v>59</v>
      </c>
      <c r="AB38" s="38">
        <v>222.53</v>
      </c>
      <c r="AC38" s="37">
        <f t="shared" si="11"/>
        <v>-0.40417022423942839</v>
      </c>
      <c r="AD38" s="39">
        <f t="shared" si="12"/>
        <v>51</v>
      </c>
      <c r="AE38" s="47"/>
      <c r="AF38" s="47"/>
      <c r="AQ38"/>
      <c r="AS38"/>
    </row>
    <row r="39" spans="1:45" x14ac:dyDescent="0.25">
      <c r="A39" s="17">
        <f t="shared" si="15"/>
        <v>34</v>
      </c>
      <c r="B39" s="26">
        <f t="shared" si="16"/>
        <v>1.0212765957446805</v>
      </c>
      <c r="C39" s="17">
        <f t="shared" si="17"/>
        <v>32</v>
      </c>
      <c r="D39" s="24">
        <f t="shared" si="18"/>
        <v>4.7999999999999996E-3</v>
      </c>
      <c r="E39" s="25">
        <v>4.7000000000000002E-3</v>
      </c>
      <c r="F39" s="25">
        <v>9.4999999999999998E-3</v>
      </c>
      <c r="G39" s="3" t="s">
        <v>34</v>
      </c>
      <c r="H39" s="101">
        <v>185000</v>
      </c>
      <c r="I39" s="9">
        <v>34.97</v>
      </c>
      <c r="J39" s="99"/>
      <c r="K39" s="62">
        <f t="shared" si="19"/>
        <v>6469450</v>
      </c>
      <c r="L39" s="99"/>
      <c r="M39" s="38">
        <v>50.33</v>
      </c>
      <c r="N39" s="37">
        <f t="shared" si="20"/>
        <v>-0.30518577389231072</v>
      </c>
      <c r="O39" s="17">
        <f t="shared" si="21"/>
        <v>40</v>
      </c>
      <c r="P39" s="45"/>
      <c r="Q39" s="48"/>
      <c r="R39" s="105" t="str">
        <f>_xll.BDP(G39&amp;" EQUITY",$R$1)</f>
        <v>8/16/2023</v>
      </c>
      <c r="S39" s="84">
        <f>_xll.BDP(G39&amp;" EQUITY",$S$1)</f>
        <v>47.454999999999998</v>
      </c>
      <c r="T39" s="37">
        <f t="shared" si="7"/>
        <v>-0.26309134969971548</v>
      </c>
      <c r="U39" s="39">
        <f t="shared" si="8"/>
        <v>32</v>
      </c>
      <c r="V39" s="47"/>
      <c r="W39" s="105" t="str">
        <f>_xll.BDP(G39&amp;" EQUITY",$W$1)</f>
        <v>4/26/2024</v>
      </c>
      <c r="X39" s="77">
        <f>_xll.BDP(G39&amp;" EQUITY",$X$1)</f>
        <v>36.43</v>
      </c>
      <c r="Y39" s="37">
        <f t="shared" si="9"/>
        <v>-4.0076859730990955E-2</v>
      </c>
      <c r="Z39" s="39">
        <f t="shared" si="10"/>
        <v>41</v>
      </c>
      <c r="AB39" s="36">
        <v>52.4</v>
      </c>
      <c r="AC39" s="123">
        <f t="shared" si="11"/>
        <v>-0.33263358778625951</v>
      </c>
      <c r="AD39" s="107">
        <f t="shared" si="12"/>
        <v>50</v>
      </c>
      <c r="AE39" s="47"/>
      <c r="AF39" s="47"/>
      <c r="AQ39"/>
      <c r="AS39"/>
    </row>
    <row r="40" spans="1:45" x14ac:dyDescent="0.25">
      <c r="A40" s="17">
        <f t="shared" si="15"/>
        <v>40</v>
      </c>
      <c r="B40" s="26">
        <f t="shared" si="16"/>
        <v>0.46491835655682778</v>
      </c>
      <c r="C40" s="17">
        <f t="shared" si="17"/>
        <v>40</v>
      </c>
      <c r="D40" s="24">
        <f t="shared" si="18"/>
        <v>2.5570509610625524E-3</v>
      </c>
      <c r="E40" s="25">
        <v>5.4999999999999997E-3</v>
      </c>
      <c r="F40" s="25">
        <f t="shared" ref="F40:F54" si="22">+K40/$K$77</f>
        <v>8.0570509610625521E-3</v>
      </c>
      <c r="G40" s="3" t="s">
        <v>29</v>
      </c>
      <c r="H40" s="101">
        <v>81000</v>
      </c>
      <c r="I40" s="9">
        <v>71.22</v>
      </c>
      <c r="J40" s="99"/>
      <c r="K40" s="62">
        <f t="shared" si="19"/>
        <v>5768820</v>
      </c>
      <c r="L40" s="99"/>
      <c r="M40" s="38">
        <v>188.58</v>
      </c>
      <c r="N40" s="37">
        <f t="shared" si="20"/>
        <v>-0.62233534839325488</v>
      </c>
      <c r="O40" s="103">
        <f t="shared" si="21"/>
        <v>59</v>
      </c>
      <c r="P40" s="45"/>
      <c r="Q40" s="48"/>
      <c r="R40" s="105" t="str">
        <f>_xll.BDP(G40&amp;" EQUITY",$R$1)</f>
        <v>7/31/2023</v>
      </c>
      <c r="S40" s="84">
        <f>_xll.BDP(G40&amp;" EQUITY",$S$1)</f>
        <v>76.540000000000006</v>
      </c>
      <c r="T40" s="37">
        <f t="shared" si="7"/>
        <v>-6.9506140580088971E-2</v>
      </c>
      <c r="U40" s="107">
        <f t="shared" si="8"/>
        <v>13</v>
      </c>
      <c r="V40" s="47"/>
      <c r="W40" s="105" t="str">
        <f>_xll.BDP(G40&amp;" EQUITY",$W$1)</f>
        <v>10/27/2023</v>
      </c>
      <c r="X40" s="77">
        <f>_xll.BDP(G40&amp;" EQUITY",$X$1)</f>
        <v>50.25</v>
      </c>
      <c r="Y40" s="37">
        <f t="shared" si="9"/>
        <v>0.41731343283582079</v>
      </c>
      <c r="Z40" s="40">
        <f t="shared" si="10"/>
        <v>8</v>
      </c>
      <c r="AB40" s="38">
        <v>234.2</v>
      </c>
      <c r="AC40" s="123">
        <f t="shared" si="11"/>
        <v>-0.69590093936806152</v>
      </c>
      <c r="AD40" s="107">
        <f t="shared" si="12"/>
        <v>61</v>
      </c>
      <c r="AE40" s="47"/>
      <c r="AF40" s="47"/>
      <c r="AQ40"/>
      <c r="AS40"/>
    </row>
    <row r="41" spans="1:45" x14ac:dyDescent="0.25">
      <c r="A41" s="17">
        <f t="shared" si="15"/>
        <v>39</v>
      </c>
      <c r="B41" s="26">
        <f t="shared" si="16"/>
        <v>0.49892294595463249</v>
      </c>
      <c r="C41" s="17">
        <f t="shared" si="17"/>
        <v>41</v>
      </c>
      <c r="D41" s="24">
        <f t="shared" si="18"/>
        <v>2.5445070243686257E-3</v>
      </c>
      <c r="E41" s="25">
        <v>5.1000000000000004E-3</v>
      </c>
      <c r="F41" s="25">
        <f t="shared" si="22"/>
        <v>7.6445070243686261E-3</v>
      </c>
      <c r="G41" s="3" t="s">
        <v>18</v>
      </c>
      <c r="H41" s="101">
        <v>63000</v>
      </c>
      <c r="I41" s="9">
        <v>86.88</v>
      </c>
      <c r="J41" s="99"/>
      <c r="K41" s="62">
        <f t="shared" si="19"/>
        <v>5473440</v>
      </c>
      <c r="L41" s="99"/>
      <c r="M41" s="38">
        <v>154.88999999999999</v>
      </c>
      <c r="N41" s="37">
        <f t="shared" si="20"/>
        <v>-0.43908580282781329</v>
      </c>
      <c r="O41" s="103">
        <f t="shared" si="21"/>
        <v>53</v>
      </c>
      <c r="P41" s="45"/>
      <c r="Q41" s="48"/>
      <c r="R41" s="105" t="str">
        <f>_xll.BDP(G41&amp;" EQUITY",$R$1)</f>
        <v>3/28/2024</v>
      </c>
      <c r="S41" s="84">
        <f>_xll.BDP(G41&amp;" EQUITY",$S$1)</f>
        <v>123.74</v>
      </c>
      <c r="T41" s="37">
        <f t="shared" si="7"/>
        <v>-0.29788265718441898</v>
      </c>
      <c r="U41" s="107">
        <f t="shared" si="8"/>
        <v>38</v>
      </c>
      <c r="V41" s="47"/>
      <c r="W41" s="105" t="str">
        <f>_xll.BDP(G41&amp;" EQUITY",$W$1)</f>
        <v>10/4/2023</v>
      </c>
      <c r="X41" s="77">
        <f>_xll.BDP(G41&amp;" EQUITY",$X$1)</f>
        <v>78.730900000000005</v>
      </c>
      <c r="Y41" s="37">
        <f t="shared" si="9"/>
        <v>0.10350573916975403</v>
      </c>
      <c r="Z41" s="39">
        <f t="shared" si="10"/>
        <v>29</v>
      </c>
      <c r="AB41" s="38">
        <v>181.18</v>
      </c>
      <c r="AC41" s="123">
        <f t="shared" si="11"/>
        <v>-0.52047687382713326</v>
      </c>
      <c r="AD41" s="107">
        <f t="shared" si="12"/>
        <v>58</v>
      </c>
      <c r="AE41" s="47"/>
      <c r="AF41" s="47"/>
      <c r="AQ41"/>
      <c r="AS41"/>
    </row>
    <row r="42" spans="1:45" x14ac:dyDescent="0.25">
      <c r="A42" s="18">
        <f t="shared" si="15"/>
        <v>3</v>
      </c>
      <c r="B42" s="26">
        <f t="shared" si="16"/>
        <v>74.134449246348666</v>
      </c>
      <c r="C42" s="17">
        <f t="shared" si="17"/>
        <v>27</v>
      </c>
      <c r="D42" s="24">
        <f t="shared" si="18"/>
        <v>7.413444924634866E-3</v>
      </c>
      <c r="E42" s="117">
        <v>1E-4</v>
      </c>
      <c r="F42" s="25">
        <f t="shared" si="22"/>
        <v>7.5134449246348663E-3</v>
      </c>
      <c r="G42" s="3" t="s">
        <v>5</v>
      </c>
      <c r="H42" s="101">
        <v>120000</v>
      </c>
      <c r="I42" s="9">
        <v>44.83</v>
      </c>
      <c r="J42" s="99"/>
      <c r="K42" s="62">
        <f t="shared" si="19"/>
        <v>5379600</v>
      </c>
      <c r="L42" s="99"/>
      <c r="M42" s="38">
        <v>91.64</v>
      </c>
      <c r="N42" s="37">
        <f t="shared" si="20"/>
        <v>-0.51080314273243133</v>
      </c>
      <c r="O42" s="103">
        <f t="shared" si="21"/>
        <v>58</v>
      </c>
      <c r="P42" s="45"/>
      <c r="Q42" s="48"/>
      <c r="R42" s="105" t="str">
        <f>_xll.BDP(G42&amp;" EQUITY",$R$1)</f>
        <v>6/18/2024</v>
      </c>
      <c r="S42" s="84">
        <f>_xll.BDP(G42&amp;" EQUITY",$S$1)</f>
        <v>99.54</v>
      </c>
      <c r="T42" s="37">
        <f t="shared" si="7"/>
        <v>-0.54962829013461922</v>
      </c>
      <c r="U42" s="107">
        <f t="shared" si="8"/>
        <v>55</v>
      </c>
      <c r="V42" s="47"/>
      <c r="W42" s="105" t="str">
        <f>_xll.BDP(G42&amp;" EQUITY",$W$1)</f>
        <v>11/10/2023</v>
      </c>
      <c r="X42" s="77">
        <f>_xll.BDP(G42&amp;" EQUITY",$X$1)</f>
        <v>60.23</v>
      </c>
      <c r="Y42" s="37">
        <f t="shared" si="9"/>
        <v>-0.25568653494936078</v>
      </c>
      <c r="Z42" s="106">
        <f t="shared" si="10"/>
        <v>55</v>
      </c>
      <c r="AB42" s="36">
        <v>80.099999999999994</v>
      </c>
      <c r="AC42" s="37">
        <f t="shared" si="11"/>
        <v>-0.44032459425717851</v>
      </c>
      <c r="AD42" s="39">
        <f t="shared" si="12"/>
        <v>53</v>
      </c>
      <c r="AE42" s="47"/>
      <c r="AF42" s="47"/>
      <c r="AQ42"/>
      <c r="AS42"/>
    </row>
    <row r="43" spans="1:45" x14ac:dyDescent="0.25">
      <c r="A43" s="17">
        <f t="shared" si="15"/>
        <v>26</v>
      </c>
      <c r="B43" s="26">
        <f t="shared" si="16"/>
        <v>2.0492050019260417</v>
      </c>
      <c r="C43" s="17">
        <f t="shared" si="17"/>
        <v>31</v>
      </c>
      <c r="D43" s="24">
        <f t="shared" si="18"/>
        <v>4.9180920046224992E-3</v>
      </c>
      <c r="E43" s="25">
        <v>2.3999999999999998E-3</v>
      </c>
      <c r="F43" s="25">
        <f t="shared" si="22"/>
        <v>7.3180920046224994E-3</v>
      </c>
      <c r="G43" s="3" t="s">
        <v>12</v>
      </c>
      <c r="H43" s="101">
        <v>2600</v>
      </c>
      <c r="I43" s="9">
        <v>2015.28</v>
      </c>
      <c r="J43" s="99"/>
      <c r="K43" s="62">
        <f t="shared" si="19"/>
        <v>5239728</v>
      </c>
      <c r="L43" s="99"/>
      <c r="M43" s="38">
        <v>2399.23</v>
      </c>
      <c r="N43" s="37">
        <f t="shared" si="20"/>
        <v>-0.16003050978855715</v>
      </c>
      <c r="O43" s="17">
        <f t="shared" si="21"/>
        <v>23</v>
      </c>
      <c r="P43" s="45"/>
      <c r="Q43" s="48"/>
      <c r="R43" s="105" t="str">
        <f>_xll.BDP(G43&amp;" EQUITY",$R$1)</f>
        <v>6/25/2024</v>
      </c>
      <c r="S43" s="84">
        <f>_xll.BDP(G43&amp;" EQUITY",$S$1)</f>
        <v>4033</v>
      </c>
      <c r="T43" s="37">
        <f t="shared" si="7"/>
        <v>-0.50030250433920154</v>
      </c>
      <c r="U43" s="39">
        <f t="shared" si="8"/>
        <v>52</v>
      </c>
      <c r="V43" s="47"/>
      <c r="W43" s="105" t="str">
        <f>_xll.BDP(G43&amp;" EQUITY",$W$1)</f>
        <v>6/26/2023</v>
      </c>
      <c r="X43" s="77">
        <f>_xll.BDP(G43&amp;" EQUITY",$X$1)</f>
        <v>2605</v>
      </c>
      <c r="Y43" s="37">
        <f t="shared" si="9"/>
        <v>-0.22638003838771592</v>
      </c>
      <c r="Z43" s="39">
        <f t="shared" si="10"/>
        <v>53</v>
      </c>
      <c r="AB43" s="36">
        <v>2227.27</v>
      </c>
      <c r="AC43" s="37">
        <f t="shared" si="11"/>
        <v>-9.5179300219551344E-2</v>
      </c>
      <c r="AD43" s="39">
        <f t="shared" si="12"/>
        <v>40</v>
      </c>
      <c r="AE43" s="47"/>
      <c r="AF43" s="47"/>
      <c r="AQ43"/>
      <c r="AS43"/>
    </row>
    <row r="44" spans="1:45" x14ac:dyDescent="0.25">
      <c r="A44" s="17">
        <f t="shared" si="15"/>
        <v>19</v>
      </c>
      <c r="B44" s="26">
        <f t="shared" si="16"/>
        <v>3.5316081109990831</v>
      </c>
      <c r="C44" s="17">
        <f t="shared" si="17"/>
        <v>33</v>
      </c>
      <c r="D44" s="24">
        <f t="shared" si="18"/>
        <v>4.5910905442988073E-3</v>
      </c>
      <c r="E44" s="25">
        <v>1.2999999999999999E-3</v>
      </c>
      <c r="F44" s="25">
        <f t="shared" si="22"/>
        <v>5.8910905442988073E-3</v>
      </c>
      <c r="G44" s="3" t="s">
        <v>10</v>
      </c>
      <c r="H44" s="101">
        <v>20000</v>
      </c>
      <c r="I44" s="9">
        <v>210.9</v>
      </c>
      <c r="J44" s="99"/>
      <c r="K44" s="155">
        <f t="shared" si="19"/>
        <v>4218000</v>
      </c>
      <c r="L44" s="99"/>
      <c r="M44" s="38">
        <v>657.18</v>
      </c>
      <c r="N44" s="37">
        <f t="shared" si="20"/>
        <v>-0.6790833561581302</v>
      </c>
      <c r="O44" s="103">
        <f t="shared" si="21"/>
        <v>61</v>
      </c>
      <c r="P44" s="45"/>
      <c r="Q44" s="48"/>
      <c r="R44" s="105" t="str">
        <f>_xll.BDP(G44&amp;" EQUITY",$R$1)</f>
        <v>7/27/2023</v>
      </c>
      <c r="S44" s="84">
        <f>_xll.BDP(G44&amp;" EQUITY",$S$1)</f>
        <v>413.2</v>
      </c>
      <c r="T44" s="37">
        <f t="shared" si="7"/>
        <v>-0.48959341723136496</v>
      </c>
      <c r="U44" s="107">
        <f t="shared" si="8"/>
        <v>51</v>
      </c>
      <c r="V44" s="47"/>
      <c r="W44" s="105" t="str">
        <f>_xll.BDP(G44&amp;" EQUITY",$W$1)</f>
        <v>10/30/2023</v>
      </c>
      <c r="X44" s="77">
        <f>_xll.BDP(G44&amp;" EQUITY",$X$1)</f>
        <v>176.34</v>
      </c>
      <c r="Y44" s="37">
        <f t="shared" si="9"/>
        <v>0.19598502892140179</v>
      </c>
      <c r="Z44" s="107">
        <f t="shared" si="10"/>
        <v>23</v>
      </c>
      <c r="AB44" s="38">
        <v>534.38</v>
      </c>
      <c r="AC44" s="123">
        <f t="shared" si="11"/>
        <v>-0.60533702608630557</v>
      </c>
      <c r="AD44" s="107">
        <f t="shared" si="12"/>
        <v>60</v>
      </c>
      <c r="AE44" s="47"/>
      <c r="AF44" s="47"/>
      <c r="AQ44"/>
      <c r="AS44"/>
    </row>
    <row r="45" spans="1:45" x14ac:dyDescent="0.25">
      <c r="A45" s="17">
        <f t="shared" si="15"/>
        <v>25</v>
      </c>
      <c r="B45" s="26">
        <f t="shared" si="16"/>
        <v>2.3553560625573224</v>
      </c>
      <c r="C45" s="17">
        <f t="shared" si="17"/>
        <v>37</v>
      </c>
      <c r="D45" s="24">
        <f t="shared" si="18"/>
        <v>3.0619628813245191E-3</v>
      </c>
      <c r="E45" s="85">
        <v>1.2999999999999999E-3</v>
      </c>
      <c r="F45" s="25">
        <f t="shared" si="22"/>
        <v>4.3619628813245191E-3</v>
      </c>
      <c r="G45" s="3" t="s">
        <v>133</v>
      </c>
      <c r="H45" s="101">
        <v>15000</v>
      </c>
      <c r="I45" s="9">
        <v>208.21</v>
      </c>
      <c r="J45" s="99"/>
      <c r="K45" s="62">
        <f t="shared" si="19"/>
        <v>3123150</v>
      </c>
      <c r="L45" s="99"/>
      <c r="M45" s="38">
        <v>213.24</v>
      </c>
      <c r="N45" s="37">
        <f t="shared" si="20"/>
        <v>-2.3588444944663278E-2</v>
      </c>
      <c r="O45" s="102">
        <f t="shared" si="21"/>
        <v>13</v>
      </c>
      <c r="P45" s="45" t="s">
        <v>61</v>
      </c>
      <c r="Q45" s="48"/>
      <c r="R45" s="105" t="str">
        <f>_xll.BDP(G45&amp;" EQUITY",$R$1)</f>
        <v>6/24/2024</v>
      </c>
      <c r="S45" s="84">
        <f>_xll.BDP(G45&amp;" EQUITY",$S$1)</f>
        <v>228.13</v>
      </c>
      <c r="T45" s="37">
        <f t="shared" si="7"/>
        <v>-8.7318634112129034E-2</v>
      </c>
      <c r="U45" s="40">
        <f t="shared" si="8"/>
        <v>15</v>
      </c>
      <c r="V45" s="47"/>
      <c r="W45" s="105" t="str">
        <f>_xll.BDP(G45&amp;" EQUITY",$W$1)</f>
        <v>10/6/2023</v>
      </c>
      <c r="X45" s="77">
        <f>_xll.BDP(G45&amp;" EQUITY",$X$1)</f>
        <v>160.25</v>
      </c>
      <c r="Y45" s="37">
        <f t="shared" si="9"/>
        <v>0.2992823712948518</v>
      </c>
      <c r="Z45" s="39">
        <f t="shared" si="10"/>
        <v>16</v>
      </c>
      <c r="AB45" s="36">
        <v>189.02</v>
      </c>
      <c r="AC45" s="37">
        <f t="shared" si="11"/>
        <v>0.1015236482911861</v>
      </c>
      <c r="AD45" s="40">
        <f t="shared" si="12"/>
        <v>19</v>
      </c>
      <c r="AE45" s="47"/>
      <c r="AF45" s="47"/>
      <c r="AQ45"/>
      <c r="AS45"/>
    </row>
    <row r="46" spans="1:45" x14ac:dyDescent="0.25">
      <c r="A46" s="17">
        <f t="shared" si="15"/>
        <v>44</v>
      </c>
      <c r="B46" s="26">
        <f t="shared" si="16"/>
        <v>9.999788263562559E-2</v>
      </c>
      <c r="C46" s="17">
        <f t="shared" si="17"/>
        <v>44</v>
      </c>
      <c r="D46" s="24">
        <f t="shared" si="18"/>
        <v>3.6999216575181459E-4</v>
      </c>
      <c r="E46" s="85">
        <v>3.7000000000000002E-3</v>
      </c>
      <c r="F46" s="25">
        <f t="shared" si="22"/>
        <v>4.0699921657518148E-3</v>
      </c>
      <c r="G46" s="3" t="s">
        <v>149</v>
      </c>
      <c r="H46" s="101">
        <v>35000</v>
      </c>
      <c r="I46" s="9">
        <v>83.26</v>
      </c>
      <c r="J46" s="99"/>
      <c r="K46" s="62">
        <f t="shared" si="19"/>
        <v>2914100</v>
      </c>
      <c r="L46" s="99"/>
      <c r="M46" s="38">
        <v>84.1</v>
      </c>
      <c r="N46" s="37">
        <f t="shared" si="20"/>
        <v>-9.98810939357897E-3</v>
      </c>
      <c r="O46" s="102">
        <f t="shared" si="21"/>
        <v>11</v>
      </c>
      <c r="P46" s="45"/>
      <c r="Q46" s="48"/>
      <c r="R46" s="105" t="str">
        <f>_xll.BDP(G46&amp;" EQUITY",$R$1)</f>
        <v>5/22/2024</v>
      </c>
      <c r="S46" s="84">
        <f>_xll.BDP(G46&amp;" EQUITY",$S$1)</f>
        <v>79.489999999999995</v>
      </c>
      <c r="T46" s="37">
        <f t="shared" si="7"/>
        <v>4.7427349352119785E-2</v>
      </c>
      <c r="U46" s="40">
        <f t="shared" si="8"/>
        <v>3</v>
      </c>
      <c r="V46" s="47"/>
      <c r="W46" s="105" t="str">
        <f>_xll.BDP(G46&amp;" EQUITY",$W$1)</f>
        <v>10/25/2023</v>
      </c>
      <c r="X46" s="77">
        <f>_xll.BDP(G46&amp;" EQUITY",$X$1)</f>
        <v>48.66</v>
      </c>
      <c r="Y46" s="37">
        <f t="shared" si="9"/>
        <v>0.71105630908343631</v>
      </c>
      <c r="Z46" s="106">
        <f t="shared" si="10"/>
        <v>5</v>
      </c>
      <c r="AB46" s="38">
        <v>53.04</v>
      </c>
      <c r="AC46" s="123">
        <f t="shared" si="11"/>
        <v>0.56975867269984937</v>
      </c>
      <c r="AD46" s="107">
        <f t="shared" si="12"/>
        <v>5</v>
      </c>
      <c r="AE46" s="47"/>
      <c r="AF46" s="47"/>
      <c r="AQ46"/>
      <c r="AS46"/>
    </row>
    <row r="47" spans="1:45" x14ac:dyDescent="0.25">
      <c r="A47" s="17">
        <f t="shared" si="15"/>
        <v>51</v>
      </c>
      <c r="B47" s="26">
        <f t="shared" si="16"/>
        <v>-0.36118805099792906</v>
      </c>
      <c r="C47" s="17">
        <f t="shared" si="17"/>
        <v>48</v>
      </c>
      <c r="D47" s="24">
        <f t="shared" si="18"/>
        <v>-2.2393659161871601E-3</v>
      </c>
      <c r="E47" s="85">
        <v>6.1999999999999998E-3</v>
      </c>
      <c r="F47" s="109">
        <f t="shared" si="22"/>
        <v>3.9606340838128397E-3</v>
      </c>
      <c r="G47" s="3" t="s">
        <v>70</v>
      </c>
      <c r="H47" s="101">
        <v>20000</v>
      </c>
      <c r="I47" s="9">
        <v>141.79</v>
      </c>
      <c r="J47" s="99"/>
      <c r="K47" s="62">
        <f t="shared" si="19"/>
        <v>2835800</v>
      </c>
      <c r="L47" s="99"/>
      <c r="M47" s="38">
        <v>144.69</v>
      </c>
      <c r="N47" s="37">
        <f t="shared" si="20"/>
        <v>-2.0042850231529519E-2</v>
      </c>
      <c r="O47" s="102">
        <f t="shared" si="21"/>
        <v>12</v>
      </c>
      <c r="P47" s="45" t="s">
        <v>61</v>
      </c>
      <c r="Q47" s="48"/>
      <c r="R47" s="105" t="str">
        <f>_xll.BDP(G47&amp;" EQUITY",$R$1)</f>
        <v>6/24/2024</v>
      </c>
      <c r="S47" s="84">
        <f>_xll.BDP(G47&amp;" EQUITY",$S$1)</f>
        <v>69.040000000000006</v>
      </c>
      <c r="T47" s="37">
        <f t="shared" si="7"/>
        <v>1.0537369640787948</v>
      </c>
      <c r="U47" s="106">
        <f t="shared" si="8"/>
        <v>1</v>
      </c>
      <c r="V47" s="47"/>
      <c r="W47" s="105" t="str">
        <f>_xll.BDP(G47&amp;" EQUITY",$W$1)</f>
        <v>12/11/2023</v>
      </c>
      <c r="X47" s="77">
        <f>_xll.BDP(G47&amp;" EQUITY",$X$1)</f>
        <v>49.846699999999998</v>
      </c>
      <c r="Y47" s="37">
        <f t="shared" si="9"/>
        <v>1.8445213023128915</v>
      </c>
      <c r="Z47" s="39">
        <f t="shared" si="10"/>
        <v>1</v>
      </c>
      <c r="AB47" s="36">
        <v>144.15</v>
      </c>
      <c r="AC47" s="37">
        <f t="shared" si="11"/>
        <v>-1.6371834894207571E-2</v>
      </c>
      <c r="AD47" s="39">
        <f t="shared" si="12"/>
        <v>30</v>
      </c>
      <c r="AE47" s="47"/>
      <c r="AF47" s="47"/>
      <c r="AQ47"/>
      <c r="AS47"/>
    </row>
    <row r="48" spans="1:45" x14ac:dyDescent="0.25">
      <c r="A48" s="18">
        <f t="shared" si="15"/>
        <v>4</v>
      </c>
      <c r="B48" s="26">
        <f t="shared" si="16"/>
        <v>38.427569005584473</v>
      </c>
      <c r="C48" s="17">
        <f t="shared" si="17"/>
        <v>35</v>
      </c>
      <c r="D48" s="24">
        <f t="shared" si="18"/>
        <v>3.8427569005584478E-3</v>
      </c>
      <c r="E48" s="85">
        <v>1E-4</v>
      </c>
      <c r="F48" s="25">
        <f t="shared" si="22"/>
        <v>3.9427569005584476E-3</v>
      </c>
      <c r="G48" s="3" t="s">
        <v>92</v>
      </c>
      <c r="H48" s="101">
        <v>50000</v>
      </c>
      <c r="I48" s="9">
        <v>56.46</v>
      </c>
      <c r="J48" s="99"/>
      <c r="K48" s="62">
        <f t="shared" si="19"/>
        <v>2823000</v>
      </c>
      <c r="L48" s="99"/>
      <c r="M48" s="38">
        <v>90.69</v>
      </c>
      <c r="N48" s="37">
        <f t="shared" si="20"/>
        <v>-0.37743962950711207</v>
      </c>
      <c r="O48" s="17">
        <f t="shared" si="21"/>
        <v>43</v>
      </c>
      <c r="P48" s="45"/>
      <c r="Q48" s="48"/>
      <c r="R48" s="105" t="str">
        <f>_xll.BDP(G48&amp;" EQUITY",$R$1)</f>
        <v>2/12/2024</v>
      </c>
      <c r="S48" s="84">
        <f>_xll.BDP(G48&amp;" EQUITY",$S$1)</f>
        <v>68.409899999999993</v>
      </c>
      <c r="T48" s="37">
        <f t="shared" si="7"/>
        <v>-0.17468085759517249</v>
      </c>
      <c r="U48" s="107">
        <f t="shared" si="8"/>
        <v>21</v>
      </c>
      <c r="V48" s="47"/>
      <c r="W48" s="105" t="str">
        <f>_xll.BDP(G48&amp;" EQUITY",$W$1)</f>
        <v>5/8/2024</v>
      </c>
      <c r="X48" s="77">
        <f>_xll.BDP(G48&amp;" EQUITY",$X$1)</f>
        <v>25.68</v>
      </c>
      <c r="Y48" s="37">
        <f t="shared" si="9"/>
        <v>1.1985981308411215</v>
      </c>
      <c r="Z48" s="106">
        <f t="shared" si="10"/>
        <v>3</v>
      </c>
      <c r="AB48" s="38">
        <v>45.41</v>
      </c>
      <c r="AC48" s="37">
        <f t="shared" si="11"/>
        <v>0.24333847170226841</v>
      </c>
      <c r="AD48" s="106">
        <f t="shared" si="12"/>
        <v>9</v>
      </c>
      <c r="AE48" s="47"/>
      <c r="AF48" s="47"/>
      <c r="AQ48"/>
      <c r="AS48"/>
    </row>
    <row r="49" spans="1:45" x14ac:dyDescent="0.25">
      <c r="A49" s="18">
        <f t="shared" si="15"/>
        <v>5</v>
      </c>
      <c r="B49" s="26">
        <f t="shared" si="16"/>
        <v>33.53927670946171</v>
      </c>
      <c r="C49" s="17">
        <f t="shared" si="17"/>
        <v>36</v>
      </c>
      <c r="D49" s="24">
        <f t="shared" si="18"/>
        <v>3.3539276709461715E-3</v>
      </c>
      <c r="E49" s="117">
        <v>1E-4</v>
      </c>
      <c r="F49" s="25">
        <f t="shared" si="22"/>
        <v>3.4539276709461713E-3</v>
      </c>
      <c r="G49" s="3" t="s">
        <v>78</v>
      </c>
      <c r="H49" s="101">
        <v>100000</v>
      </c>
      <c r="I49" s="9">
        <v>24.73</v>
      </c>
      <c r="J49" s="99"/>
      <c r="K49" s="62">
        <f t="shared" si="19"/>
        <v>2473000</v>
      </c>
      <c r="L49" s="99"/>
      <c r="M49" s="38">
        <v>41.93</v>
      </c>
      <c r="N49" s="37">
        <f t="shared" si="20"/>
        <v>-0.41020748867159551</v>
      </c>
      <c r="O49" s="103">
        <f t="shared" si="21"/>
        <v>50</v>
      </c>
      <c r="P49" s="45"/>
      <c r="Q49" s="48"/>
      <c r="R49" s="105" t="str">
        <f>_xll.BDP(G49&amp;" EQUITY",$R$1)</f>
        <v>3/4/2024</v>
      </c>
      <c r="S49" s="84">
        <f>_xll.BDP(G49&amp;" EQUITY",$S$1)</f>
        <v>82.14</v>
      </c>
      <c r="T49" s="37">
        <f t="shared" si="7"/>
        <v>-0.6989286583881178</v>
      </c>
      <c r="U49" s="39">
        <f t="shared" si="8"/>
        <v>60</v>
      </c>
      <c r="V49" s="47"/>
      <c r="W49" s="105" t="str">
        <f>_xll.BDP(G49&amp;" EQUITY",$W$1)</f>
        <v>10/26/2023</v>
      </c>
      <c r="X49" s="77">
        <f>_xll.BDP(G49&amp;" EQUITY",$X$1)</f>
        <v>40.090000000000003</v>
      </c>
      <c r="Y49" s="37">
        <f t="shared" si="9"/>
        <v>-0.38313793963581944</v>
      </c>
      <c r="Z49" s="106">
        <f t="shared" si="10"/>
        <v>60</v>
      </c>
      <c r="AB49" s="38">
        <v>51</v>
      </c>
      <c r="AC49" s="123">
        <f t="shared" si="11"/>
        <v>-0.51509803921568631</v>
      </c>
      <c r="AD49" s="107">
        <f t="shared" si="12"/>
        <v>57</v>
      </c>
      <c r="AE49" s="47"/>
      <c r="AF49" s="47"/>
      <c r="AQ49"/>
      <c r="AS49"/>
    </row>
    <row r="50" spans="1:45" x14ac:dyDescent="0.25">
      <c r="A50" s="17">
        <f t="shared" si="15"/>
        <v>47</v>
      </c>
      <c r="B50" s="26">
        <f t="shared" si="16"/>
        <v>-0.19077057726424829</v>
      </c>
      <c r="C50" s="17">
        <f t="shared" si="17"/>
        <v>45</v>
      </c>
      <c r="D50" s="24">
        <f t="shared" si="18"/>
        <v>-7.0585113587771876E-4</v>
      </c>
      <c r="E50" s="85">
        <v>3.7000000000000002E-3</v>
      </c>
      <c r="F50" s="25">
        <f t="shared" si="22"/>
        <v>2.9941488641222814E-3</v>
      </c>
      <c r="G50" s="3" t="s">
        <v>122</v>
      </c>
      <c r="H50" s="101">
        <v>5000</v>
      </c>
      <c r="I50" s="9">
        <v>428.76</v>
      </c>
      <c r="J50" s="99"/>
      <c r="K50" s="62">
        <f t="shared" si="19"/>
        <v>2143800</v>
      </c>
      <c r="L50" s="99"/>
      <c r="M50" s="38">
        <v>342.89</v>
      </c>
      <c r="N50" s="37">
        <f t="shared" si="20"/>
        <v>0.25043016710898547</v>
      </c>
      <c r="O50" s="82">
        <f t="shared" si="21"/>
        <v>5</v>
      </c>
      <c r="P50" s="45" t="s">
        <v>61</v>
      </c>
      <c r="Q50" s="48"/>
      <c r="R50" s="105"/>
      <c r="S50" s="84"/>
      <c r="T50" s="37"/>
      <c r="U50" s="107"/>
      <c r="V50" s="47"/>
      <c r="W50" s="105"/>
      <c r="X50" s="77"/>
      <c r="Y50" s="37"/>
      <c r="Z50" s="39"/>
      <c r="AB50" s="36"/>
      <c r="AC50" s="123"/>
      <c r="AD50" s="107"/>
      <c r="AE50" s="47"/>
      <c r="AF50" s="47"/>
      <c r="AQ50"/>
      <c r="AS50"/>
    </row>
    <row r="51" spans="1:45" x14ac:dyDescent="0.25">
      <c r="A51" s="17">
        <f t="shared" si="15"/>
        <v>30</v>
      </c>
      <c r="B51" s="26">
        <f t="shared" si="16"/>
        <v>1.4864298764228452</v>
      </c>
      <c r="C51" s="17">
        <f t="shared" si="17"/>
        <v>42</v>
      </c>
      <c r="D51" s="24">
        <f t="shared" si="18"/>
        <v>1.783715851707414E-3</v>
      </c>
      <c r="E51" s="85">
        <v>1.1999999999999999E-3</v>
      </c>
      <c r="F51" s="25">
        <f t="shared" si="22"/>
        <v>2.9837158517074139E-3</v>
      </c>
      <c r="G51" s="3" t="s">
        <v>55</v>
      </c>
      <c r="H51" s="101">
        <v>6300</v>
      </c>
      <c r="I51" s="9">
        <v>339.1</v>
      </c>
      <c r="J51" s="99"/>
      <c r="K51" s="62">
        <f t="shared" si="19"/>
        <v>2136330</v>
      </c>
      <c r="L51" s="99"/>
      <c r="M51" s="38">
        <v>651.97</v>
      </c>
      <c r="N51" s="37">
        <f t="shared" si="20"/>
        <v>-0.47988404374434401</v>
      </c>
      <c r="O51" s="103">
        <f t="shared" si="21"/>
        <v>56</v>
      </c>
      <c r="P51" s="45"/>
      <c r="Q51" s="48"/>
      <c r="R51" s="105" t="str">
        <f>_xll.BDP(G51&amp;" EQUITY",$R$1)</f>
        <v>10/16/2023</v>
      </c>
      <c r="S51" s="84">
        <f>_xll.BDP(G51&amp;" EQUITY",$S$1)</f>
        <v>458.3</v>
      </c>
      <c r="T51" s="37">
        <f>+I51/S51-1</f>
        <v>-0.2600916430285839</v>
      </c>
      <c r="U51" s="107">
        <f>+RANK(T51,$T$4:$T$72)</f>
        <v>31</v>
      </c>
      <c r="V51" s="47"/>
      <c r="W51" s="105" t="str">
        <f>_xll.BDP(G51&amp;" EQUITY",$W$1)</f>
        <v>4/26/2024</v>
      </c>
      <c r="X51" s="77">
        <f>_xll.BDP(G51&amp;" EQUITY",$X$1)</f>
        <v>236.08</v>
      </c>
      <c r="Y51" s="37">
        <f>+I51/X51-1</f>
        <v>0.43637749915282953</v>
      </c>
      <c r="Z51" s="39">
        <f>+RANK(Y51,$Y$4:$Y$72)</f>
        <v>7</v>
      </c>
      <c r="AB51" s="36">
        <v>661.55</v>
      </c>
      <c r="AC51" s="123">
        <f>+I51/AB51-1</f>
        <v>-0.48741591716423549</v>
      </c>
      <c r="AD51" s="107">
        <f>+RANK(AC51,$AC$4:$AC$72)</f>
        <v>55</v>
      </c>
      <c r="AE51" s="47"/>
      <c r="AF51" s="47"/>
      <c r="AQ51"/>
      <c r="AS51"/>
    </row>
    <row r="52" spans="1:45" x14ac:dyDescent="0.25">
      <c r="A52" s="18">
        <f t="shared" si="15"/>
        <v>6</v>
      </c>
      <c r="B52" s="26">
        <f t="shared" si="16"/>
        <v>28.560201842125238</v>
      </c>
      <c r="C52" s="17">
        <f t="shared" si="17"/>
        <v>39</v>
      </c>
      <c r="D52" s="24">
        <f t="shared" si="18"/>
        <v>2.8560201842125241E-3</v>
      </c>
      <c r="E52" s="85">
        <v>1E-4</v>
      </c>
      <c r="F52" s="25">
        <f t="shared" si="22"/>
        <v>2.9560201842125239E-3</v>
      </c>
      <c r="G52" s="3" t="s">
        <v>93</v>
      </c>
      <c r="H52" s="101">
        <v>50000</v>
      </c>
      <c r="I52" s="9">
        <v>42.33</v>
      </c>
      <c r="J52" s="99"/>
      <c r="K52" s="62">
        <f t="shared" si="19"/>
        <v>2116500</v>
      </c>
      <c r="L52" s="99"/>
      <c r="M52" s="38">
        <v>135.03</v>
      </c>
      <c r="N52" s="37">
        <f t="shared" si="20"/>
        <v>-0.68651410797600532</v>
      </c>
      <c r="O52" s="103">
        <f t="shared" si="21"/>
        <v>62</v>
      </c>
      <c r="P52" s="45"/>
      <c r="Q52" s="48"/>
      <c r="R52" s="105" t="str">
        <f>_xll.BDP(G52&amp;" EQUITY",$R$1)</f>
        <v>2/27/2024</v>
      </c>
      <c r="S52" s="84">
        <f>_xll.BDP(G52&amp;" EQUITY",$S$1)</f>
        <v>101.91</v>
      </c>
      <c r="T52" s="37">
        <f>+I52/S52-1</f>
        <v>-0.58463350014718873</v>
      </c>
      <c r="U52" s="107">
        <f>+RANK(T52,$T$4:$T$72)</f>
        <v>58</v>
      </c>
      <c r="V52" s="47"/>
      <c r="W52" s="105" t="str">
        <f>_xll.BDP(G52&amp;" EQUITY",$W$1)</f>
        <v>10/20/2023</v>
      </c>
      <c r="X52" s="77">
        <f>_xll.BDP(G52&amp;" EQUITY",$X$1)</f>
        <v>53.59</v>
      </c>
      <c r="Y52" s="37">
        <f>+I52/X52-1</f>
        <v>-0.21011382720656846</v>
      </c>
      <c r="Z52" s="107">
        <f>+RANK(Y52,$Y$4:$Y$72)</f>
        <v>51</v>
      </c>
      <c r="AB52" s="38">
        <v>83.72</v>
      </c>
      <c r="AC52" s="123">
        <f>+I52/AB52-1</f>
        <v>-0.49438604873387482</v>
      </c>
      <c r="AD52" s="107">
        <f>+RANK(AC52,$AC$4:$AC$72)</f>
        <v>56</v>
      </c>
      <c r="AE52" s="47"/>
      <c r="AF52" s="47"/>
      <c r="AQ52"/>
      <c r="AS52"/>
    </row>
    <row r="53" spans="1:45" x14ac:dyDescent="0.25">
      <c r="A53" s="17">
        <f t="shared" si="15"/>
        <v>37</v>
      </c>
      <c r="B53" s="26">
        <f t="shared" si="16"/>
        <v>0.74254651418031803</v>
      </c>
      <c r="C53" s="17">
        <f t="shared" si="17"/>
        <v>43</v>
      </c>
      <c r="D53" s="24">
        <f t="shared" si="18"/>
        <v>1.0395651198524451E-3</v>
      </c>
      <c r="E53" s="85">
        <v>1.4E-3</v>
      </c>
      <c r="F53" s="25">
        <f t="shared" si="22"/>
        <v>2.4395651198524451E-3</v>
      </c>
      <c r="G53" s="3" t="s">
        <v>71</v>
      </c>
      <c r="H53" s="101">
        <v>12000</v>
      </c>
      <c r="I53" s="9">
        <v>145.56</v>
      </c>
      <c r="J53" s="99"/>
      <c r="K53" s="62">
        <f t="shared" si="19"/>
        <v>1746720</v>
      </c>
      <c r="L53" s="99"/>
      <c r="M53" s="38">
        <v>234.59</v>
      </c>
      <c r="N53" s="37">
        <f t="shared" si="20"/>
        <v>-0.37951319323074295</v>
      </c>
      <c r="O53" s="17">
        <f t="shared" si="21"/>
        <v>44</v>
      </c>
      <c r="P53" s="45"/>
      <c r="Q53" s="48"/>
      <c r="R53" s="105" t="str">
        <f>_xll.BDP(G53&amp;" EQUITY",$R$1)</f>
        <v>6/24/2024</v>
      </c>
      <c r="S53" s="84">
        <f>_xll.BDP(G53&amp;" EQUITY",$S$1)</f>
        <v>245.92500000000001</v>
      </c>
      <c r="T53" s="37">
        <f>+I53/S53-1</f>
        <v>-0.4081122293382129</v>
      </c>
      <c r="U53" s="39">
        <f>+RANK(T53,$T$4:$T$72)</f>
        <v>45</v>
      </c>
      <c r="V53" s="47"/>
      <c r="W53" s="105" t="str">
        <f>_xll.BDP(G53&amp;" EQUITY",$W$1)</f>
        <v>10/27/2023</v>
      </c>
      <c r="X53" s="77">
        <f>_xll.BDP(G53&amp;" EQUITY",$X$1)</f>
        <v>156.72</v>
      </c>
      <c r="Y53" s="37">
        <f>+I53/X53-1</f>
        <v>-7.1209800918836108E-2</v>
      </c>
      <c r="Z53" s="39">
        <f>+RANK(Y53,$Y$4:$Y$72)</f>
        <v>43</v>
      </c>
      <c r="AB53" s="36">
        <v>216.36</v>
      </c>
      <c r="AC53" s="37">
        <f>+I53/AB53-1</f>
        <v>-0.32723239046034391</v>
      </c>
      <c r="AD53" s="39">
        <f>+RANK(AC53,$AC$4:$AC$72)</f>
        <v>49</v>
      </c>
      <c r="AE53" s="47"/>
      <c r="AF53" s="47"/>
      <c r="AQ53"/>
      <c r="AS53"/>
    </row>
    <row r="54" spans="1:45" x14ac:dyDescent="0.25">
      <c r="A54" s="17">
        <f t="shared" si="15"/>
        <v>50</v>
      </c>
      <c r="B54" s="26">
        <f t="shared" si="16"/>
        <v>-0.35028388029231772</v>
      </c>
      <c r="C54" s="17">
        <f t="shared" si="17"/>
        <v>46</v>
      </c>
      <c r="D54" s="24">
        <f t="shared" si="18"/>
        <v>-1.2610219690523438E-3</v>
      </c>
      <c r="E54" s="85">
        <v>3.5999999999999999E-3</v>
      </c>
      <c r="F54" s="25">
        <f t="shared" si="22"/>
        <v>2.3389780309476561E-3</v>
      </c>
      <c r="G54" s="3" t="s">
        <v>95</v>
      </c>
      <c r="H54" s="101">
        <v>5000</v>
      </c>
      <c r="I54" s="9">
        <v>334.94</v>
      </c>
      <c r="J54" s="99"/>
      <c r="K54" s="62">
        <f t="shared" si="19"/>
        <v>1674700</v>
      </c>
      <c r="L54" s="99"/>
      <c r="M54" s="38">
        <v>471.93</v>
      </c>
      <c r="N54" s="37">
        <f t="shared" si="20"/>
        <v>-0.29027610026910777</v>
      </c>
      <c r="O54" s="17">
        <f t="shared" si="21"/>
        <v>39</v>
      </c>
      <c r="P54" s="45"/>
      <c r="Q54" s="48"/>
      <c r="R54" s="105" t="str">
        <f>_xll.BDP(G54&amp;" EQUITY",$R$1)</f>
        <v>2/7/2024</v>
      </c>
      <c r="S54" s="84">
        <f>_xll.BDP(G54&amp;" EQUITY",$S$1)</f>
        <v>461.16</v>
      </c>
      <c r="T54" s="37">
        <f>+I54/S54-1</f>
        <v>-0.27370110156995409</v>
      </c>
      <c r="U54" s="39">
        <f>+RANK(T54,$T$4:$T$72)</f>
        <v>33</v>
      </c>
      <c r="V54" s="47"/>
      <c r="W54" s="105" t="str">
        <f>_xll.BDP(G54&amp;" EQUITY",$W$1)</f>
        <v>10/30/2023</v>
      </c>
      <c r="X54" s="77">
        <f>_xll.BDP(G54&amp;" EQUITY",$X$1)</f>
        <v>340.49</v>
      </c>
      <c r="Y54" s="37">
        <f>+I54/X54-1</f>
        <v>-1.6300038180269594E-2</v>
      </c>
      <c r="Z54" s="39">
        <f>+RANK(Y54,$Y$4:$Y$72)</f>
        <v>37</v>
      </c>
      <c r="AB54" s="36">
        <v>378.97</v>
      </c>
      <c r="AC54" s="37">
        <f>+I54/AB54-1</f>
        <v>-0.11618333905058453</v>
      </c>
      <c r="AD54" s="39">
        <f>+RANK(AC54,$AC$4:$AC$72)</f>
        <v>42</v>
      </c>
      <c r="AE54" s="47"/>
      <c r="AF54" s="47"/>
      <c r="AQ54"/>
      <c r="AS54"/>
    </row>
    <row r="55" spans="1:45" x14ac:dyDescent="0.25">
      <c r="A55" s="17"/>
      <c r="B55" s="26"/>
      <c r="C55" s="17"/>
      <c r="D55" s="24"/>
      <c r="E55" s="85"/>
      <c r="F55" s="25"/>
      <c r="G55" s="3"/>
      <c r="H55" s="101"/>
      <c r="I55" s="9"/>
      <c r="J55" s="99"/>
      <c r="K55" s="62"/>
      <c r="L55" s="99"/>
      <c r="M55" s="38"/>
      <c r="N55" s="37"/>
      <c r="O55" s="17"/>
      <c r="P55" s="45"/>
      <c r="Q55" s="48"/>
      <c r="R55" s="105"/>
      <c r="S55" s="84"/>
      <c r="T55" s="37"/>
      <c r="U55" s="39"/>
      <c r="W55" s="105"/>
      <c r="X55" s="84"/>
      <c r="Y55" s="37"/>
      <c r="Z55" s="39"/>
      <c r="AA55"/>
      <c r="AB55" s="38"/>
      <c r="AC55" s="37"/>
      <c r="AD55" s="39"/>
      <c r="AF55" s="47"/>
      <c r="AQ55"/>
      <c r="AS55"/>
    </row>
    <row r="56" spans="1:45" x14ac:dyDescent="0.25">
      <c r="A56" s="17"/>
      <c r="B56" s="26"/>
      <c r="C56" s="17"/>
      <c r="D56" s="24"/>
      <c r="E56" s="85"/>
      <c r="F56" s="25"/>
      <c r="G56" s="3"/>
      <c r="H56" s="101"/>
      <c r="I56" s="9"/>
      <c r="J56" s="99"/>
      <c r="K56" s="62"/>
      <c r="L56" s="99"/>
      <c r="M56" s="38"/>
      <c r="N56" s="37"/>
      <c r="O56" s="17"/>
      <c r="P56" s="45"/>
      <c r="Q56" s="48"/>
      <c r="R56" s="105"/>
      <c r="S56" s="84"/>
      <c r="T56" s="37"/>
      <c r="U56" s="39"/>
      <c r="W56" s="105"/>
      <c r="X56" s="84"/>
      <c r="Y56" s="37"/>
      <c r="Z56" s="39"/>
      <c r="AA56"/>
      <c r="AB56" s="38"/>
      <c r="AC56" s="37"/>
      <c r="AD56" s="39"/>
      <c r="AF56" s="47"/>
      <c r="AQ56"/>
      <c r="AS56"/>
    </row>
    <row r="57" spans="1:45" x14ac:dyDescent="0.25">
      <c r="B57" s="26"/>
      <c r="D57" s="22"/>
      <c r="E57" s="100"/>
      <c r="G57" s="3"/>
      <c r="H57" s="101"/>
      <c r="I57" s="9"/>
      <c r="J57" s="99"/>
      <c r="K57" s="125"/>
      <c r="L57" s="99"/>
      <c r="M57" s="36"/>
      <c r="N57" s="37"/>
      <c r="O57" s="17"/>
      <c r="P57" s="45"/>
      <c r="Q57" s="48"/>
      <c r="R57" s="105"/>
      <c r="S57" s="77"/>
      <c r="T57" s="37"/>
      <c r="U57" s="39"/>
      <c r="V57" s="47"/>
      <c r="W57" s="105"/>
      <c r="X57" s="77"/>
      <c r="Y57" s="37"/>
      <c r="Z57" s="39"/>
      <c r="AB57" s="36"/>
      <c r="AC57" s="37"/>
      <c r="AD57" s="39"/>
      <c r="AE57" s="47"/>
      <c r="AF57" s="47"/>
      <c r="AQ57"/>
      <c r="AS57"/>
    </row>
    <row r="58" spans="1:45" x14ac:dyDescent="0.25">
      <c r="B58" s="26"/>
      <c r="D58" s="22"/>
      <c r="G58" s="3"/>
      <c r="H58" s="101"/>
      <c r="I58" s="9"/>
      <c r="J58" s="99"/>
      <c r="K58" s="81">
        <f>SUM(K4:K57)</f>
        <v>517909356.19999999</v>
      </c>
      <c r="L58" s="99"/>
      <c r="M58" s="36"/>
      <c r="N58" s="37"/>
      <c r="O58" s="17"/>
      <c r="P58" s="45"/>
      <c r="Q58" s="48"/>
      <c r="R58" s="105"/>
      <c r="S58" s="77"/>
      <c r="T58" s="37"/>
      <c r="U58" s="39"/>
      <c r="V58" s="47"/>
      <c r="W58" s="105"/>
      <c r="X58" s="77"/>
      <c r="Y58" s="37"/>
      <c r="Z58" s="39"/>
      <c r="AB58" s="36"/>
      <c r="AC58" s="37"/>
      <c r="AD58" s="39"/>
      <c r="AE58" s="47"/>
      <c r="AF58" s="47"/>
      <c r="AQ58"/>
      <c r="AS58"/>
    </row>
    <row r="59" spans="1:45" x14ac:dyDescent="0.25">
      <c r="B59" s="27"/>
      <c r="G59" s="3"/>
      <c r="H59" s="29"/>
      <c r="I59" s="9"/>
      <c r="J59" s="99"/>
      <c r="K59" s="132"/>
      <c r="L59" s="99"/>
      <c r="M59" s="36"/>
      <c r="N59" s="37"/>
      <c r="O59" s="17"/>
      <c r="P59" s="28"/>
      <c r="Q59" s="48"/>
      <c r="R59" s="105"/>
      <c r="S59" s="77"/>
      <c r="T59" s="37"/>
      <c r="U59" s="39"/>
      <c r="V59" s="47"/>
      <c r="W59" s="105"/>
      <c r="X59" s="77"/>
      <c r="Y59" s="37"/>
      <c r="Z59" s="39"/>
      <c r="AB59" s="36"/>
      <c r="AC59" s="37"/>
      <c r="AD59" s="39"/>
      <c r="AE59" s="47"/>
      <c r="AF59" s="47"/>
      <c r="AQ59"/>
      <c r="AS59"/>
    </row>
    <row r="60" spans="1:45" ht="15.75" x14ac:dyDescent="0.25">
      <c r="B60" s="27"/>
      <c r="G60" s="15" t="s">
        <v>54</v>
      </c>
      <c r="H60" s="29"/>
      <c r="I60" s="9"/>
      <c r="J60" s="99"/>
      <c r="K60" s="132"/>
      <c r="L60" s="99"/>
      <c r="M60" s="36"/>
      <c r="N60" s="37"/>
      <c r="O60" s="17"/>
      <c r="P60" s="28"/>
      <c r="Q60" s="48"/>
      <c r="R60" s="105"/>
      <c r="S60" s="77"/>
      <c r="T60" s="37"/>
      <c r="U60" s="39"/>
      <c r="V60" s="47"/>
      <c r="W60" s="105"/>
      <c r="X60" s="77"/>
      <c r="Y60" s="37"/>
      <c r="Z60" s="39"/>
      <c r="AB60" s="36"/>
      <c r="AC60" s="37"/>
      <c r="AD60" s="39"/>
      <c r="AE60" s="47"/>
      <c r="AF60" s="47"/>
      <c r="AQ60"/>
      <c r="AS60"/>
    </row>
    <row r="61" spans="1:45" x14ac:dyDescent="0.25">
      <c r="B61" s="27"/>
      <c r="F61" s="87"/>
      <c r="G61" s="3"/>
      <c r="H61" s="29"/>
      <c r="I61" s="9"/>
      <c r="J61" s="99"/>
      <c r="K61" s="132"/>
      <c r="L61" s="99"/>
      <c r="M61" s="36"/>
      <c r="N61" s="37"/>
      <c r="O61" s="17"/>
      <c r="P61" s="28"/>
      <c r="Q61" s="48"/>
      <c r="R61" s="105"/>
      <c r="S61" s="77"/>
      <c r="T61" s="37"/>
      <c r="U61" s="39"/>
      <c r="V61" s="47"/>
      <c r="W61" s="105"/>
      <c r="X61" s="77"/>
      <c r="Y61" s="37"/>
      <c r="Z61" s="39"/>
      <c r="AB61" s="36"/>
      <c r="AC61" s="37"/>
      <c r="AD61" s="39"/>
      <c r="AE61" s="47"/>
      <c r="AF61" s="47"/>
      <c r="AQ61"/>
      <c r="AS61"/>
    </row>
    <row r="62" spans="1:45" x14ac:dyDescent="0.25">
      <c r="B62" s="27"/>
      <c r="F62" s="88">
        <f t="shared" ref="F62:F72" si="23">+K62/$K$77</f>
        <v>5.3946886515923657E-2</v>
      </c>
      <c r="G62" s="3" t="s">
        <v>45</v>
      </c>
      <c r="H62" s="29">
        <v>111000</v>
      </c>
      <c r="I62" s="9">
        <v>347.98</v>
      </c>
      <c r="J62" s="99"/>
      <c r="K62" s="62">
        <f t="shared" ref="K62:K72" si="24">+I62*H62</f>
        <v>38625780</v>
      </c>
      <c r="L62" s="99"/>
      <c r="M62" s="36">
        <v>542.32000000000005</v>
      </c>
      <c r="N62" s="37">
        <f t="shared" ref="N62:N72" si="25">+I62/M62-1</f>
        <v>-0.35834931405812065</v>
      </c>
      <c r="O62" s="17">
        <f t="shared" ref="O62:O72" si="26">+RANK(N62,$N$4:$N$72)</f>
        <v>42</v>
      </c>
      <c r="P62" s="45"/>
      <c r="Q62" s="48"/>
      <c r="R62" s="105" t="str">
        <f>_xll.BDP(G62&amp;" EQUITY",$R$1)</f>
        <v>6/18/2024</v>
      </c>
      <c r="S62" s="77">
        <f>_xll.BDP(G62&amp;" EQUITY",$S$1)</f>
        <v>260.64999389648438</v>
      </c>
      <c r="T62" s="37">
        <f t="shared" ref="T62:T72" si="27">+I62/S62-1</f>
        <v>0.33504702915204465</v>
      </c>
      <c r="U62" s="39">
        <f t="shared" ref="U62:U72" si="28">+RANK(T62,$T$4:$T$72)</f>
        <v>2</v>
      </c>
      <c r="V62" s="47"/>
      <c r="W62" s="105" t="str">
        <f>_xll.BDP(G62&amp;" EQUITY",$W$1)</f>
        <v>10/31/2023</v>
      </c>
      <c r="X62" s="77">
        <f>_xll.BDP(G62&amp;" EQUITY",$X$1)</f>
        <v>144.40333557128906</v>
      </c>
      <c r="Y62" s="37">
        <f t="shared" ref="Y62:Y72" si="29">+I62/X62-1</f>
        <v>1.4097781302857038</v>
      </c>
      <c r="Z62" s="39">
        <f t="shared" ref="Z62:Z72" si="30">+RANK(Y62,$Y$4:$Y$72)</f>
        <v>2</v>
      </c>
      <c r="AB62" s="36">
        <v>379.18</v>
      </c>
      <c r="AC62" s="37">
        <f t="shared" ref="AC62:AC72" si="31">+I62/AB62-1</f>
        <v>-8.2282820823883052E-2</v>
      </c>
      <c r="AD62" s="39">
        <f t="shared" ref="AD62:AD72" si="32">+RANK(AC62,$AC$4:$AC$72)</f>
        <v>39</v>
      </c>
      <c r="AE62" s="47"/>
      <c r="AF62" s="47"/>
      <c r="AQ62"/>
      <c r="AS62"/>
    </row>
    <row r="63" spans="1:45" x14ac:dyDescent="0.25">
      <c r="B63" s="27"/>
      <c r="F63" s="88">
        <f t="shared" si="23"/>
        <v>4.4516599723174996E-2</v>
      </c>
      <c r="G63" s="3" t="s">
        <v>44</v>
      </c>
      <c r="H63" s="29">
        <v>410000</v>
      </c>
      <c r="I63" s="9">
        <v>77.740799999999993</v>
      </c>
      <c r="J63" s="99"/>
      <c r="K63" s="62">
        <f t="shared" si="24"/>
        <v>31873727.999999996</v>
      </c>
      <c r="L63" s="99"/>
      <c r="M63" s="36">
        <v>76.959999999999994</v>
      </c>
      <c r="N63" s="37">
        <f t="shared" si="25"/>
        <v>1.0145530145530213E-2</v>
      </c>
      <c r="O63" s="82">
        <f t="shared" si="26"/>
        <v>10</v>
      </c>
      <c r="P63" s="45"/>
      <c r="Q63" s="48"/>
      <c r="R63" s="105" t="str">
        <f>_xll.BDP(G63&amp;" EQUITY",$R$1)</f>
        <v>6/25/2024</v>
      </c>
      <c r="S63" s="77">
        <f>_xll.BDP(G63&amp;" EQUITY",$S$1)</f>
        <v>93.43</v>
      </c>
      <c r="T63" s="37">
        <f t="shared" si="27"/>
        <v>-0.1679246494701917</v>
      </c>
      <c r="U63" s="106">
        <f t="shared" si="28"/>
        <v>20</v>
      </c>
      <c r="V63" s="47"/>
      <c r="W63" s="105" t="str">
        <f>_xll.BDP(G63&amp;" EQUITY",$W$1)</f>
        <v>10/27/2023</v>
      </c>
      <c r="X63" s="77">
        <f>_xll.BDP(G63&amp;" EQUITY",$X$1)</f>
        <v>74.05</v>
      </c>
      <c r="Y63" s="37">
        <f t="shared" si="29"/>
        <v>4.984199864956107E-2</v>
      </c>
      <c r="Z63" s="107">
        <f t="shared" si="30"/>
        <v>32</v>
      </c>
      <c r="AB63" s="36">
        <v>66.47</v>
      </c>
      <c r="AC63" s="37">
        <f t="shared" si="31"/>
        <v>0.16956220851511961</v>
      </c>
      <c r="AD63" s="39">
        <f t="shared" si="32"/>
        <v>14</v>
      </c>
      <c r="AE63" s="47"/>
      <c r="AF63" s="47"/>
      <c r="AQ63"/>
      <c r="AS63"/>
    </row>
    <row r="64" spans="1:45" x14ac:dyDescent="0.25">
      <c r="B64" s="27"/>
      <c r="F64" s="88">
        <f t="shared" si="23"/>
        <v>3.6442219067595219E-2</v>
      </c>
      <c r="G64" s="3" t="s">
        <v>48</v>
      </c>
      <c r="H64" s="29">
        <v>350000</v>
      </c>
      <c r="I64" s="9">
        <v>74.55</v>
      </c>
      <c r="J64" s="99"/>
      <c r="K64" s="62">
        <f t="shared" si="24"/>
        <v>26092500</v>
      </c>
      <c r="L64" s="99"/>
      <c r="M64" s="36">
        <v>77.11</v>
      </c>
      <c r="N64" s="37">
        <f t="shared" si="25"/>
        <v>-3.3199325638697985E-2</v>
      </c>
      <c r="O64" s="102">
        <f t="shared" si="26"/>
        <v>15</v>
      </c>
      <c r="P64" s="45"/>
      <c r="Q64" s="48"/>
      <c r="R64" s="105" t="str">
        <f>_xll.BDP(G64&amp;" EQUITY",$R$1)</f>
        <v>5/16/2024</v>
      </c>
      <c r="S64" s="77">
        <f>_xll.BDP(G64&amp;" EQUITY",$S$1)</f>
        <v>78.61</v>
      </c>
      <c r="T64" s="37">
        <f t="shared" si="27"/>
        <v>-5.1647373107747141E-2</v>
      </c>
      <c r="U64" s="106">
        <f t="shared" si="28"/>
        <v>10</v>
      </c>
      <c r="V64" s="47"/>
      <c r="W64" s="105" t="str">
        <f>_xll.BDP(G64&amp;" EQUITY",$W$1)</f>
        <v>10/6/2023</v>
      </c>
      <c r="X64" s="77">
        <f>_xll.BDP(G64&amp;" EQUITY",$X$1)</f>
        <v>65.180000000000007</v>
      </c>
      <c r="Y64" s="37">
        <f t="shared" si="29"/>
        <v>0.14375575329855761</v>
      </c>
      <c r="Z64" s="107">
        <f t="shared" si="30"/>
        <v>26</v>
      </c>
      <c r="AB64" s="36">
        <v>67.45</v>
      </c>
      <c r="AC64" s="37">
        <f t="shared" si="31"/>
        <v>0.10526315789473673</v>
      </c>
      <c r="AD64" s="39">
        <f t="shared" si="32"/>
        <v>18</v>
      </c>
      <c r="AE64" s="47"/>
      <c r="AF64" s="47"/>
      <c r="AQ64"/>
      <c r="AS64"/>
    </row>
    <row r="65" spans="1:49" x14ac:dyDescent="0.25">
      <c r="B65" s="27"/>
      <c r="F65" s="88">
        <f t="shared" si="23"/>
        <v>3.3435919305479726E-2</v>
      </c>
      <c r="G65" s="3" t="s">
        <v>47</v>
      </c>
      <c r="H65" s="29">
        <v>700000</v>
      </c>
      <c r="I65" s="9">
        <v>34.200000000000003</v>
      </c>
      <c r="J65" s="99"/>
      <c r="K65" s="155">
        <f t="shared" si="24"/>
        <v>23940000.000000004</v>
      </c>
      <c r="L65" s="99"/>
      <c r="M65" s="36">
        <v>39.049999999999997</v>
      </c>
      <c r="N65" s="37">
        <f t="shared" si="25"/>
        <v>-0.12419974391805366</v>
      </c>
      <c r="O65" s="102">
        <f t="shared" si="26"/>
        <v>19</v>
      </c>
      <c r="P65" s="45"/>
      <c r="Q65" s="48"/>
      <c r="R65" s="105" t="str">
        <f>_xll.BDP(G65&amp;" EQUITY",$R$1)</f>
        <v>5/17/2024</v>
      </c>
      <c r="S65" s="77">
        <f>_xll.BDP(G65&amp;" EQUITY",$S$1)</f>
        <v>42.49</v>
      </c>
      <c r="T65" s="37">
        <f t="shared" si="27"/>
        <v>-0.19510473052482935</v>
      </c>
      <c r="U65" s="40">
        <f t="shared" si="28"/>
        <v>24</v>
      </c>
      <c r="V65" s="47"/>
      <c r="W65" s="105" t="str">
        <f>_xll.BDP(G65&amp;" EQUITY",$W$1)</f>
        <v>10/27/2023</v>
      </c>
      <c r="X65" s="77">
        <f>_xll.BDP(G65&amp;" EQUITY",$X$1)</f>
        <v>31.355</v>
      </c>
      <c r="Y65" s="37">
        <f t="shared" si="29"/>
        <v>9.0735129963323224E-2</v>
      </c>
      <c r="Z65" s="39">
        <f t="shared" si="30"/>
        <v>31</v>
      </c>
      <c r="AB65" s="36">
        <v>29.48</v>
      </c>
      <c r="AC65" s="37">
        <f t="shared" si="31"/>
        <v>0.16010854816824982</v>
      </c>
      <c r="AD65" s="40">
        <f t="shared" si="32"/>
        <v>16</v>
      </c>
      <c r="AE65" s="47"/>
      <c r="AF65" s="47"/>
      <c r="AQ65"/>
      <c r="AS65"/>
    </row>
    <row r="66" spans="1:49" x14ac:dyDescent="0.25">
      <c r="B66" s="27"/>
      <c r="F66" s="88">
        <f t="shared" si="23"/>
        <v>2.6662142837995315E-2</v>
      </c>
      <c r="G66" s="3" t="s">
        <v>51</v>
      </c>
      <c r="H66" s="101">
        <v>230000</v>
      </c>
      <c r="I66" s="9">
        <v>83</v>
      </c>
      <c r="J66" s="99"/>
      <c r="K66" s="62">
        <f t="shared" si="24"/>
        <v>19090000</v>
      </c>
      <c r="L66" s="99"/>
      <c r="M66" s="36">
        <v>111.96</v>
      </c>
      <c r="N66" s="37">
        <f t="shared" si="25"/>
        <v>-0.25866380850303672</v>
      </c>
      <c r="O66" s="17">
        <f t="shared" si="26"/>
        <v>31</v>
      </c>
      <c r="P66" s="45"/>
      <c r="Q66" s="48"/>
      <c r="R66" s="105" t="str">
        <f>_xll.BDP(G66&amp;" EQUITY",$R$1)</f>
        <v>2/28/2024</v>
      </c>
      <c r="S66" s="77">
        <f>_xll.BDP(G66&amp;" EQUITY",$S$1)</f>
        <v>103.52</v>
      </c>
      <c r="T66" s="37">
        <f t="shared" si="27"/>
        <v>-0.19822256568778973</v>
      </c>
      <c r="U66" s="39">
        <f t="shared" si="28"/>
        <v>25</v>
      </c>
      <c r="V66" s="47"/>
      <c r="W66" s="105" t="str">
        <f>_xll.BDP(G66&amp;" EQUITY",$W$1)</f>
        <v>10/31/2023</v>
      </c>
      <c r="X66" s="77">
        <f>_xll.BDP(G66&amp;" EQUITY",$X$1)</f>
        <v>63.8</v>
      </c>
      <c r="Y66" s="37">
        <f t="shared" si="29"/>
        <v>0.30094043887147337</v>
      </c>
      <c r="Z66" s="106">
        <f t="shared" si="30"/>
        <v>15</v>
      </c>
      <c r="AB66" s="36">
        <v>140.78</v>
      </c>
      <c r="AC66" s="123">
        <f t="shared" si="31"/>
        <v>-0.41042761755931245</v>
      </c>
      <c r="AD66" s="107">
        <f t="shared" si="32"/>
        <v>52</v>
      </c>
      <c r="AE66" s="47"/>
      <c r="AF66" s="47"/>
      <c r="AQ66"/>
      <c r="AS66"/>
    </row>
    <row r="67" spans="1:49" x14ac:dyDescent="0.25">
      <c r="B67" s="27"/>
      <c r="F67" s="25">
        <f t="shared" si="23"/>
        <v>2.1989773395867E-2</v>
      </c>
      <c r="G67" s="3" t="s">
        <v>112</v>
      </c>
      <c r="H67" s="101">
        <f>135000+45000</f>
        <v>180000</v>
      </c>
      <c r="I67" s="9">
        <v>87.47</v>
      </c>
      <c r="J67" s="99"/>
      <c r="K67" s="62">
        <f t="shared" si="24"/>
        <v>15744600</v>
      </c>
      <c r="L67" s="99"/>
      <c r="M67" s="36">
        <v>55.5</v>
      </c>
      <c r="N67" s="37">
        <f t="shared" si="25"/>
        <v>0.57603603603603593</v>
      </c>
      <c r="O67" s="82">
        <f t="shared" si="26"/>
        <v>2</v>
      </c>
      <c r="P67" s="45" t="s">
        <v>61</v>
      </c>
      <c r="Q67" s="48"/>
      <c r="R67" s="105" t="str">
        <f>_xll.BDP(G67&amp;" EQUITY",$R$1)</f>
        <v>4/12/2024</v>
      </c>
      <c r="S67" s="84">
        <f>_xll.BDP(G67&amp;" EQUITY",$S$1)</f>
        <v>98.97</v>
      </c>
      <c r="T67" s="37">
        <f t="shared" si="27"/>
        <v>-0.11619682732141057</v>
      </c>
      <c r="U67" s="40">
        <f t="shared" si="28"/>
        <v>19</v>
      </c>
      <c r="V67" s="47"/>
      <c r="W67" s="105" t="str">
        <f>_xll.BDP(G67&amp;" EQUITY",$W$1)</f>
        <v>6/26/2023</v>
      </c>
      <c r="X67" s="77">
        <f>_xll.BDP(G67&amp;" EQUITY",$X$1)</f>
        <v>77.319999999999993</v>
      </c>
      <c r="Y67" s="37">
        <f t="shared" si="29"/>
        <v>0.13127263321262306</v>
      </c>
      <c r="Z67" s="106">
        <f t="shared" si="30"/>
        <v>27</v>
      </c>
      <c r="AB67" s="38">
        <v>58.56</v>
      </c>
      <c r="AC67" s="37">
        <f t="shared" si="31"/>
        <v>0.49368169398907091</v>
      </c>
      <c r="AD67" s="106">
        <f t="shared" si="32"/>
        <v>7</v>
      </c>
      <c r="AE67" s="47"/>
      <c r="AF67" s="47"/>
      <c r="AQ67"/>
      <c r="AS67"/>
    </row>
    <row r="68" spans="1:49" x14ac:dyDescent="0.25">
      <c r="B68" s="27"/>
      <c r="F68" s="88">
        <f t="shared" si="23"/>
        <v>1.7025922067395595E-2</v>
      </c>
      <c r="G68" s="3" t="s">
        <v>46</v>
      </c>
      <c r="H68" s="29">
        <f>260000-40000+50000</f>
        <v>270000</v>
      </c>
      <c r="I68" s="9">
        <v>45.15</v>
      </c>
      <c r="J68" s="99"/>
      <c r="K68" s="62">
        <f t="shared" si="24"/>
        <v>12190500</v>
      </c>
      <c r="L68" s="99"/>
      <c r="M68" s="36">
        <v>54.56</v>
      </c>
      <c r="N68" s="37">
        <f t="shared" si="25"/>
        <v>-0.17247067448680353</v>
      </c>
      <c r="O68" s="17">
        <f t="shared" si="26"/>
        <v>24</v>
      </c>
      <c r="P68" s="45"/>
      <c r="Q68" s="48"/>
      <c r="R68" s="105" t="str">
        <f>_xll.BDP(G68&amp;" EQUITY",$R$1)</f>
        <v>5/15/2024</v>
      </c>
      <c r="S68" s="77">
        <f>_xll.BDP(G68&amp;" EQUITY",$S$1)</f>
        <v>48.32</v>
      </c>
      <c r="T68" s="37">
        <f t="shared" si="27"/>
        <v>-6.5604304635761612E-2</v>
      </c>
      <c r="U68" s="39">
        <f t="shared" si="28"/>
        <v>11</v>
      </c>
      <c r="V68" s="47"/>
      <c r="W68" s="105" t="str">
        <f>_xll.BDP(G68&amp;" EQUITY",$W$1)</f>
        <v>10/25/2023</v>
      </c>
      <c r="X68" s="77">
        <f>_xll.BDP(G68&amp;" EQUITY",$X$1)</f>
        <v>33.97</v>
      </c>
      <c r="Y68" s="37">
        <f t="shared" si="29"/>
        <v>0.32911392405063289</v>
      </c>
      <c r="Z68" s="39">
        <f t="shared" si="30"/>
        <v>11</v>
      </c>
      <c r="AB68" s="36">
        <v>41.82</v>
      </c>
      <c r="AC68" s="37">
        <f t="shared" si="31"/>
        <v>7.9626972740315605E-2</v>
      </c>
      <c r="AD68" s="40">
        <f t="shared" si="32"/>
        <v>22</v>
      </c>
      <c r="AE68" s="47"/>
      <c r="AF68" s="47"/>
      <c r="AQ68"/>
      <c r="AS68"/>
    </row>
    <row r="69" spans="1:49" x14ac:dyDescent="0.25">
      <c r="A69" s="21"/>
      <c r="B69" s="26"/>
      <c r="C69" s="17"/>
      <c r="D69" s="24"/>
      <c r="E69" s="85"/>
      <c r="F69" s="88">
        <f t="shared" si="23"/>
        <v>1.5019068581595933E-2</v>
      </c>
      <c r="G69" s="3" t="s">
        <v>49</v>
      </c>
      <c r="H69" s="101">
        <v>160000</v>
      </c>
      <c r="I69" s="9">
        <v>67.209999999999994</v>
      </c>
      <c r="J69" s="99"/>
      <c r="K69" s="62">
        <f t="shared" si="24"/>
        <v>10753599.999999998</v>
      </c>
      <c r="L69" s="99"/>
      <c r="M69" s="36">
        <v>94.36</v>
      </c>
      <c r="N69" s="37">
        <f t="shared" si="25"/>
        <v>-0.28772785078423069</v>
      </c>
      <c r="O69" s="17">
        <f t="shared" si="26"/>
        <v>38</v>
      </c>
      <c r="P69" s="45"/>
      <c r="Q69" s="48"/>
      <c r="R69" s="105" t="str">
        <f>_xll.BDP(G69&amp;" EQUITY",$R$1)</f>
        <v>7/31/2023</v>
      </c>
      <c r="S69" s="77">
        <f>_xll.BDP(G69&amp;" EQUITY",$S$1)</f>
        <v>88.141400000000004</v>
      </c>
      <c r="T69" s="37">
        <f t="shared" si="27"/>
        <v>-0.23747523865062281</v>
      </c>
      <c r="U69" s="39">
        <f t="shared" si="28"/>
        <v>27</v>
      </c>
      <c r="V69" s="47"/>
      <c r="W69" s="105" t="str">
        <f>_xll.BDP(G69&amp;" EQUITY",$W$1)</f>
        <v>10/27/2023</v>
      </c>
      <c r="X69" s="77">
        <f>_xll.BDP(G69&amp;" EQUITY",$X$1)</f>
        <v>66.745699999999999</v>
      </c>
      <c r="Y69" s="37">
        <f t="shared" si="29"/>
        <v>6.9562533616396305E-3</v>
      </c>
      <c r="Z69" s="107">
        <f t="shared" si="30"/>
        <v>35</v>
      </c>
      <c r="AB69" s="36">
        <v>71.37</v>
      </c>
      <c r="AC69" s="37">
        <f t="shared" si="31"/>
        <v>-5.8287795992714164E-2</v>
      </c>
      <c r="AD69" s="39">
        <f t="shared" si="32"/>
        <v>36</v>
      </c>
      <c r="AE69" s="47"/>
      <c r="AF69" s="47"/>
      <c r="AQ69"/>
      <c r="AS69"/>
    </row>
    <row r="70" spans="1:49" x14ac:dyDescent="0.25">
      <c r="B70" s="27"/>
      <c r="F70" s="88">
        <f t="shared" si="23"/>
        <v>1.3534983040493064E-2</v>
      </c>
      <c r="G70" s="3" t="s">
        <v>50</v>
      </c>
      <c r="H70" s="29">
        <v>220000</v>
      </c>
      <c r="I70" s="9">
        <v>44.05</v>
      </c>
      <c r="J70" s="99"/>
      <c r="K70" s="62">
        <f t="shared" si="24"/>
        <v>9691000</v>
      </c>
      <c r="L70" s="99"/>
      <c r="M70" s="38">
        <v>61.45</v>
      </c>
      <c r="N70" s="37">
        <f t="shared" si="25"/>
        <v>-0.28315703824247362</v>
      </c>
      <c r="O70" s="17">
        <f t="shared" si="26"/>
        <v>36</v>
      </c>
      <c r="P70" s="45"/>
      <c r="Q70" s="7"/>
      <c r="R70" s="105" t="str">
        <f>_xll.BDP(G70&amp;" EQUITY",$R$1)</f>
        <v>2/9/2024</v>
      </c>
      <c r="S70" s="77">
        <f>_xll.BDP(G70&amp;" EQUITY",$S$1)</f>
        <v>67.489998</v>
      </c>
      <c r="T70" s="37">
        <f t="shared" si="27"/>
        <v>-0.34731069335636966</v>
      </c>
      <c r="U70" s="39">
        <f t="shared" si="28"/>
        <v>40</v>
      </c>
      <c r="V70" s="47"/>
      <c r="W70" s="105" t="str">
        <f>_xll.BDP(G70&amp;" EQUITY",$W$1)</f>
        <v>8/18/2023</v>
      </c>
      <c r="X70" s="77">
        <f>_xll.BDP(G70&amp;" EQUITY",$X$1)</f>
        <v>48.700001</v>
      </c>
      <c r="Y70" s="37">
        <f t="shared" si="29"/>
        <v>-9.5482564774485357E-2</v>
      </c>
      <c r="Z70" s="39">
        <f t="shared" si="30"/>
        <v>45</v>
      </c>
      <c r="AB70" s="38">
        <v>57.56</v>
      </c>
      <c r="AC70" s="37">
        <f t="shared" si="31"/>
        <v>-0.23471160528144552</v>
      </c>
      <c r="AD70" s="39">
        <f t="shared" si="32"/>
        <v>46</v>
      </c>
      <c r="AE70" s="47"/>
      <c r="AF70" s="47"/>
      <c r="AQ70"/>
      <c r="AS70"/>
    </row>
    <row r="71" spans="1:49" x14ac:dyDescent="0.25">
      <c r="B71" s="27"/>
      <c r="F71" s="88">
        <f t="shared" si="23"/>
        <v>7.8085581138265065E-3</v>
      </c>
      <c r="G71" s="3" t="s">
        <v>56</v>
      </c>
      <c r="H71" s="29">
        <v>35000</v>
      </c>
      <c r="I71" s="9">
        <v>159.74</v>
      </c>
      <c r="J71" s="99"/>
      <c r="K71" s="62">
        <f t="shared" si="24"/>
        <v>5590900</v>
      </c>
      <c r="L71" s="99"/>
      <c r="M71" s="36">
        <v>189.34</v>
      </c>
      <c r="N71" s="37">
        <f t="shared" si="25"/>
        <v>-0.15633252350269355</v>
      </c>
      <c r="O71" s="102">
        <f t="shared" si="26"/>
        <v>22</v>
      </c>
      <c r="P71" s="45"/>
      <c r="Q71" s="48"/>
      <c r="R71" s="105" t="str">
        <f>_xll.BDP(G71&amp;" EQUITY",$R$1)</f>
        <v>6/25/2024</v>
      </c>
      <c r="S71" s="77">
        <f>_xll.BDP(G71&amp;" EQUITY",$S$1)</f>
        <v>173.49</v>
      </c>
      <c r="T71" s="37">
        <f t="shared" si="27"/>
        <v>-7.925528848925012E-2</v>
      </c>
      <c r="U71" s="40">
        <f t="shared" si="28"/>
        <v>14</v>
      </c>
      <c r="V71" s="47"/>
      <c r="W71" s="105" t="str">
        <f>_xll.BDP(G71&amp;" EQUITY",$W$1)</f>
        <v>10/31/2023</v>
      </c>
      <c r="X71" s="77">
        <f>_xll.BDP(G71&amp;" EQUITY",$X$1)</f>
        <v>142.51</v>
      </c>
      <c r="Y71" s="37">
        <f t="shared" si="29"/>
        <v>0.1209037962248265</v>
      </c>
      <c r="Z71" s="39">
        <f t="shared" si="30"/>
        <v>28</v>
      </c>
      <c r="AB71" s="36">
        <v>169.69</v>
      </c>
      <c r="AC71" s="37">
        <f t="shared" si="31"/>
        <v>-5.8636336849549164E-2</v>
      </c>
      <c r="AD71" s="39">
        <f t="shared" si="32"/>
        <v>37</v>
      </c>
      <c r="AE71" s="47"/>
      <c r="AF71" s="47"/>
      <c r="AQ71"/>
      <c r="AS71"/>
    </row>
    <row r="72" spans="1:49" x14ac:dyDescent="0.25">
      <c r="B72" s="27"/>
      <c r="F72" s="88">
        <f t="shared" si="23"/>
        <v>6.2772656356925062E-3</v>
      </c>
      <c r="G72" s="3" t="s">
        <v>52</v>
      </c>
      <c r="H72" s="29">
        <v>50000</v>
      </c>
      <c r="I72" s="9">
        <v>89.89</v>
      </c>
      <c r="J72" s="99"/>
      <c r="K72" s="62">
        <f t="shared" si="24"/>
        <v>4494500</v>
      </c>
      <c r="L72" s="99"/>
      <c r="M72" s="36">
        <v>117.3</v>
      </c>
      <c r="N72" s="37">
        <f t="shared" si="25"/>
        <v>-0.23367433930093773</v>
      </c>
      <c r="O72" s="17">
        <f t="shared" si="26"/>
        <v>28</v>
      </c>
      <c r="P72" s="45"/>
      <c r="Q72" s="48"/>
      <c r="R72" s="105" t="str">
        <f>_xll.BDP(G72&amp;" EQUITY",$R$1)</f>
        <v>7/19/2023</v>
      </c>
      <c r="S72" s="77">
        <f>_xll.BDP(G72&amp;" EQUITY",$S$1)</f>
        <v>99.68</v>
      </c>
      <c r="T72" s="37">
        <f t="shared" si="27"/>
        <v>-9.8214285714285809E-2</v>
      </c>
      <c r="U72" s="39">
        <f t="shared" si="28"/>
        <v>17</v>
      </c>
      <c r="V72" s="47"/>
      <c r="W72" s="105" t="str">
        <f>_xll.BDP(G72&amp;" EQUITY",$W$1)</f>
        <v>10/30/2023</v>
      </c>
      <c r="X72" s="77">
        <f>_xll.BDP(G72&amp;" EQUITY",$X$1)</f>
        <v>66.2</v>
      </c>
      <c r="Y72" s="37">
        <f t="shared" si="29"/>
        <v>0.35785498489425982</v>
      </c>
      <c r="Z72" s="107">
        <f t="shared" si="30"/>
        <v>10</v>
      </c>
      <c r="AB72" s="36">
        <v>113.84</v>
      </c>
      <c r="AC72" s="37">
        <f t="shared" si="31"/>
        <v>-0.21038299367533386</v>
      </c>
      <c r="AD72" s="39">
        <f t="shared" si="32"/>
        <v>45</v>
      </c>
      <c r="AE72" s="47"/>
      <c r="AF72" s="47"/>
      <c r="AQ72"/>
      <c r="AS72"/>
    </row>
    <row r="73" spans="1:49" x14ac:dyDescent="0.25">
      <c r="B73" s="27"/>
      <c r="G73" s="3"/>
      <c r="H73" s="29"/>
      <c r="I73" s="9"/>
      <c r="J73" s="99"/>
      <c r="K73" s="125"/>
      <c r="M73" s="43"/>
      <c r="N73" s="46"/>
      <c r="O73" s="41"/>
      <c r="P73" s="44"/>
      <c r="Q73" s="48"/>
      <c r="R73" s="97"/>
      <c r="S73" s="76"/>
      <c r="T73" s="46"/>
      <c r="U73" s="94"/>
      <c r="V73" s="47"/>
      <c r="W73" s="97"/>
      <c r="X73" s="76"/>
      <c r="Y73" s="46"/>
      <c r="Z73" s="94"/>
      <c r="AB73" s="43"/>
      <c r="AC73" s="46"/>
      <c r="AD73" s="94"/>
      <c r="AE73" s="47"/>
      <c r="AF73" s="47"/>
      <c r="AQ73"/>
      <c r="AS73"/>
    </row>
    <row r="74" spans="1:49" x14ac:dyDescent="0.25">
      <c r="B74" s="27"/>
      <c r="G74" s="3"/>
      <c r="H74" s="29"/>
      <c r="I74" s="9"/>
      <c r="J74" s="67">
        <f>+K74/K77</f>
        <v>0.27665933828503952</v>
      </c>
      <c r="K74" s="16">
        <f>SUM(K62:K73)</f>
        <v>198087108</v>
      </c>
      <c r="L74" s="10"/>
      <c r="M74" s="5"/>
      <c r="N74" s="6"/>
      <c r="O74" s="7"/>
      <c r="Q74" s="67"/>
      <c r="V74" s="47"/>
      <c r="Y74" s="120"/>
      <c r="Z74" s="120"/>
      <c r="AB74" s="5"/>
      <c r="AC74" s="6"/>
      <c r="AD74" s="7"/>
      <c r="AE74" s="47"/>
      <c r="AF74" s="47"/>
      <c r="AQ74"/>
      <c r="AS74"/>
    </row>
    <row r="75" spans="1:49" x14ac:dyDescent="0.25">
      <c r="B75" s="27"/>
      <c r="G75" s="3"/>
      <c r="H75" s="29"/>
      <c r="I75" s="9"/>
      <c r="K75" s="132"/>
      <c r="M75" s="5"/>
      <c r="N75" s="6"/>
      <c r="O75" s="7"/>
      <c r="Q75" s="48"/>
      <c r="V75" s="47"/>
      <c r="Y75" s="7"/>
      <c r="Z75" s="7"/>
      <c r="AB75" s="5"/>
      <c r="AC75" s="6"/>
      <c r="AD75" s="7"/>
      <c r="AE75" s="47"/>
      <c r="AF75" s="47"/>
      <c r="AQ75"/>
      <c r="AS75"/>
    </row>
    <row r="76" spans="1:49" x14ac:dyDescent="0.25">
      <c r="B76" s="27"/>
      <c r="G76" s="3"/>
      <c r="H76" s="29"/>
      <c r="I76" s="9"/>
      <c r="K76" s="132"/>
      <c r="M76" s="5"/>
      <c r="N76" s="6"/>
      <c r="O76" s="7"/>
      <c r="Q76" s="48"/>
      <c r="V76" s="47"/>
      <c r="Y76" s="7"/>
      <c r="Z76" s="7"/>
      <c r="AB76" s="5"/>
      <c r="AC76" s="6"/>
      <c r="AD76" s="7"/>
      <c r="AE76" s="47"/>
      <c r="AF76" s="47"/>
      <c r="AQ76"/>
      <c r="AS76"/>
    </row>
    <row r="77" spans="1:49" x14ac:dyDescent="0.25">
      <c r="B77" s="27"/>
      <c r="G77" s="31"/>
      <c r="H77" s="32"/>
      <c r="I77" s="33"/>
      <c r="J77" s="99"/>
      <c r="K77" s="14">
        <f>+K74+K58</f>
        <v>715996464.20000005</v>
      </c>
      <c r="L77" s="190"/>
      <c r="M77" s="903" t="s">
        <v>53</v>
      </c>
      <c r="N77" s="904"/>
      <c r="O77" s="905"/>
      <c r="Q77" s="48"/>
      <c r="V77" s="47"/>
      <c r="Y77" s="7"/>
      <c r="Z77" s="7"/>
      <c r="AB77" s="903" t="s">
        <v>53</v>
      </c>
      <c r="AC77" s="904"/>
      <c r="AD77" s="905"/>
      <c r="AE77" s="47"/>
      <c r="AF77" s="47"/>
      <c r="AQ77"/>
      <c r="AS77"/>
    </row>
    <row r="78" spans="1:49" x14ac:dyDescent="0.25">
      <c r="B78" s="27"/>
      <c r="G78" s="3"/>
      <c r="H78" s="4"/>
      <c r="I78" s="9"/>
      <c r="M78" s="5"/>
      <c r="N78" s="6"/>
      <c r="O78" s="7"/>
      <c r="Q78" s="48"/>
      <c r="V78" s="47"/>
      <c r="Y78" s="7"/>
      <c r="Z78" s="7"/>
      <c r="AB78" s="5"/>
      <c r="AC78" s="6"/>
      <c r="AD78" s="7"/>
      <c r="AE78" s="47"/>
      <c r="AF78" s="47"/>
      <c r="AQ78"/>
      <c r="AS78"/>
    </row>
    <row r="79" spans="1:49" x14ac:dyDescent="0.25">
      <c r="B79" s="27"/>
      <c r="G79" s="3"/>
      <c r="H79" s="4"/>
      <c r="M79" s="5"/>
      <c r="N79" s="6"/>
      <c r="O79" s="7"/>
      <c r="Q79" s="48"/>
      <c r="V79" s="47"/>
      <c r="Y79" s="7"/>
      <c r="Z79" s="7"/>
      <c r="AB79" s="5"/>
      <c r="AC79" s="6"/>
      <c r="AD79" s="7"/>
      <c r="AE79" s="47"/>
      <c r="AF79" s="47"/>
      <c r="AQ79"/>
      <c r="AS79"/>
    </row>
    <row r="80" spans="1:49" x14ac:dyDescent="0.25">
      <c r="B80" s="27"/>
      <c r="G80" s="3"/>
      <c r="H80" s="4"/>
      <c r="K80" s="60"/>
      <c r="L80" s="60"/>
      <c r="M80" s="60"/>
      <c r="N80" s="60"/>
      <c r="O80" s="60"/>
      <c r="P80" s="60"/>
      <c r="Q80" s="60"/>
      <c r="W80" s="5"/>
      <c r="X80" s="6"/>
      <c r="Y80" s="7"/>
      <c r="AA80" s="48"/>
      <c r="AF80" s="47"/>
      <c r="AN80" s="7"/>
      <c r="AO80" s="47"/>
      <c r="AP80" s="47"/>
      <c r="AR80" s="7"/>
      <c r="AT80" s="48"/>
      <c r="AU80" s="48"/>
      <c r="AV80" s="47"/>
      <c r="AW80" s="47"/>
    </row>
    <row r="81" spans="2:49" x14ac:dyDescent="0.25">
      <c r="B81" s="27"/>
      <c r="G81" s="3"/>
      <c r="H81" s="4"/>
      <c r="I81" s="19" t="s">
        <v>59</v>
      </c>
      <c r="W81" s="5"/>
      <c r="X81" s="6"/>
      <c r="Y81" s="7"/>
      <c r="AA81" s="48"/>
      <c r="AF81" s="47"/>
      <c r="AN81" s="7"/>
      <c r="AO81" s="47"/>
      <c r="AP81" s="47"/>
      <c r="AR81" s="7"/>
      <c r="AT81" s="48"/>
      <c r="AU81" s="48"/>
      <c r="AV81" s="47"/>
      <c r="AW81" s="47"/>
    </row>
    <row r="82" spans="2:49" x14ac:dyDescent="0.25">
      <c r="B82" s="27"/>
      <c r="G82" s="3"/>
      <c r="H82" s="4"/>
      <c r="I82" s="19" t="s">
        <v>60</v>
      </c>
      <c r="W82" s="5"/>
      <c r="X82" s="6"/>
      <c r="Y82" s="7"/>
      <c r="AA82" s="48"/>
      <c r="AF82" s="47"/>
      <c r="AN82" s="7"/>
      <c r="AO82" s="47"/>
      <c r="AP82" s="47"/>
      <c r="AR82" s="7"/>
      <c r="AT82" s="48"/>
      <c r="AU82" s="48"/>
      <c r="AV82" s="47"/>
      <c r="AW82" s="47"/>
    </row>
    <row r="83" spans="2:49" x14ac:dyDescent="0.25">
      <c r="B83" s="27"/>
      <c r="G83" s="3"/>
      <c r="H83" s="4"/>
      <c r="I83" s="20">
        <v>-7.1499999999999994E-2</v>
      </c>
      <c r="W83" s="5"/>
      <c r="X83" s="6"/>
      <c r="Y83" s="7"/>
      <c r="AA83" s="48"/>
      <c r="AF83" s="47"/>
      <c r="AN83" s="7"/>
      <c r="AO83" s="47"/>
      <c r="AP83" s="47"/>
      <c r="AR83" s="7"/>
      <c r="AT83" s="48"/>
      <c r="AU83" s="48"/>
      <c r="AV83" s="47"/>
      <c r="AW83" s="47"/>
    </row>
    <row r="84" spans="2:49" x14ac:dyDescent="0.25">
      <c r="B84" s="27"/>
      <c r="G84" s="3"/>
      <c r="H84" s="4"/>
      <c r="I84" s="9"/>
      <c r="W84" s="5"/>
      <c r="X84" s="6"/>
      <c r="Y84" s="7"/>
      <c r="AA84" s="48"/>
      <c r="AF84" s="47"/>
      <c r="AN84" s="7"/>
      <c r="AO84" s="47"/>
      <c r="AP84" s="47"/>
      <c r="AR84" s="7"/>
      <c r="AT84" s="48"/>
      <c r="AU84" s="48"/>
      <c r="AV84" s="47"/>
      <c r="AW84" s="47"/>
    </row>
    <row r="85" spans="2:49" x14ac:dyDescent="0.25">
      <c r="B85" s="27"/>
      <c r="G85" s="2"/>
      <c r="W85" s="5"/>
      <c r="X85" s="6"/>
      <c r="Y85" s="7"/>
      <c r="AA85" s="48"/>
      <c r="AF85" s="47"/>
      <c r="AN85" s="7"/>
      <c r="AO85" s="47"/>
      <c r="AP85" s="47"/>
      <c r="AR85" s="7"/>
      <c r="AT85" s="48"/>
      <c r="AU85" s="48"/>
      <c r="AV85" s="47"/>
      <c r="AW85" s="47"/>
    </row>
    <row r="86" spans="2:49" x14ac:dyDescent="0.25">
      <c r="B86" s="27"/>
      <c r="G86" s="2"/>
      <c r="K86" s="5"/>
      <c r="L86" s="5"/>
      <c r="M86" s="5"/>
      <c r="N86" s="5"/>
      <c r="O86" s="5"/>
      <c r="P86" s="5"/>
      <c r="Q86" s="5"/>
      <c r="W86" s="5"/>
      <c r="X86" s="6"/>
      <c r="Y86" s="7"/>
      <c r="AA86" s="48"/>
      <c r="AF86" s="47"/>
      <c r="AN86" s="7"/>
      <c r="AO86" s="47"/>
      <c r="AP86" s="47"/>
      <c r="AR86" s="7"/>
      <c r="AT86" s="48"/>
      <c r="AU86" s="48"/>
      <c r="AV86" s="47"/>
      <c r="AW86" s="47"/>
    </row>
    <row r="87" spans="2:49" x14ac:dyDescent="0.25">
      <c r="B87" s="27"/>
      <c r="G87" s="2"/>
      <c r="K87" s="5"/>
      <c r="L87" s="5"/>
      <c r="M87" s="5"/>
      <c r="N87" s="5"/>
      <c r="O87" s="5"/>
      <c r="P87" s="5"/>
      <c r="Q87" s="5"/>
      <c r="W87" s="5"/>
      <c r="X87" s="6"/>
      <c r="Y87" s="7"/>
      <c r="AA87" s="48"/>
      <c r="AF87" s="47"/>
      <c r="AN87" s="7"/>
      <c r="AO87" s="47"/>
      <c r="AP87" s="47"/>
      <c r="AR87" s="7"/>
      <c r="AT87" s="48"/>
      <c r="AU87" s="48"/>
      <c r="AV87" s="47"/>
      <c r="AW87" s="47"/>
    </row>
    <row r="88" spans="2:49" x14ac:dyDescent="0.25">
      <c r="B88" s="27"/>
      <c r="G88" s="2"/>
      <c r="W88" s="79"/>
      <c r="X88" s="6"/>
      <c r="Y88" s="7"/>
      <c r="AA88" s="48"/>
      <c r="AF88" s="47"/>
      <c r="AN88" s="7"/>
      <c r="AO88" s="47"/>
      <c r="AP88" s="47"/>
      <c r="AR88" s="7"/>
      <c r="AT88" s="48"/>
      <c r="AU88" s="48"/>
      <c r="AV88" s="47"/>
      <c r="AW88" s="47"/>
    </row>
    <row r="89" spans="2:49" x14ac:dyDescent="0.25">
      <c r="AA89"/>
      <c r="AQ89"/>
      <c r="AS89"/>
    </row>
    <row r="90" spans="2:49" x14ac:dyDescent="0.25">
      <c r="AA90"/>
      <c r="AQ90"/>
      <c r="AS90"/>
    </row>
    <row r="91" spans="2:49" x14ac:dyDescent="0.25">
      <c r="AA91"/>
      <c r="AQ91"/>
      <c r="AS91"/>
    </row>
    <row r="92" spans="2:49" x14ac:dyDescent="0.25">
      <c r="AA92"/>
      <c r="AQ92"/>
      <c r="AS92"/>
    </row>
    <row r="93" spans="2:49" x14ac:dyDescent="0.25">
      <c r="AA93"/>
      <c r="AQ93"/>
      <c r="AS93"/>
    </row>
    <row r="94" spans="2:49" x14ac:dyDescent="0.25">
      <c r="AA94"/>
      <c r="AQ94"/>
      <c r="AS94"/>
    </row>
    <row r="95" spans="2:49" x14ac:dyDescent="0.25">
      <c r="AA95"/>
      <c r="AQ95"/>
      <c r="AS95"/>
    </row>
    <row r="96" spans="2:49" x14ac:dyDescent="0.25">
      <c r="AA96"/>
      <c r="AQ96"/>
      <c r="AS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spans="23:49" x14ac:dyDescent="0.25">
      <c r="AA129"/>
      <c r="AQ129"/>
      <c r="AS129"/>
    </row>
    <row r="130" spans="23:49" x14ac:dyDescent="0.25">
      <c r="AA130"/>
      <c r="AQ130"/>
      <c r="AS130"/>
    </row>
    <row r="131" spans="23:49" x14ac:dyDescent="0.25">
      <c r="AA131"/>
      <c r="AQ131"/>
      <c r="AS131"/>
    </row>
    <row r="132" spans="23:49" x14ac:dyDescent="0.25">
      <c r="AA132"/>
      <c r="AQ132"/>
      <c r="AS132"/>
    </row>
    <row r="133" spans="23:49" x14ac:dyDescent="0.25">
      <c r="AA133"/>
      <c r="AQ133"/>
      <c r="AS133"/>
    </row>
    <row r="134" spans="23:49" x14ac:dyDescent="0.25">
      <c r="AA134"/>
      <c r="AQ134"/>
      <c r="AS134"/>
    </row>
    <row r="135" spans="23:49" x14ac:dyDescent="0.25">
      <c r="AA135"/>
      <c r="AQ135"/>
      <c r="AS135"/>
    </row>
    <row r="136" spans="23:49" x14ac:dyDescent="0.25">
      <c r="AA136"/>
      <c r="AQ136"/>
      <c r="AS136"/>
    </row>
    <row r="137" spans="23:49" x14ac:dyDescent="0.25">
      <c r="AA137"/>
      <c r="AQ137"/>
      <c r="AS137"/>
    </row>
    <row r="138" spans="23:49" x14ac:dyDescent="0.25">
      <c r="AA138"/>
      <c r="AQ138"/>
      <c r="AS138"/>
    </row>
    <row r="139" spans="23:49" x14ac:dyDescent="0.25">
      <c r="AA139"/>
      <c r="AQ139"/>
      <c r="AS139"/>
    </row>
    <row r="140" spans="23:49" x14ac:dyDescent="0.25">
      <c r="W140" s="7"/>
      <c r="X140" s="7"/>
      <c r="Y140" s="7"/>
      <c r="AA140" s="48"/>
      <c r="AF140" s="47"/>
      <c r="AN140" s="7"/>
      <c r="AO140" s="47"/>
      <c r="AP140" s="47"/>
      <c r="AR140" s="7"/>
      <c r="AV140" s="7"/>
      <c r="AW140" s="7"/>
    </row>
    <row r="141" spans="23:49" x14ac:dyDescent="0.25">
      <c r="W141" s="7"/>
      <c r="X141" s="7"/>
      <c r="Y141" s="7"/>
      <c r="AA141" s="48"/>
      <c r="AF141" s="47"/>
      <c r="AN141" s="7"/>
      <c r="AO141" s="47"/>
      <c r="AP141" s="47"/>
      <c r="AR141" s="7"/>
      <c r="AV141" s="7"/>
      <c r="AW141" s="7"/>
    </row>
    <row r="142" spans="23:49" x14ac:dyDescent="0.25">
      <c r="W142" s="7"/>
      <c r="X142" s="7"/>
      <c r="Y142" s="7"/>
      <c r="AA142" s="48"/>
      <c r="AF142" s="47"/>
      <c r="AN142" s="7"/>
      <c r="AO142" s="47"/>
      <c r="AP142" s="47"/>
      <c r="AV142" s="7"/>
      <c r="AW142" s="7"/>
    </row>
    <row r="143" spans="23:49" x14ac:dyDescent="0.25">
      <c r="AF143" s="47"/>
      <c r="AO143" s="47"/>
      <c r="AP143" s="47"/>
    </row>
    <row r="144" spans="23:49" x14ac:dyDescent="0.25">
      <c r="AF144" s="47"/>
      <c r="AO144" s="47"/>
      <c r="AP144" s="47"/>
    </row>
    <row r="145" spans="15:42" x14ac:dyDescent="0.25">
      <c r="AF145" s="47"/>
      <c r="AO145" s="47"/>
      <c r="AP145" s="47"/>
    </row>
    <row r="146" spans="15:42" x14ac:dyDescent="0.25">
      <c r="AF146" s="47"/>
      <c r="AO146" s="47"/>
      <c r="AP146" s="47"/>
    </row>
    <row r="147" spans="15:42" x14ac:dyDescent="0.25">
      <c r="O147" s="77"/>
      <c r="P147" s="77"/>
      <c r="Q147" s="77"/>
      <c r="AF147" s="47"/>
      <c r="AO147" s="47"/>
      <c r="AP147" s="47"/>
    </row>
    <row r="148" spans="15:42" x14ac:dyDescent="0.25">
      <c r="O148" s="77"/>
      <c r="P148" s="77"/>
      <c r="Q148" s="77"/>
      <c r="AF148" s="47"/>
    </row>
    <row r="149" spans="15:42" x14ac:dyDescent="0.25">
      <c r="O149" s="77"/>
      <c r="P149" s="77"/>
      <c r="Q149" s="77"/>
    </row>
    <row r="150" spans="15:42" x14ac:dyDescent="0.25">
      <c r="O150" s="77"/>
      <c r="P150" s="77"/>
      <c r="Q150" s="77"/>
    </row>
    <row r="151" spans="15:42" x14ac:dyDescent="0.25">
      <c r="O151" s="77"/>
      <c r="P151" s="77"/>
      <c r="Q151" s="77"/>
    </row>
    <row r="152" spans="15:42" x14ac:dyDescent="0.25">
      <c r="O152" s="77"/>
      <c r="P152" s="77"/>
      <c r="Q152" s="77"/>
    </row>
    <row r="153" spans="15:42" x14ac:dyDescent="0.25">
      <c r="O153" s="77"/>
      <c r="P153" s="77"/>
      <c r="Q153" s="77"/>
    </row>
    <row r="154" spans="15:42" x14ac:dyDescent="0.25">
      <c r="O154" s="77"/>
      <c r="P154" s="77"/>
      <c r="Q154" s="77"/>
    </row>
    <row r="155" spans="15:42" x14ac:dyDescent="0.25">
      <c r="O155" s="77"/>
      <c r="P155" s="77"/>
      <c r="Q155" s="77"/>
    </row>
    <row r="156" spans="15:42" x14ac:dyDescent="0.25">
      <c r="O156" s="77"/>
      <c r="P156" s="77"/>
      <c r="Q156" s="77"/>
    </row>
    <row r="157" spans="15:42" x14ac:dyDescent="0.25">
      <c r="O157" s="77"/>
      <c r="P157" s="77"/>
      <c r="Q157" s="77"/>
    </row>
    <row r="158" spans="15:42" x14ac:dyDescent="0.25">
      <c r="O158" s="77"/>
      <c r="P158" s="77"/>
      <c r="Q158" s="77"/>
    </row>
    <row r="159" spans="15:42" x14ac:dyDescent="0.25">
      <c r="O159" s="77"/>
      <c r="P159" s="77"/>
      <c r="Q159" s="77"/>
    </row>
    <row r="160" spans="15:42" x14ac:dyDescent="0.25">
      <c r="O160" s="77"/>
      <c r="P160" s="77"/>
      <c r="Q160" s="77"/>
    </row>
    <row r="161" spans="15:17" x14ac:dyDescent="0.25">
      <c r="O161" s="77"/>
      <c r="P161" s="77"/>
      <c r="Q161" s="77"/>
    </row>
    <row r="162" spans="15:17" x14ac:dyDescent="0.25">
      <c r="O162" s="77"/>
      <c r="P162" s="77"/>
      <c r="Q162" s="77"/>
    </row>
    <row r="163" spans="15:17" x14ac:dyDescent="0.25">
      <c r="O163" s="77"/>
      <c r="P163" s="77"/>
      <c r="Q163" s="77"/>
    </row>
    <row r="164" spans="15:17" x14ac:dyDescent="0.25">
      <c r="O164" s="77"/>
      <c r="P164" s="77"/>
      <c r="Q164" s="77"/>
    </row>
    <row r="165" spans="15:17" x14ac:dyDescent="0.25">
      <c r="O165" s="77"/>
      <c r="P165" s="77"/>
      <c r="Q165" s="77"/>
    </row>
    <row r="166" spans="15:17" x14ac:dyDescent="0.25">
      <c r="O166" s="77"/>
      <c r="P166" s="77"/>
      <c r="Q166" s="77"/>
    </row>
    <row r="167" spans="15:17" x14ac:dyDescent="0.25">
      <c r="O167" s="77"/>
      <c r="P167" s="77"/>
      <c r="Q167" s="77"/>
    </row>
    <row r="168" spans="15:17" x14ac:dyDescent="0.25">
      <c r="O168" s="77"/>
      <c r="P168" s="77"/>
      <c r="Q168" s="77"/>
    </row>
    <row r="169" spans="15:17" x14ac:dyDescent="0.25">
      <c r="O169" s="77"/>
      <c r="P169" s="77"/>
      <c r="Q169" s="77"/>
    </row>
    <row r="170" spans="15:17" x14ac:dyDescent="0.25">
      <c r="O170" s="77"/>
      <c r="P170" s="77"/>
      <c r="Q170" s="77"/>
    </row>
    <row r="171" spans="15:17" x14ac:dyDescent="0.25">
      <c r="O171" s="77"/>
      <c r="P171" s="77"/>
      <c r="Q171" s="77"/>
    </row>
    <row r="172" spans="15:17" x14ac:dyDescent="0.25">
      <c r="O172" s="77"/>
      <c r="P172" s="77"/>
      <c r="Q172" s="77"/>
    </row>
    <row r="173" spans="15:17" x14ac:dyDescent="0.25">
      <c r="O173" s="77"/>
      <c r="P173" s="77"/>
      <c r="Q173" s="77"/>
    </row>
    <row r="174" spans="15:17" x14ac:dyDescent="0.25">
      <c r="O174" s="77"/>
      <c r="P174" s="77"/>
      <c r="Q174" s="77"/>
    </row>
    <row r="175" spans="15:17" x14ac:dyDescent="0.25">
      <c r="O175" s="77"/>
      <c r="P175" s="77"/>
      <c r="Q175" s="77"/>
    </row>
    <row r="176" spans="15:17" x14ac:dyDescent="0.25">
      <c r="O176" s="77"/>
      <c r="P176" s="77"/>
      <c r="Q176" s="77"/>
    </row>
    <row r="177" spans="15:17" x14ac:dyDescent="0.25">
      <c r="O177" s="77"/>
      <c r="P177" s="77"/>
      <c r="Q177" s="77"/>
    </row>
    <row r="178" spans="15:17" x14ac:dyDescent="0.25">
      <c r="O178" s="77"/>
      <c r="P178" s="77"/>
      <c r="Q178" s="77"/>
    </row>
    <row r="179" spans="15:17" x14ac:dyDescent="0.25">
      <c r="O179" s="77"/>
      <c r="P179" s="77"/>
      <c r="Q179" s="77"/>
    </row>
    <row r="180" spans="15:17" x14ac:dyDescent="0.25">
      <c r="O180" s="77"/>
      <c r="P180" s="77"/>
      <c r="Q180" s="77"/>
    </row>
    <row r="181" spans="15:17" x14ac:dyDescent="0.25">
      <c r="O181" s="77"/>
      <c r="P181" s="77"/>
      <c r="Q181" s="77"/>
    </row>
    <row r="182" spans="15:17" x14ac:dyDescent="0.25">
      <c r="O182" s="84"/>
      <c r="P182" s="84"/>
      <c r="Q182" s="84"/>
    </row>
    <row r="183" spans="15:17" x14ac:dyDescent="0.25">
      <c r="O183" s="77"/>
      <c r="P183" s="77"/>
      <c r="Q183" s="77"/>
    </row>
    <row r="184" spans="15:17" x14ac:dyDescent="0.25">
      <c r="O184" s="77"/>
      <c r="P184" s="77"/>
      <c r="Q184" s="77"/>
    </row>
    <row r="185" spans="15:17" x14ac:dyDescent="0.25">
      <c r="O185" s="77"/>
      <c r="P185" s="77"/>
      <c r="Q185" s="77"/>
    </row>
    <row r="186" spans="15:17" x14ac:dyDescent="0.25">
      <c r="O186" s="77"/>
      <c r="P186" s="77"/>
      <c r="Q186" s="77"/>
    </row>
    <row r="187" spans="15:17" x14ac:dyDescent="0.25">
      <c r="O187" s="77"/>
      <c r="P187" s="77"/>
      <c r="Q187" s="77"/>
    </row>
    <row r="188" spans="15:17" x14ac:dyDescent="0.25">
      <c r="O188" s="77"/>
      <c r="P188" s="77"/>
      <c r="Q188" s="77"/>
    </row>
    <row r="189" spans="15:17" x14ac:dyDescent="0.25">
      <c r="O189" s="77"/>
      <c r="P189" s="77"/>
      <c r="Q189" s="77"/>
    </row>
    <row r="190" spans="15:17" x14ac:dyDescent="0.25">
      <c r="O190" s="77"/>
      <c r="P190" s="77"/>
      <c r="Q190" s="77"/>
    </row>
    <row r="191" spans="15:17" x14ac:dyDescent="0.25">
      <c r="O191" s="77"/>
      <c r="P191" s="77"/>
      <c r="Q191" s="77"/>
    </row>
    <row r="192" spans="15:17" x14ac:dyDescent="0.25">
      <c r="O192" s="77"/>
      <c r="P192" s="77"/>
      <c r="Q192" s="77"/>
    </row>
    <row r="193" spans="15:17" x14ac:dyDescent="0.25">
      <c r="O193" s="77"/>
      <c r="P193" s="77"/>
      <c r="Q193" s="77"/>
    </row>
    <row r="194" spans="15:17" x14ac:dyDescent="0.25">
      <c r="O194" s="77"/>
      <c r="P194" s="77"/>
      <c r="Q194" s="77"/>
    </row>
    <row r="195" spans="15:17" x14ac:dyDescent="0.25">
      <c r="O195" s="77"/>
      <c r="P195" s="77"/>
      <c r="Q195" s="77"/>
    </row>
    <row r="196" spans="15:17" x14ac:dyDescent="0.25">
      <c r="O196" s="77"/>
      <c r="P196" s="77"/>
      <c r="Q196" s="77"/>
    </row>
    <row r="197" spans="15:17" x14ac:dyDescent="0.25">
      <c r="O197" s="77"/>
      <c r="P197" s="77"/>
      <c r="Q197" s="77"/>
    </row>
    <row r="198" spans="15:17" x14ac:dyDescent="0.25">
      <c r="O198" s="77"/>
      <c r="P198" s="77"/>
      <c r="Q198" s="77"/>
    </row>
    <row r="199" spans="15:17" x14ac:dyDescent="0.25">
      <c r="O199" s="77"/>
      <c r="P199" s="77"/>
      <c r="Q199" s="77"/>
    </row>
    <row r="200" spans="15:17" x14ac:dyDescent="0.25">
      <c r="O200" s="77"/>
      <c r="P200" s="77"/>
      <c r="Q200" s="77"/>
    </row>
    <row r="201" spans="15:17" x14ac:dyDescent="0.25">
      <c r="O201" s="77"/>
      <c r="P201" s="77"/>
      <c r="Q201" s="77"/>
    </row>
    <row r="202" spans="15:17" x14ac:dyDescent="0.25">
      <c r="O202" s="77"/>
      <c r="P202" s="77"/>
      <c r="Q202" s="77"/>
    </row>
    <row r="204" spans="15:17" x14ac:dyDescent="0.25">
      <c r="O204" s="11"/>
      <c r="P204" s="11"/>
      <c r="Q204" s="11"/>
    </row>
    <row r="208" spans="15:17" x14ac:dyDescent="0.25">
      <c r="O208" s="77"/>
      <c r="P208" s="77"/>
      <c r="Q208" s="77"/>
    </row>
    <row r="209" spans="15:17" x14ac:dyDescent="0.25">
      <c r="O209" s="77"/>
      <c r="P209" s="77"/>
      <c r="Q209" s="77"/>
    </row>
    <row r="210" spans="15:17" x14ac:dyDescent="0.25">
      <c r="O210" s="77"/>
      <c r="P210" s="77"/>
      <c r="Q210" s="77"/>
    </row>
    <row r="211" spans="15:17" x14ac:dyDescent="0.25">
      <c r="O211" s="84"/>
      <c r="P211" s="84"/>
      <c r="Q211" s="84"/>
    </row>
    <row r="212" spans="15:17" x14ac:dyDescent="0.25">
      <c r="O212" s="77"/>
      <c r="P212" s="77"/>
      <c r="Q212" s="77"/>
    </row>
    <row r="213" spans="15:17" x14ac:dyDescent="0.25">
      <c r="O213" s="77"/>
      <c r="P213" s="77"/>
      <c r="Q213" s="77"/>
    </row>
    <row r="214" spans="15:17" x14ac:dyDescent="0.25">
      <c r="O214" s="77"/>
      <c r="P214" s="77"/>
      <c r="Q214" s="77"/>
    </row>
    <row r="215" spans="15:17" x14ac:dyDescent="0.25">
      <c r="O215" s="77"/>
      <c r="P215" s="77"/>
      <c r="Q215" s="77"/>
    </row>
    <row r="216" spans="15:17" x14ac:dyDescent="0.25">
      <c r="O216" s="77"/>
      <c r="P216" s="77"/>
      <c r="Q216" s="77"/>
    </row>
    <row r="217" spans="15:17" x14ac:dyDescent="0.25">
      <c r="O217" s="77"/>
      <c r="P217" s="77"/>
      <c r="Q217" s="77"/>
    </row>
    <row r="219" spans="15:17" x14ac:dyDescent="0.25">
      <c r="O219" s="10"/>
      <c r="P219" s="10"/>
      <c r="Q219" s="10"/>
    </row>
    <row r="222" spans="15:17" x14ac:dyDescent="0.25">
      <c r="O222" s="190"/>
      <c r="P222" s="190"/>
      <c r="Q222" s="190"/>
    </row>
    <row r="225" spans="12:17" x14ac:dyDescent="0.25">
      <c r="O225" s="60"/>
      <c r="P225" s="60"/>
      <c r="Q225" s="60"/>
    </row>
    <row r="228" spans="12:17" x14ac:dyDescent="0.25">
      <c r="O228" s="5"/>
      <c r="P228" s="5"/>
      <c r="Q228" s="5"/>
    </row>
    <row r="229" spans="12:17" x14ac:dyDescent="0.25">
      <c r="O229" s="5"/>
      <c r="P229" s="5"/>
      <c r="Q229" s="5"/>
    </row>
    <row r="230" spans="12:17" x14ac:dyDescent="0.25">
      <c r="L230" s="5"/>
      <c r="M230" s="5"/>
      <c r="N230" s="5"/>
      <c r="O230" s="5"/>
      <c r="P230" s="5"/>
      <c r="Q230" s="5"/>
    </row>
  </sheetData>
  <mergeCells count="5">
    <mergeCell ref="B1:F1"/>
    <mergeCell ref="G1:H1"/>
    <mergeCell ref="M1:N1"/>
    <mergeCell ref="M77:O77"/>
    <mergeCell ref="AB77:AD77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0BA0-D27C-49F7-A2C7-9B0A292D667A}">
  <sheetPr codeName="Sheet12"/>
  <dimension ref="A1:AW206"/>
  <sheetViews>
    <sheetView zoomScale="90" zoomScaleNormal="90" workbookViewId="0">
      <selection activeCell="W23" sqref="W23"/>
    </sheetView>
  </sheetViews>
  <sheetFormatPr defaultRowHeight="15" x14ac:dyDescent="0.25"/>
  <cols>
    <col min="3" max="3" width="10.5703125" customWidth="1"/>
    <col min="6" max="6" width="10.28515625" customWidth="1"/>
    <col min="8" max="8" width="10.5703125" bestFit="1" customWidth="1"/>
    <col min="9" max="9" width="11.85546875" customWidth="1"/>
    <col min="10" max="10" width="9" customWidth="1"/>
    <col min="11" max="11" width="22.5703125" bestFit="1" customWidth="1"/>
    <col min="12" max="12" width="6.140625" customWidth="1"/>
    <col min="13" max="14" width="12.5703125" customWidth="1"/>
    <col min="15" max="15" width="11.7109375" customWidth="1"/>
    <col min="16" max="16" width="9.85546875" customWidth="1"/>
    <col min="17" max="17" width="8.5703125" customWidth="1"/>
    <col min="18" max="18" width="13.42578125" customWidth="1"/>
    <col min="19" max="19" width="11.5703125" customWidth="1"/>
    <col min="20" max="21" width="11.28515625" customWidth="1"/>
    <col min="22" max="22" width="8.140625" customWidth="1"/>
    <col min="23" max="23" width="13.140625" customWidth="1"/>
    <col min="24" max="24" width="12.5703125" customWidth="1"/>
    <col min="26" max="26" width="11.28515625" customWidth="1"/>
    <col min="27" max="27" width="4.85546875" style="47" customWidth="1"/>
    <col min="28" max="28" width="17.140625" customWidth="1"/>
    <col min="29" max="29" width="13.7109375" customWidth="1"/>
    <col min="31" max="31" width="10.5703125" customWidth="1"/>
    <col min="32" max="32" width="5.85546875" customWidth="1"/>
    <col min="33" max="33" width="17.140625" customWidth="1"/>
    <col min="34" max="34" width="14.42578125" customWidth="1"/>
    <col min="35" max="35" width="11.5703125" customWidth="1"/>
    <col min="37" max="37" width="6.85546875" customWidth="1"/>
    <col min="38" max="38" width="15" customWidth="1"/>
    <col min="39" max="39" width="15.42578125" customWidth="1"/>
    <col min="43" max="43" width="9.140625" style="22"/>
    <col min="44" max="44" width="8.42578125" customWidth="1"/>
    <col min="45" max="45" width="9.140625" style="96"/>
    <col min="46" max="47" width="8.7109375" customWidth="1"/>
    <col min="48" max="48" width="10.140625" bestFit="1" customWidth="1"/>
    <col min="54" max="54" width="16.28515625" bestFit="1" customWidth="1"/>
  </cols>
  <sheetData>
    <row r="1" spans="1:45" ht="35.25" customHeight="1" thickBot="1" x14ac:dyDescent="0.3">
      <c r="A1" s="47"/>
      <c r="B1" s="967">
        <v>2022</v>
      </c>
      <c r="C1" s="968"/>
      <c r="D1" s="968"/>
      <c r="E1" s="968"/>
      <c r="F1" s="968"/>
      <c r="G1" s="947">
        <v>2022</v>
      </c>
      <c r="H1" s="914"/>
      <c r="I1" s="172" t="s">
        <v>77</v>
      </c>
      <c r="J1" s="47"/>
      <c r="K1" s="110"/>
      <c r="L1" s="110"/>
      <c r="M1" s="899" t="s">
        <v>117</v>
      </c>
      <c r="N1" s="900"/>
      <c r="O1" s="171">
        <v>-0.19442824232404154</v>
      </c>
      <c r="P1" s="47"/>
      <c r="Q1" s="47"/>
      <c r="R1" s="121" t="s">
        <v>81</v>
      </c>
      <c r="S1" s="121" t="s">
        <v>80</v>
      </c>
      <c r="T1" s="47"/>
      <c r="U1" s="47"/>
      <c r="V1" s="47"/>
      <c r="W1" s="121" t="s">
        <v>86</v>
      </c>
      <c r="X1" s="121" t="s">
        <v>85</v>
      </c>
      <c r="Y1" s="47"/>
      <c r="Z1" s="47"/>
      <c r="AB1" s="47"/>
      <c r="AC1" s="47"/>
      <c r="AD1" s="47"/>
      <c r="AE1" s="47"/>
      <c r="AF1" s="47"/>
      <c r="AG1" s="22" t="s">
        <v>73</v>
      </c>
      <c r="AH1">
        <v>4766.18</v>
      </c>
      <c r="AI1" s="9">
        <f>_xll.BDP(AG1&amp;" Index",$I$1)</f>
        <v>5459.62</v>
      </c>
      <c r="AJ1" s="47"/>
      <c r="AK1" s="47"/>
      <c r="AL1" s="47"/>
      <c r="AM1" s="47"/>
      <c r="AQ1"/>
      <c r="AS1"/>
    </row>
    <row r="2" spans="1:45" ht="18.75" x14ac:dyDescent="0.25">
      <c r="A2" s="47"/>
      <c r="B2" s="47"/>
      <c r="C2" s="68"/>
      <c r="D2" s="47"/>
      <c r="E2" s="47"/>
      <c r="F2" s="47"/>
      <c r="G2" s="194"/>
      <c r="H2" s="195"/>
      <c r="I2" s="72"/>
      <c r="J2" s="189"/>
      <c r="K2" s="154" t="s">
        <v>0</v>
      </c>
      <c r="L2" s="189"/>
      <c r="M2" s="1">
        <v>44561</v>
      </c>
      <c r="N2" s="49" t="s">
        <v>1</v>
      </c>
      <c r="O2" s="80" t="s">
        <v>57</v>
      </c>
      <c r="P2" s="197" t="s">
        <v>58</v>
      </c>
      <c r="Q2" s="47"/>
      <c r="R2" s="80" t="s">
        <v>83</v>
      </c>
      <c r="S2" s="104" t="s">
        <v>82</v>
      </c>
      <c r="T2" s="49"/>
      <c r="U2" s="80" t="s">
        <v>57</v>
      </c>
      <c r="V2" s="47"/>
      <c r="W2" s="80" t="s">
        <v>83</v>
      </c>
      <c r="X2" s="104" t="s">
        <v>84</v>
      </c>
      <c r="Y2" s="49"/>
      <c r="Z2" s="80" t="s">
        <v>57</v>
      </c>
      <c r="AB2" s="104" t="s">
        <v>94</v>
      </c>
      <c r="AC2" s="122" t="s">
        <v>111</v>
      </c>
      <c r="AD2" s="80" t="s">
        <v>57</v>
      </c>
      <c r="AE2" s="47"/>
      <c r="AF2" s="47"/>
      <c r="AG2" s="83" t="s">
        <v>75</v>
      </c>
      <c r="AI2" s="95" t="s">
        <v>76</v>
      </c>
      <c r="AJ2" s="47"/>
      <c r="AK2" s="47"/>
      <c r="AL2" s="23" t="s">
        <v>65</v>
      </c>
      <c r="AM2" s="47"/>
      <c r="AQ2"/>
      <c r="AS2"/>
    </row>
    <row r="3" spans="1:45" x14ac:dyDescent="0.25">
      <c r="C3" s="23" t="s">
        <v>65</v>
      </c>
      <c r="D3" s="69" t="s">
        <v>64</v>
      </c>
      <c r="E3" s="69" t="s">
        <v>63</v>
      </c>
      <c r="F3" s="70" t="s">
        <v>62</v>
      </c>
      <c r="G3" s="12"/>
      <c r="H3" s="52"/>
      <c r="I3" s="74" t="s">
        <v>2</v>
      </c>
      <c r="K3" s="51"/>
      <c r="M3" s="2"/>
      <c r="P3" s="45"/>
      <c r="Q3" s="47"/>
      <c r="R3" s="2"/>
      <c r="U3" s="28"/>
      <c r="V3" s="47"/>
      <c r="W3" s="2"/>
      <c r="X3" s="2"/>
      <c r="Z3" s="28"/>
      <c r="AB3" s="2"/>
      <c r="AD3" s="28"/>
      <c r="AE3" s="47"/>
      <c r="AF3" s="47"/>
      <c r="AG3" s="22"/>
      <c r="AI3" s="96"/>
      <c r="AJ3" s="47"/>
      <c r="AK3" s="47"/>
      <c r="AM3" s="47"/>
      <c r="AQ3"/>
      <c r="AS3"/>
    </row>
    <row r="4" spans="1:45" x14ac:dyDescent="0.25">
      <c r="A4" s="17">
        <f t="shared" ref="A4:A51" si="0">+RANK(B4,$B$4:$B$69)</f>
        <v>35</v>
      </c>
      <c r="B4" s="26">
        <f t="shared" ref="B4:B51" si="1">+F4/E4-1</f>
        <v>0.87186658877522638</v>
      </c>
      <c r="C4" s="17">
        <f t="shared" ref="C4:C51" si="2">+RANK(D4,$D$4:$D$69)</f>
        <v>30</v>
      </c>
      <c r="D4" s="24">
        <f t="shared" ref="D4:D51" si="3">+F4-E4</f>
        <v>5.7543194859164936E-3</v>
      </c>
      <c r="E4" s="25">
        <v>6.6E-3</v>
      </c>
      <c r="F4" s="25">
        <f>+K4/$K$74</f>
        <v>1.2354319485916494E-2</v>
      </c>
      <c r="G4" s="248" t="s">
        <v>8</v>
      </c>
      <c r="H4" s="101">
        <v>80000</v>
      </c>
      <c r="I4" s="9">
        <v>110.3</v>
      </c>
      <c r="J4" s="99"/>
      <c r="K4" s="62">
        <f t="shared" ref="K4:K51" si="4">+I4*H4</f>
        <v>8824000</v>
      </c>
      <c r="L4" s="99"/>
      <c r="M4" s="38">
        <v>61.19</v>
      </c>
      <c r="N4" s="37">
        <f t="shared" ref="N4:N51" si="5">+I4/M4-1</f>
        <v>0.80258212126164419</v>
      </c>
      <c r="O4" s="82">
        <f t="shared" ref="O4:O51" si="6">+RANK(N4,$N$4:$N$69)</f>
        <v>1</v>
      </c>
      <c r="P4" s="45" t="s">
        <v>61</v>
      </c>
      <c r="Q4" s="48"/>
      <c r="R4" s="105" t="str">
        <f>_xll.BDP(G4&amp;" EQUITY",$R$1)</f>
        <v>4/12/2024</v>
      </c>
      <c r="S4" s="84">
        <f>_xll.BDP(G4&amp;" EQUITY",$S$1)</f>
        <v>123.75</v>
      </c>
      <c r="T4" s="37">
        <f t="shared" ref="T4:T51" si="7">+I4/S4-1</f>
        <v>-0.10868686868686872</v>
      </c>
      <c r="U4" s="106">
        <f t="shared" ref="U4:U51" si="8">+RANK(T4,$T$4:$T$69)</f>
        <v>16</v>
      </c>
      <c r="V4" s="47"/>
      <c r="W4" s="105" t="str">
        <f>_xll.BDP(G4&amp;" EQUITY",$W$1)</f>
        <v>1/22/2024</v>
      </c>
      <c r="X4" s="77">
        <f>_xll.BDP(G4&amp;" EQUITY",$X$1)</f>
        <v>95.77</v>
      </c>
      <c r="Y4" s="37">
        <f t="shared" ref="Y4:Y51" si="9">+I4/X4-1</f>
        <v>0.15171765688629013</v>
      </c>
      <c r="Z4" s="106">
        <f t="shared" ref="Z4:Z51" si="10">+RANK(Y4,$Y$4:$Y$69)</f>
        <v>22</v>
      </c>
      <c r="AB4" s="36">
        <v>41.22</v>
      </c>
      <c r="AC4" s="37">
        <f t="shared" ref="AC4:AC51" si="11">+I4/AB4-1</f>
        <v>1.6758854924793791</v>
      </c>
      <c r="AD4" s="106">
        <f t="shared" ref="AD4:AD51" si="12">+RANK(AC4,$AC$4:$AC$69)</f>
        <v>1</v>
      </c>
      <c r="AE4" s="47"/>
      <c r="AF4" s="47"/>
      <c r="AG4" s="22"/>
      <c r="AH4" s="78" t="str">
        <f t="shared" ref="AH4:AH51" si="13">+G4</f>
        <v>XOM</v>
      </c>
      <c r="AI4" s="96"/>
      <c r="AJ4" s="48"/>
      <c r="AK4" s="48"/>
      <c r="AL4" s="50">
        <f t="shared" ref="AL4:AL46" si="14">+C4</f>
        <v>30</v>
      </c>
      <c r="AM4" s="47"/>
      <c r="AQ4"/>
      <c r="AS4"/>
    </row>
    <row r="5" spans="1:45" x14ac:dyDescent="0.25">
      <c r="A5" s="17">
        <f t="shared" si="0"/>
        <v>31</v>
      </c>
      <c r="B5" s="26">
        <f t="shared" si="1"/>
        <v>1.4248306900040024</v>
      </c>
      <c r="C5" s="17">
        <f t="shared" si="2"/>
        <v>25</v>
      </c>
      <c r="D5" s="24">
        <f t="shared" si="3"/>
        <v>8.121534933022815E-3</v>
      </c>
      <c r="E5" s="25">
        <v>5.7000000000000002E-3</v>
      </c>
      <c r="F5" s="25">
        <f>+K5/$K$74</f>
        <v>1.3821534933022815E-2</v>
      </c>
      <c r="G5" s="248" t="s">
        <v>7</v>
      </c>
      <c r="H5" s="101">
        <v>55000</v>
      </c>
      <c r="I5" s="9">
        <v>179.49</v>
      </c>
      <c r="J5" s="99"/>
      <c r="K5" s="62">
        <f t="shared" si="4"/>
        <v>9871950</v>
      </c>
      <c r="L5" s="99"/>
      <c r="M5" s="38">
        <v>117.35</v>
      </c>
      <c r="N5" s="37">
        <f t="shared" si="5"/>
        <v>0.52952705581593529</v>
      </c>
      <c r="O5" s="82">
        <f t="shared" si="6"/>
        <v>3</v>
      </c>
      <c r="P5" s="45" t="s">
        <v>61</v>
      </c>
      <c r="Q5" s="48"/>
      <c r="R5" s="105" t="str">
        <f>_xll.BDP(G5&amp;" EQUITY",$R$1)</f>
        <v>9/28/2023</v>
      </c>
      <c r="S5" s="84">
        <f>_xll.BDP(G5&amp;" EQUITY",$S$1)</f>
        <v>171.7</v>
      </c>
      <c r="T5" s="37">
        <f t="shared" si="7"/>
        <v>4.5369831100757319E-2</v>
      </c>
      <c r="U5" s="106">
        <f t="shared" si="8"/>
        <v>3</v>
      </c>
      <c r="V5" s="47"/>
      <c r="W5" s="105" t="str">
        <f>_xll.BDP(G5&amp;" EQUITY",$W$1)</f>
        <v>1/18/2024</v>
      </c>
      <c r="X5" s="77">
        <f>_xll.BDP(G5&amp;" EQUITY",$X$1)</f>
        <v>139.62</v>
      </c>
      <c r="Y5" s="37">
        <f t="shared" si="9"/>
        <v>0.28556080790717675</v>
      </c>
      <c r="Z5" s="106">
        <f t="shared" si="10"/>
        <v>15</v>
      </c>
      <c r="AB5" s="36">
        <v>84.45</v>
      </c>
      <c r="AC5" s="37">
        <f t="shared" si="11"/>
        <v>1.125399644760213</v>
      </c>
      <c r="AD5" s="106">
        <f t="shared" si="12"/>
        <v>2</v>
      </c>
      <c r="AE5" s="47"/>
      <c r="AF5" s="47"/>
      <c r="AG5" s="22"/>
      <c r="AH5" s="78" t="str">
        <f t="shared" si="13"/>
        <v>CVX</v>
      </c>
      <c r="AI5" s="96"/>
      <c r="AJ5" s="48"/>
      <c r="AK5" s="48"/>
      <c r="AL5" s="50">
        <f t="shared" si="14"/>
        <v>25</v>
      </c>
      <c r="AM5" s="50"/>
      <c r="AQ5"/>
      <c r="AS5"/>
    </row>
    <row r="6" spans="1:45" x14ac:dyDescent="0.25">
      <c r="A6" s="21">
        <f t="shared" si="0"/>
        <v>22</v>
      </c>
      <c r="B6" s="26">
        <f t="shared" si="1"/>
        <v>3.442123916027076</v>
      </c>
      <c r="C6" s="17">
        <f t="shared" si="2"/>
        <v>26</v>
      </c>
      <c r="D6" s="24">
        <f t="shared" si="3"/>
        <v>7.9168850068622749E-3</v>
      </c>
      <c r="E6" s="25">
        <v>2.3E-3</v>
      </c>
      <c r="F6" s="25">
        <f>+K6/$K$74</f>
        <v>1.0216885006862275E-2</v>
      </c>
      <c r="G6" s="248" t="s">
        <v>25</v>
      </c>
      <c r="H6" s="101">
        <v>15000</v>
      </c>
      <c r="I6" s="9">
        <v>486.49</v>
      </c>
      <c r="J6" s="99"/>
      <c r="K6" s="62">
        <f t="shared" si="4"/>
        <v>7297350</v>
      </c>
      <c r="L6" s="99"/>
      <c r="M6" s="38">
        <v>355.41</v>
      </c>
      <c r="N6" s="37">
        <f t="shared" si="5"/>
        <v>0.36881348301961103</v>
      </c>
      <c r="O6" s="82">
        <f t="shared" si="6"/>
        <v>4</v>
      </c>
      <c r="P6" s="45" t="s">
        <v>61</v>
      </c>
      <c r="Q6" s="48"/>
      <c r="R6" s="105" t="str">
        <f>_xll.BDP(G6&amp;" EQUITY",$R$1)</f>
        <v>7/18/2023</v>
      </c>
      <c r="S6" s="84">
        <f>_xll.BDP(G6&amp;" EQUITY",$S$1)</f>
        <v>479.5</v>
      </c>
      <c r="T6" s="37">
        <f t="shared" si="7"/>
        <v>1.4577685088634107E-2</v>
      </c>
      <c r="U6" s="106">
        <f t="shared" si="8"/>
        <v>5</v>
      </c>
      <c r="V6" s="47"/>
      <c r="W6" s="105" t="str">
        <f>_xll.BDP(G6&amp;" EQUITY",$W$1)</f>
        <v>10/6/2023</v>
      </c>
      <c r="X6" s="77">
        <f>_xll.BDP(G6&amp;" EQUITY",$X$1)</f>
        <v>393.77</v>
      </c>
      <c r="Y6" s="37">
        <f t="shared" si="9"/>
        <v>0.23546740483023099</v>
      </c>
      <c r="Z6" s="106">
        <f t="shared" si="10"/>
        <v>19</v>
      </c>
      <c r="AB6" s="36">
        <v>354.98</v>
      </c>
      <c r="AC6" s="37">
        <f t="shared" si="11"/>
        <v>0.37047157586342894</v>
      </c>
      <c r="AD6" s="40">
        <f t="shared" si="12"/>
        <v>7</v>
      </c>
      <c r="AE6" s="47"/>
      <c r="AF6" s="47"/>
      <c r="AG6" s="22"/>
      <c r="AH6" s="78" t="str">
        <f t="shared" si="13"/>
        <v>LMT</v>
      </c>
      <c r="AI6" s="96"/>
      <c r="AJ6" s="48"/>
      <c r="AK6" s="48"/>
      <c r="AL6" s="50">
        <f t="shared" si="14"/>
        <v>26</v>
      </c>
      <c r="AM6" s="50"/>
      <c r="AQ6"/>
      <c r="AS6"/>
    </row>
    <row r="7" spans="1:45" x14ac:dyDescent="0.25">
      <c r="A7" s="17">
        <f t="shared" si="0"/>
        <v>10</v>
      </c>
      <c r="B7" s="26">
        <f t="shared" si="1"/>
        <v>17.683333333333334</v>
      </c>
      <c r="C7" s="21">
        <f t="shared" si="2"/>
        <v>14</v>
      </c>
      <c r="D7" s="24">
        <f t="shared" si="3"/>
        <v>1.061E-2</v>
      </c>
      <c r="E7" s="25">
        <v>5.9999999999999995E-4</v>
      </c>
      <c r="F7" s="25">
        <v>1.1209999999999999E-2</v>
      </c>
      <c r="G7" s="248" t="s">
        <v>4</v>
      </c>
      <c r="H7" s="101">
        <v>25000</v>
      </c>
      <c r="I7" s="9">
        <v>469.07</v>
      </c>
      <c r="J7" s="99"/>
      <c r="K7" s="62">
        <f t="shared" si="4"/>
        <v>11726750</v>
      </c>
      <c r="L7" s="99"/>
      <c r="M7" s="36">
        <v>412.34</v>
      </c>
      <c r="N7" s="37">
        <f t="shared" si="5"/>
        <v>0.13758063733811898</v>
      </c>
      <c r="O7" s="82">
        <f t="shared" si="6"/>
        <v>5</v>
      </c>
      <c r="P7" s="45" t="s">
        <v>61</v>
      </c>
      <c r="Q7" s="48"/>
      <c r="R7" s="105" t="str">
        <f>_xll.BDP(G7&amp;" EQUITY",$R$1)</f>
        <v>3/14/2024</v>
      </c>
      <c r="S7" s="84">
        <f>_xll.BDP(G7&amp;" EQUITY",$S$1)</f>
        <v>574.76</v>
      </c>
      <c r="T7" s="37">
        <f t="shared" si="7"/>
        <v>-0.1838854478390981</v>
      </c>
      <c r="U7" s="106">
        <f t="shared" si="8"/>
        <v>21</v>
      </c>
      <c r="V7" s="47"/>
      <c r="W7" s="105" t="str">
        <f>_xll.BDP(G7&amp;" EQUITY",$W$1)</f>
        <v>10/23/2023</v>
      </c>
      <c r="X7" s="77">
        <f>_xll.BDP(G7&amp;" EQUITY",$X$1)</f>
        <v>368.02</v>
      </c>
      <c r="Y7" s="37">
        <f t="shared" si="9"/>
        <v>0.27457746861583621</v>
      </c>
      <c r="Z7" s="39">
        <f t="shared" si="10"/>
        <v>16</v>
      </c>
      <c r="AB7" s="36">
        <v>287.16000000000003</v>
      </c>
      <c r="AC7" s="37">
        <f t="shared" si="11"/>
        <v>0.63347959325811387</v>
      </c>
      <c r="AD7" s="106">
        <f t="shared" si="12"/>
        <v>3</v>
      </c>
      <c r="AE7" s="47"/>
      <c r="AF7" s="47"/>
      <c r="AG7" s="22"/>
      <c r="AH7" s="78" t="str">
        <f t="shared" si="13"/>
        <v>ULTA</v>
      </c>
      <c r="AI7" s="96"/>
      <c r="AJ7" s="48"/>
      <c r="AK7" s="48"/>
      <c r="AL7" s="50">
        <f t="shared" si="14"/>
        <v>14</v>
      </c>
      <c r="AM7" s="47"/>
      <c r="AQ7"/>
      <c r="AS7"/>
    </row>
    <row r="8" spans="1:45" x14ac:dyDescent="0.25">
      <c r="A8" s="17">
        <f t="shared" si="0"/>
        <v>14</v>
      </c>
      <c r="B8" s="26">
        <f t="shared" si="1"/>
        <v>6.7804981175371708</v>
      </c>
      <c r="C8" s="18">
        <f t="shared" si="2"/>
        <v>4</v>
      </c>
      <c r="D8" s="24">
        <f t="shared" si="3"/>
        <v>1.627319548208921E-2</v>
      </c>
      <c r="E8" s="25">
        <v>2.3999999999999998E-3</v>
      </c>
      <c r="F8" s="25">
        <f t="shared" ref="F8:F15" si="15">+K8/$K$74</f>
        <v>1.8673195482089209E-2</v>
      </c>
      <c r="G8" s="248" t="s">
        <v>110</v>
      </c>
      <c r="H8" s="101">
        <v>26000</v>
      </c>
      <c r="I8" s="9">
        <v>512.97</v>
      </c>
      <c r="J8" s="99"/>
      <c r="K8" s="62">
        <f t="shared" si="4"/>
        <v>13337220</v>
      </c>
      <c r="L8" s="99"/>
      <c r="M8" s="36">
        <v>463.54</v>
      </c>
      <c r="N8" s="37">
        <f t="shared" si="5"/>
        <v>0.10663588902791554</v>
      </c>
      <c r="O8" s="82">
        <f t="shared" si="6"/>
        <v>6</v>
      </c>
      <c r="P8" s="45" t="s">
        <v>61</v>
      </c>
      <c r="Q8" s="48"/>
      <c r="R8" s="105" t="str">
        <f>_xll.BDP(G8&amp;" EQUITY",$R$1)</f>
        <v>5/22/2024</v>
      </c>
      <c r="S8" s="84">
        <f>_xll.BDP(G8&amp;" EQUITY",$S$1)</f>
        <v>550.34</v>
      </c>
      <c r="T8" s="37">
        <f t="shared" si="7"/>
        <v>-6.7903477850056349E-2</v>
      </c>
      <c r="U8" s="106">
        <f t="shared" si="8"/>
        <v>11</v>
      </c>
      <c r="V8" s="47"/>
      <c r="W8" s="105" t="str">
        <f>_xll.BDP(G8&amp;" EQUITY",$W$1)</f>
        <v>7/12/2023</v>
      </c>
      <c r="X8" s="77">
        <f>_xll.BDP(G8&amp;" EQUITY",$X$1)</f>
        <v>412</v>
      </c>
      <c r="Y8" s="37">
        <f t="shared" si="9"/>
        <v>0.24507281553398075</v>
      </c>
      <c r="Z8" s="106">
        <f t="shared" si="10"/>
        <v>18</v>
      </c>
      <c r="AB8" s="36">
        <v>321.08999999999997</v>
      </c>
      <c r="AC8" s="37">
        <f t="shared" si="11"/>
        <v>0.59758946089881371</v>
      </c>
      <c r="AD8" s="106">
        <f t="shared" si="12"/>
        <v>4</v>
      </c>
      <c r="AE8" s="47"/>
      <c r="AF8" s="47"/>
      <c r="AG8" s="22"/>
      <c r="AH8" s="78" t="str">
        <f t="shared" si="13"/>
        <v>ELV</v>
      </c>
      <c r="AI8" s="96"/>
      <c r="AJ8" s="48"/>
      <c r="AK8" s="48"/>
      <c r="AL8" s="50">
        <f t="shared" si="14"/>
        <v>4</v>
      </c>
      <c r="AM8" s="50"/>
      <c r="AQ8"/>
      <c r="AS8"/>
    </row>
    <row r="9" spans="1:45" x14ac:dyDescent="0.25">
      <c r="A9" s="17">
        <f t="shared" si="0"/>
        <v>29</v>
      </c>
      <c r="B9" s="26">
        <f t="shared" si="1"/>
        <v>1.6045446648865154</v>
      </c>
      <c r="C9" s="18">
        <f t="shared" si="2"/>
        <v>2</v>
      </c>
      <c r="D9" s="24">
        <f t="shared" si="3"/>
        <v>1.8291809179706277E-2</v>
      </c>
      <c r="E9" s="25">
        <v>1.14E-2</v>
      </c>
      <c r="F9" s="25">
        <f t="shared" si="15"/>
        <v>2.9691809179706277E-2</v>
      </c>
      <c r="G9" s="248" t="s">
        <v>32</v>
      </c>
      <c r="H9" s="101">
        <v>40000</v>
      </c>
      <c r="I9" s="9">
        <v>530.17999999999995</v>
      </c>
      <c r="J9" s="99"/>
      <c r="K9" s="62">
        <f t="shared" si="4"/>
        <v>21207199.999999996</v>
      </c>
      <c r="L9" s="99"/>
      <c r="M9" s="38">
        <v>502.14</v>
      </c>
      <c r="N9" s="37">
        <f t="shared" si="5"/>
        <v>5.5841000517783845E-2</v>
      </c>
      <c r="O9" s="82">
        <f t="shared" si="6"/>
        <v>7</v>
      </c>
      <c r="P9" s="45" t="s">
        <v>61</v>
      </c>
      <c r="Q9" s="48"/>
      <c r="R9" s="105" t="str">
        <f>_xll.BDP(G9&amp;" EQUITY",$R$1)</f>
        <v>12/1/2023</v>
      </c>
      <c r="S9" s="84">
        <f>_xll.BDP(G9&amp;" EQUITY",$S$1)</f>
        <v>554.70000000000005</v>
      </c>
      <c r="T9" s="37">
        <f t="shared" si="7"/>
        <v>-4.4204074274382665E-2</v>
      </c>
      <c r="U9" s="106">
        <f t="shared" si="8"/>
        <v>8</v>
      </c>
      <c r="V9" s="47"/>
      <c r="W9" s="105" t="str">
        <f>_xll.BDP(G9&amp;" EQUITY",$W$1)</f>
        <v>4/12/2024</v>
      </c>
      <c r="X9" s="77">
        <f>_xll.BDP(G9&amp;" EQUITY",$X$1)</f>
        <v>436.38</v>
      </c>
      <c r="Y9" s="37">
        <f t="shared" si="9"/>
        <v>0.21495027269810696</v>
      </c>
      <c r="Z9" s="40">
        <f t="shared" si="10"/>
        <v>20</v>
      </c>
      <c r="AB9" s="38">
        <v>350.68</v>
      </c>
      <c r="AC9" s="37">
        <f t="shared" si="11"/>
        <v>0.51186266681875203</v>
      </c>
      <c r="AD9" s="106">
        <f t="shared" si="12"/>
        <v>5</v>
      </c>
      <c r="AE9" s="47"/>
      <c r="AF9" s="47"/>
      <c r="AG9" s="22"/>
      <c r="AH9" s="78" t="str">
        <f t="shared" si="13"/>
        <v>UNH</v>
      </c>
      <c r="AI9" s="96"/>
      <c r="AJ9" s="48"/>
      <c r="AK9" s="48"/>
      <c r="AL9" s="50">
        <f t="shared" si="14"/>
        <v>2</v>
      </c>
      <c r="AM9" s="47"/>
      <c r="AQ9"/>
      <c r="AS9"/>
    </row>
    <row r="10" spans="1:45" x14ac:dyDescent="0.25">
      <c r="A10" s="17">
        <f t="shared" si="0"/>
        <v>18</v>
      </c>
      <c r="B10" s="26">
        <f t="shared" si="1"/>
        <v>4.5723245188063961</v>
      </c>
      <c r="C10" s="21">
        <f t="shared" si="2"/>
        <v>17</v>
      </c>
      <c r="D10" s="24">
        <f t="shared" si="3"/>
        <v>1.0059113941374072E-2</v>
      </c>
      <c r="E10" s="25">
        <v>2.2000000000000001E-3</v>
      </c>
      <c r="F10" s="25">
        <f t="shared" si="15"/>
        <v>1.2259113941374073E-2</v>
      </c>
      <c r="G10" s="248" t="s">
        <v>6</v>
      </c>
      <c r="H10" s="101">
        <v>110000</v>
      </c>
      <c r="I10" s="9">
        <v>79.599999999999994</v>
      </c>
      <c r="J10" s="99"/>
      <c r="K10" s="62">
        <f t="shared" si="4"/>
        <v>8756000</v>
      </c>
      <c r="L10" s="99"/>
      <c r="M10" s="38">
        <v>75.92</v>
      </c>
      <c r="N10" s="37">
        <f t="shared" si="5"/>
        <v>4.8472075869335995E-2</v>
      </c>
      <c r="O10" s="82">
        <f t="shared" si="6"/>
        <v>8</v>
      </c>
      <c r="P10" s="45" t="s">
        <v>61</v>
      </c>
      <c r="Q10" s="48"/>
      <c r="R10" s="105" t="str">
        <f>_xll.BDP(G10&amp;" EQUITY",$R$1)</f>
        <v>6/24/2024</v>
      </c>
      <c r="S10" s="84">
        <f>_xll.BDP(G10&amp;" EQUITY",$S$1)</f>
        <v>111.565</v>
      </c>
      <c r="T10" s="37">
        <f t="shared" si="7"/>
        <v>-0.28651458790839424</v>
      </c>
      <c r="U10" s="106">
        <f t="shared" si="8"/>
        <v>34</v>
      </c>
      <c r="V10" s="47"/>
      <c r="W10" s="105" t="str">
        <f>_xll.BDP(G10&amp;" EQUITY",$W$1)</f>
        <v>6/26/2023</v>
      </c>
      <c r="X10" s="77">
        <f>_xll.BDP(G10&amp;" EQUITY",$X$1)</f>
        <v>81.650000000000006</v>
      </c>
      <c r="Y10" s="37">
        <f t="shared" si="9"/>
        <v>-2.5107164727495523E-2</v>
      </c>
      <c r="Z10" s="40">
        <f t="shared" si="10"/>
        <v>36</v>
      </c>
      <c r="AB10" s="36">
        <v>68.290000000000006</v>
      </c>
      <c r="AC10" s="37">
        <f t="shared" si="11"/>
        <v>0.16561722067652629</v>
      </c>
      <c r="AD10" s="39">
        <f t="shared" si="12"/>
        <v>14</v>
      </c>
      <c r="AE10" s="47"/>
      <c r="AF10" s="47"/>
      <c r="AG10" s="22"/>
      <c r="AH10" s="78" t="str">
        <f t="shared" si="13"/>
        <v>TJX</v>
      </c>
      <c r="AI10" s="96"/>
      <c r="AJ10" s="48"/>
      <c r="AK10" s="48"/>
      <c r="AL10" s="50">
        <f t="shared" si="14"/>
        <v>17</v>
      </c>
      <c r="AM10" s="50"/>
      <c r="AQ10"/>
      <c r="AS10"/>
    </row>
    <row r="11" spans="1:45" x14ac:dyDescent="0.25">
      <c r="A11" s="17">
        <f t="shared" si="0"/>
        <v>45</v>
      </c>
      <c r="B11" s="26">
        <f t="shared" si="1"/>
        <v>-0.18972424005583122</v>
      </c>
      <c r="C11" s="17">
        <f t="shared" si="2"/>
        <v>43</v>
      </c>
      <c r="D11" s="24">
        <f t="shared" si="3"/>
        <v>-9.2964877627357313E-4</v>
      </c>
      <c r="E11" s="85">
        <v>4.8999999999999998E-3</v>
      </c>
      <c r="F11" s="109">
        <f t="shared" si="15"/>
        <v>3.9703512237264267E-3</v>
      </c>
      <c r="G11" s="248" t="s">
        <v>70</v>
      </c>
      <c r="H11" s="101">
        <v>20000</v>
      </c>
      <c r="I11" s="9">
        <v>141.79</v>
      </c>
      <c r="J11" s="99"/>
      <c r="K11" s="62">
        <f t="shared" si="4"/>
        <v>2835800</v>
      </c>
      <c r="L11" s="99"/>
      <c r="M11" s="38">
        <v>144.69</v>
      </c>
      <c r="N11" s="37">
        <f t="shared" si="5"/>
        <v>-2.0042850231529519E-2</v>
      </c>
      <c r="O11" s="82">
        <f t="shared" si="6"/>
        <v>10</v>
      </c>
      <c r="P11" s="45"/>
      <c r="Q11" s="48"/>
      <c r="R11" s="105" t="str">
        <f>_xll.BDP(G11&amp;" EQUITY",$R$1)</f>
        <v>6/24/2024</v>
      </c>
      <c r="S11" s="84">
        <f>_xll.BDP(G11&amp;" EQUITY",$S$1)</f>
        <v>69.040000000000006</v>
      </c>
      <c r="T11" s="37">
        <f t="shared" si="7"/>
        <v>1.0537369640787948</v>
      </c>
      <c r="U11" s="106">
        <f t="shared" si="8"/>
        <v>1</v>
      </c>
      <c r="V11" s="47"/>
      <c r="W11" s="105" t="str">
        <f>_xll.BDP(G11&amp;" EQUITY",$W$1)</f>
        <v>12/11/2023</v>
      </c>
      <c r="X11" s="77">
        <f>_xll.BDP(G11&amp;" EQUITY",$X$1)</f>
        <v>49.846699999999998</v>
      </c>
      <c r="Y11" s="37">
        <f t="shared" si="9"/>
        <v>1.8445213023128915</v>
      </c>
      <c r="Z11" s="39">
        <f t="shared" si="10"/>
        <v>1</v>
      </c>
      <c r="AB11" s="36">
        <v>144.15</v>
      </c>
      <c r="AC11" s="37">
        <f t="shared" si="11"/>
        <v>-1.6371834894207571E-2</v>
      </c>
      <c r="AD11" s="39">
        <f t="shared" si="12"/>
        <v>28</v>
      </c>
      <c r="AE11" s="47"/>
      <c r="AF11" s="47"/>
      <c r="AG11" s="22"/>
      <c r="AH11" s="78" t="str">
        <f t="shared" si="13"/>
        <v>WMT</v>
      </c>
      <c r="AI11" s="96"/>
      <c r="AJ11" s="48"/>
      <c r="AK11" s="48"/>
      <c r="AL11" s="50">
        <f t="shared" si="14"/>
        <v>43</v>
      </c>
      <c r="AM11" s="50"/>
      <c r="AQ11"/>
      <c r="AS11"/>
    </row>
    <row r="12" spans="1:45" x14ac:dyDescent="0.25">
      <c r="A12" s="17">
        <f t="shared" si="0"/>
        <v>27</v>
      </c>
      <c r="B12" s="26">
        <f t="shared" si="1"/>
        <v>1.7993895297276765</v>
      </c>
      <c r="C12" s="18">
        <f t="shared" si="2"/>
        <v>8</v>
      </c>
      <c r="D12" s="24">
        <f t="shared" si="3"/>
        <v>1.4395116237821411E-2</v>
      </c>
      <c r="E12" s="25">
        <v>8.0000000000000002E-3</v>
      </c>
      <c r="F12" s="25">
        <f t="shared" si="15"/>
        <v>2.2395116237821412E-2</v>
      </c>
      <c r="G12" s="249" t="s">
        <v>17</v>
      </c>
      <c r="H12" s="32">
        <v>46000</v>
      </c>
      <c r="I12" s="33">
        <v>347.73</v>
      </c>
      <c r="J12" s="99"/>
      <c r="K12" s="63">
        <f t="shared" si="4"/>
        <v>15995580</v>
      </c>
      <c r="L12" s="99"/>
      <c r="M12" s="38">
        <v>359.32</v>
      </c>
      <c r="N12" s="37">
        <f t="shared" si="5"/>
        <v>-3.2255371256818322E-2</v>
      </c>
      <c r="O12" s="102">
        <f t="shared" si="6"/>
        <v>11</v>
      </c>
      <c r="P12" s="45"/>
      <c r="Q12" s="48"/>
      <c r="R12" s="105" t="str">
        <f>_xll.BDP(G12&amp;" EQUITY",$R$1)</f>
        <v>3/21/2024</v>
      </c>
      <c r="S12" s="84">
        <f>_xll.BDP(G12&amp;" EQUITY",$S$1)</f>
        <v>490</v>
      </c>
      <c r="T12" s="37">
        <f t="shared" si="7"/>
        <v>-0.29034693877551021</v>
      </c>
      <c r="U12" s="40">
        <f t="shared" si="8"/>
        <v>35</v>
      </c>
      <c r="V12" s="47"/>
      <c r="W12" s="105" t="str">
        <f>_xll.BDP(G12&amp;" EQUITY",$W$1)</f>
        <v>10/27/2023</v>
      </c>
      <c r="X12" s="77">
        <f>_xll.BDP(G12&amp;" EQUITY",$X$1)</f>
        <v>359.77</v>
      </c>
      <c r="Y12" s="37">
        <f t="shared" si="9"/>
        <v>-3.346582538844256E-2</v>
      </c>
      <c r="Z12" s="39">
        <f t="shared" si="10"/>
        <v>38</v>
      </c>
      <c r="AB12" s="38">
        <v>356.94</v>
      </c>
      <c r="AC12" s="37">
        <f t="shared" si="11"/>
        <v>-2.5802655908556016E-2</v>
      </c>
      <c r="AD12" s="39">
        <f t="shared" si="12"/>
        <v>30</v>
      </c>
      <c r="AE12" s="47"/>
      <c r="AF12" s="47"/>
      <c r="AG12" s="22"/>
      <c r="AH12" s="78" t="str">
        <f t="shared" si="13"/>
        <v>MA</v>
      </c>
      <c r="AI12" s="96"/>
      <c r="AJ12" s="48"/>
      <c r="AK12" s="48"/>
      <c r="AL12" s="50">
        <f t="shared" si="14"/>
        <v>8</v>
      </c>
      <c r="AM12" s="47"/>
      <c r="AQ12"/>
      <c r="AS12"/>
    </row>
    <row r="13" spans="1:45" x14ac:dyDescent="0.25">
      <c r="A13" s="17">
        <f t="shared" si="0"/>
        <v>32</v>
      </c>
      <c r="B13" s="26">
        <f t="shared" si="1"/>
        <v>1.195865921176857</v>
      </c>
      <c r="C13" s="21">
        <f t="shared" si="2"/>
        <v>13</v>
      </c>
      <c r="D13" s="24">
        <f t="shared" si="3"/>
        <v>1.2197832396003944E-2</v>
      </c>
      <c r="E13" s="25">
        <v>1.0200000000000001E-2</v>
      </c>
      <c r="F13" s="25">
        <f t="shared" si="15"/>
        <v>2.2397832396003944E-2</v>
      </c>
      <c r="G13" s="188" t="s">
        <v>31</v>
      </c>
      <c r="H13" s="29">
        <v>77000</v>
      </c>
      <c r="I13" s="9">
        <v>207.76</v>
      </c>
      <c r="J13" s="99"/>
      <c r="K13" s="62">
        <f t="shared" si="4"/>
        <v>15997520</v>
      </c>
      <c r="L13" s="99"/>
      <c r="M13" s="38">
        <v>216.71</v>
      </c>
      <c r="N13" s="37">
        <f t="shared" si="5"/>
        <v>-4.1299432421208149E-2</v>
      </c>
      <c r="O13" s="102">
        <f t="shared" si="6"/>
        <v>13</v>
      </c>
      <c r="P13" s="45"/>
      <c r="Q13" s="48"/>
      <c r="R13" s="105" t="str">
        <f>_xll.BDP(G13&amp;" EQUITY",$R$1)</f>
        <v>3/21/2024</v>
      </c>
      <c r="S13" s="84">
        <f>_xll.BDP(G13&amp;" EQUITY",$S$1)</f>
        <v>290.95999999999998</v>
      </c>
      <c r="T13" s="37">
        <f t="shared" si="7"/>
        <v>-0.28594995875721751</v>
      </c>
      <c r="U13" s="40">
        <f t="shared" si="8"/>
        <v>33</v>
      </c>
      <c r="V13" s="47"/>
      <c r="W13" s="105" t="str">
        <f>_xll.BDP(G13&amp;" EQUITY",$W$1)</f>
        <v>6/28/2023</v>
      </c>
      <c r="X13" s="77">
        <f>_xll.BDP(G13&amp;" EQUITY",$X$1)</f>
        <v>226.02</v>
      </c>
      <c r="Y13" s="37">
        <f t="shared" si="9"/>
        <v>-8.0789310680470794E-2</v>
      </c>
      <c r="Z13" s="39">
        <f t="shared" si="10"/>
        <v>42</v>
      </c>
      <c r="AB13" s="38">
        <v>218.73</v>
      </c>
      <c r="AC13" s="37">
        <f t="shared" si="11"/>
        <v>-5.0153156860055725E-2</v>
      </c>
      <c r="AD13" s="39">
        <f t="shared" si="12"/>
        <v>32</v>
      </c>
      <c r="AE13" s="47"/>
      <c r="AF13" s="47"/>
      <c r="AG13" s="22"/>
      <c r="AH13" s="78" t="str">
        <f t="shared" si="13"/>
        <v>V</v>
      </c>
      <c r="AI13" s="96"/>
      <c r="AJ13" s="48"/>
      <c r="AK13" s="48"/>
      <c r="AL13" s="50">
        <f t="shared" si="14"/>
        <v>13</v>
      </c>
      <c r="AM13" s="47"/>
      <c r="AQ13"/>
      <c r="AS13"/>
    </row>
    <row r="14" spans="1:45" x14ac:dyDescent="0.25">
      <c r="A14" s="21">
        <f t="shared" si="0"/>
        <v>8</v>
      </c>
      <c r="B14" s="26">
        <f t="shared" si="1"/>
        <v>20.930993875115572</v>
      </c>
      <c r="C14" s="17">
        <f t="shared" si="2"/>
        <v>12</v>
      </c>
      <c r="D14" s="24">
        <f t="shared" si="3"/>
        <v>1.2558596325069341E-2</v>
      </c>
      <c r="E14" s="25">
        <v>5.9999999999999995E-4</v>
      </c>
      <c r="F14" s="25">
        <f t="shared" si="15"/>
        <v>1.3158596325069341E-2</v>
      </c>
      <c r="G14" s="188" t="s">
        <v>22</v>
      </c>
      <c r="H14" s="101">
        <v>85000</v>
      </c>
      <c r="I14" s="9">
        <v>110.57</v>
      </c>
      <c r="J14" s="99"/>
      <c r="K14" s="62">
        <f t="shared" si="4"/>
        <v>9398450</v>
      </c>
      <c r="L14" s="99"/>
      <c r="M14" s="38">
        <v>119.92</v>
      </c>
      <c r="N14" s="37">
        <f t="shared" si="5"/>
        <v>-7.7968645763842659E-2</v>
      </c>
      <c r="O14" s="102">
        <f t="shared" si="6"/>
        <v>14</v>
      </c>
      <c r="P14" s="45"/>
      <c r="Q14" s="48"/>
      <c r="R14" s="105" t="str">
        <f>_xll.BDP(G14&amp;" EQUITY",$R$1)</f>
        <v>5/21/2024</v>
      </c>
      <c r="S14" s="84">
        <f>_xll.BDP(G14&amp;" EQUITY",$S$1)</f>
        <v>146.08000000000001</v>
      </c>
      <c r="T14" s="37">
        <f t="shared" si="7"/>
        <v>-0.24308598028477557</v>
      </c>
      <c r="U14" s="40">
        <f t="shared" si="8"/>
        <v>27</v>
      </c>
      <c r="V14" s="47"/>
      <c r="W14" s="105" t="str">
        <f>_xll.BDP(G14&amp;" EQUITY",$W$1)</f>
        <v>10/30/2023</v>
      </c>
      <c r="X14" s="77">
        <f>_xll.BDP(G14&amp;" EQUITY",$X$1)</f>
        <v>87.59</v>
      </c>
      <c r="Y14" s="37">
        <f t="shared" si="9"/>
        <v>0.2623587167484871</v>
      </c>
      <c r="Z14" s="106">
        <f t="shared" si="10"/>
        <v>17</v>
      </c>
      <c r="AB14" s="38">
        <v>101.79</v>
      </c>
      <c r="AC14" s="123">
        <f t="shared" si="11"/>
        <v>8.6256017290499809E-2</v>
      </c>
      <c r="AD14" s="39">
        <f t="shared" si="12"/>
        <v>19</v>
      </c>
      <c r="AE14" s="47"/>
      <c r="AF14" s="47"/>
      <c r="AG14" s="22"/>
      <c r="AH14" s="78" t="str">
        <f t="shared" si="13"/>
        <v>XYL</v>
      </c>
      <c r="AI14" s="96"/>
      <c r="AJ14" s="48"/>
      <c r="AK14" s="48"/>
      <c r="AL14" s="50">
        <f t="shared" si="14"/>
        <v>12</v>
      </c>
      <c r="AM14" s="47"/>
      <c r="AQ14"/>
      <c r="AS14"/>
    </row>
    <row r="15" spans="1:45" x14ac:dyDescent="0.25">
      <c r="A15" s="18">
        <f t="shared" si="0"/>
        <v>13</v>
      </c>
      <c r="B15" s="26">
        <f t="shared" si="1"/>
        <v>7.3763862821722093</v>
      </c>
      <c r="C15" s="17">
        <f t="shared" si="2"/>
        <v>20</v>
      </c>
      <c r="D15" s="24">
        <f t="shared" si="3"/>
        <v>9.5893021668238716E-3</v>
      </c>
      <c r="E15" s="25">
        <v>1.2999999999999999E-3</v>
      </c>
      <c r="F15" s="25">
        <f t="shared" si="15"/>
        <v>1.0889302166823871E-2</v>
      </c>
      <c r="G15" s="188" t="s">
        <v>30</v>
      </c>
      <c r="H15" s="101">
        <v>18000</v>
      </c>
      <c r="I15" s="9">
        <v>432.09</v>
      </c>
      <c r="J15" s="99"/>
      <c r="K15" s="62">
        <f t="shared" si="4"/>
        <v>7777620</v>
      </c>
      <c r="L15" s="99"/>
      <c r="M15" s="38">
        <v>491.86</v>
      </c>
      <c r="N15" s="37">
        <f t="shared" si="5"/>
        <v>-0.12151831822063197</v>
      </c>
      <c r="O15" s="102">
        <f t="shared" si="6"/>
        <v>15</v>
      </c>
      <c r="P15" s="45"/>
      <c r="Q15" s="48"/>
      <c r="R15" s="105" t="str">
        <f>_xll.BDP(G15&amp;" EQUITY",$R$1)</f>
        <v>6/24/2024</v>
      </c>
      <c r="S15" s="84">
        <f>_xll.BDP(G15&amp;" EQUITY",$S$1)</f>
        <v>568.67999999999995</v>
      </c>
      <c r="T15" s="37">
        <f t="shared" si="7"/>
        <v>-0.24018780333403666</v>
      </c>
      <c r="U15" s="40">
        <f t="shared" si="8"/>
        <v>26</v>
      </c>
      <c r="V15" s="47"/>
      <c r="W15" s="105" t="str">
        <f>_xll.BDP(G15&amp;" EQUITY",$W$1)</f>
        <v>6/26/2023</v>
      </c>
      <c r="X15" s="77">
        <f>_xll.BDP(G15&amp;" EQUITY",$X$1)</f>
        <v>457.44</v>
      </c>
      <c r="Y15" s="37">
        <f t="shared" si="9"/>
        <v>-5.5417103882476448E-2</v>
      </c>
      <c r="Z15" s="107">
        <f t="shared" si="10"/>
        <v>40</v>
      </c>
      <c r="AB15" s="36">
        <v>431.09</v>
      </c>
      <c r="AC15" s="37">
        <f t="shared" si="11"/>
        <v>2.3197012224824842E-3</v>
      </c>
      <c r="AD15" s="39">
        <f t="shared" si="12"/>
        <v>27</v>
      </c>
      <c r="AE15" s="47"/>
      <c r="AF15" s="47"/>
      <c r="AG15" s="22"/>
      <c r="AH15" s="78" t="str">
        <f t="shared" si="13"/>
        <v>ROP</v>
      </c>
      <c r="AI15" s="96"/>
      <c r="AJ15" s="48"/>
      <c r="AK15" s="48"/>
      <c r="AL15" s="50">
        <f t="shared" si="14"/>
        <v>20</v>
      </c>
      <c r="AM15" s="50"/>
      <c r="AQ15"/>
      <c r="AS15"/>
    </row>
    <row r="16" spans="1:45" x14ac:dyDescent="0.25">
      <c r="A16" s="21">
        <f t="shared" si="0"/>
        <v>2</v>
      </c>
      <c r="B16" s="26">
        <f t="shared" si="1"/>
        <v>104</v>
      </c>
      <c r="C16" s="21">
        <f t="shared" si="2"/>
        <v>16</v>
      </c>
      <c r="D16" s="24">
        <f t="shared" si="3"/>
        <v>1.0400000000000001E-2</v>
      </c>
      <c r="E16" s="117">
        <v>1E-4</v>
      </c>
      <c r="F16" s="25">
        <v>1.0500000000000001E-2</v>
      </c>
      <c r="G16" s="188" t="s">
        <v>3</v>
      </c>
      <c r="H16" s="101">
        <v>115000</v>
      </c>
      <c r="I16" s="9">
        <v>78.8</v>
      </c>
      <c r="J16" s="99"/>
      <c r="K16" s="62">
        <f t="shared" si="4"/>
        <v>9062000</v>
      </c>
      <c r="L16" s="99"/>
      <c r="M16" s="38">
        <v>90.58</v>
      </c>
      <c r="N16" s="37">
        <f t="shared" si="5"/>
        <v>-0.13005078383749169</v>
      </c>
      <c r="O16" s="102">
        <f t="shared" si="6"/>
        <v>17</v>
      </c>
      <c r="P16" s="45"/>
      <c r="Q16" s="48"/>
      <c r="R16" s="105" t="str">
        <f>_xll.BDP(G16&amp;" EQUITY",$R$1)</f>
        <v>1/8/2024</v>
      </c>
      <c r="S16" s="84">
        <f>_xll.BDP(G16&amp;" EQUITY",$S$1)</f>
        <v>75.86</v>
      </c>
      <c r="T16" s="37">
        <f t="shared" si="7"/>
        <v>3.8755602425520674E-2</v>
      </c>
      <c r="U16" s="40">
        <f t="shared" si="8"/>
        <v>4</v>
      </c>
      <c r="V16" s="47"/>
      <c r="W16" s="105" t="str">
        <f>_xll.BDP(G16&amp;" EQUITY",$W$1)</f>
        <v>9/26/2023</v>
      </c>
      <c r="X16" s="77">
        <f>_xll.BDP(G16&amp;" EQUITY",$X$1)</f>
        <v>44.13</v>
      </c>
      <c r="Y16" s="37">
        <f t="shared" si="9"/>
        <v>0.78563335599365502</v>
      </c>
      <c r="Z16" s="107">
        <f t="shared" si="10"/>
        <v>4</v>
      </c>
      <c r="AB16" s="36">
        <v>77.63</v>
      </c>
      <c r="AC16" s="37">
        <f t="shared" si="11"/>
        <v>1.5071492979518153E-2</v>
      </c>
      <c r="AD16" s="39">
        <f t="shared" si="12"/>
        <v>25</v>
      </c>
      <c r="AE16" s="47"/>
      <c r="AF16" s="47"/>
      <c r="AG16" s="22"/>
      <c r="AH16" s="78" t="str">
        <f t="shared" si="13"/>
        <v>PLNT</v>
      </c>
      <c r="AI16" s="96"/>
      <c r="AJ16" s="48"/>
      <c r="AK16" s="48"/>
      <c r="AL16" s="50">
        <f t="shared" si="14"/>
        <v>16</v>
      </c>
      <c r="AM16" s="47"/>
      <c r="AQ16"/>
      <c r="AS16"/>
    </row>
    <row r="17" spans="1:45" x14ac:dyDescent="0.25">
      <c r="A17" s="21">
        <f t="shared" si="0"/>
        <v>34</v>
      </c>
      <c r="B17" s="26">
        <f t="shared" si="1"/>
        <v>0.87750934163803462</v>
      </c>
      <c r="C17" s="17">
        <f t="shared" si="2"/>
        <v>15</v>
      </c>
      <c r="D17" s="24">
        <f t="shared" si="3"/>
        <v>1.0530112099656416E-2</v>
      </c>
      <c r="E17" s="25">
        <v>1.2E-2</v>
      </c>
      <c r="F17" s="109">
        <f>+K17/$K$74</f>
        <v>2.2530112099656417E-2</v>
      </c>
      <c r="G17" s="188" t="s">
        <v>15</v>
      </c>
      <c r="H17" s="29">
        <v>120000</v>
      </c>
      <c r="I17" s="9">
        <v>134.1</v>
      </c>
      <c r="J17" s="99"/>
      <c r="K17" s="62">
        <f t="shared" si="4"/>
        <v>16092000</v>
      </c>
      <c r="L17" s="99"/>
      <c r="M17" s="36">
        <v>158.35</v>
      </c>
      <c r="N17" s="37">
        <f t="shared" si="5"/>
        <v>-0.1531417745500474</v>
      </c>
      <c r="O17" s="102">
        <f t="shared" si="6"/>
        <v>18</v>
      </c>
      <c r="P17" s="45"/>
      <c r="Q17" s="48"/>
      <c r="R17" s="105" t="str">
        <f>_xll.BDP(G17&amp;" EQUITY",$R$1)</f>
        <v>5/20/2024</v>
      </c>
      <c r="S17" s="84">
        <f>_xll.BDP(G17&amp;" EQUITY",$S$1)</f>
        <v>205.88</v>
      </c>
      <c r="T17" s="37">
        <f t="shared" si="7"/>
        <v>-0.34864969885370123</v>
      </c>
      <c r="U17" s="39">
        <f t="shared" si="8"/>
        <v>39</v>
      </c>
      <c r="V17" s="47"/>
      <c r="W17" s="105" t="str">
        <f>_xll.BDP(G17&amp;" EQUITY",$W$1)</f>
        <v>10/27/2023</v>
      </c>
      <c r="X17" s="77">
        <f>_xll.BDP(G17&amp;" EQUITY",$X$1)</f>
        <v>135.19</v>
      </c>
      <c r="Y17" s="37">
        <f t="shared" si="9"/>
        <v>-8.0627265330276421E-3</v>
      </c>
      <c r="Z17" s="40">
        <f t="shared" si="10"/>
        <v>34</v>
      </c>
      <c r="AB17" s="36">
        <v>127.07</v>
      </c>
      <c r="AC17" s="37">
        <f t="shared" si="11"/>
        <v>5.5323837255056185E-2</v>
      </c>
      <c r="AD17" s="39">
        <f t="shared" si="12"/>
        <v>22</v>
      </c>
      <c r="AE17" s="47"/>
      <c r="AF17" s="47"/>
      <c r="AG17" s="22"/>
      <c r="AH17" s="78" t="str">
        <f t="shared" si="13"/>
        <v>JPM</v>
      </c>
      <c r="AI17" s="96"/>
      <c r="AJ17" s="48"/>
      <c r="AK17" s="48"/>
      <c r="AL17" s="50">
        <f t="shared" si="14"/>
        <v>15</v>
      </c>
      <c r="AM17" s="47"/>
      <c r="AQ17"/>
      <c r="AS17"/>
    </row>
    <row r="18" spans="1:45" x14ac:dyDescent="0.25">
      <c r="A18" s="17">
        <f t="shared" si="0"/>
        <v>25</v>
      </c>
      <c r="B18" s="26">
        <f t="shared" si="1"/>
        <v>2.0566860140574126</v>
      </c>
      <c r="C18" s="17">
        <f t="shared" si="2"/>
        <v>31</v>
      </c>
      <c r="D18" s="24">
        <f t="shared" si="3"/>
        <v>4.93604643373779E-3</v>
      </c>
      <c r="E18" s="25">
        <v>2.3999999999999998E-3</v>
      </c>
      <c r="F18" s="25">
        <f>+K18/$K$74</f>
        <v>7.3360464337377893E-3</v>
      </c>
      <c r="G18" s="188" t="s">
        <v>12</v>
      </c>
      <c r="H18" s="101">
        <v>2600</v>
      </c>
      <c r="I18" s="9">
        <v>2015.28</v>
      </c>
      <c r="J18" s="99"/>
      <c r="K18" s="62">
        <f t="shared" si="4"/>
        <v>5239728</v>
      </c>
      <c r="L18" s="99"/>
      <c r="M18" s="38">
        <v>2399.23</v>
      </c>
      <c r="N18" s="37">
        <f t="shared" si="5"/>
        <v>-0.16003050978855715</v>
      </c>
      <c r="O18" s="102">
        <f t="shared" si="6"/>
        <v>20</v>
      </c>
      <c r="P18" s="45"/>
      <c r="Q18" s="48"/>
      <c r="R18" s="105" t="str">
        <f>_xll.BDP(G18&amp;" EQUITY",$R$1)</f>
        <v>6/25/2024</v>
      </c>
      <c r="S18" s="84">
        <f>_xll.BDP(G18&amp;" EQUITY",$S$1)</f>
        <v>4033</v>
      </c>
      <c r="T18" s="37">
        <f t="shared" si="7"/>
        <v>-0.50030250433920154</v>
      </c>
      <c r="U18" s="39">
        <f t="shared" si="8"/>
        <v>50</v>
      </c>
      <c r="V18" s="47"/>
      <c r="W18" s="105" t="str">
        <f>_xll.BDP(G18&amp;" EQUITY",$W$1)</f>
        <v>6/26/2023</v>
      </c>
      <c r="X18" s="77">
        <f>_xll.BDP(G18&amp;" EQUITY",$X$1)</f>
        <v>2605</v>
      </c>
      <c r="Y18" s="37">
        <f t="shared" si="9"/>
        <v>-0.22638003838771592</v>
      </c>
      <c r="Z18" s="39">
        <f t="shared" si="10"/>
        <v>51</v>
      </c>
      <c r="AB18" s="36">
        <v>2227.27</v>
      </c>
      <c r="AC18" s="37">
        <f t="shared" si="11"/>
        <v>-9.5179300219551344E-2</v>
      </c>
      <c r="AD18" s="39">
        <f t="shared" si="12"/>
        <v>38</v>
      </c>
      <c r="AE18" s="47"/>
      <c r="AF18" s="47"/>
      <c r="AG18" s="22"/>
      <c r="AH18" s="78" t="str">
        <f t="shared" si="13"/>
        <v>BKNG</v>
      </c>
      <c r="AI18" s="96"/>
      <c r="AJ18" s="48"/>
      <c r="AK18" s="48"/>
      <c r="AL18" s="50">
        <f t="shared" si="14"/>
        <v>31</v>
      </c>
      <c r="AM18" s="47"/>
      <c r="AQ18"/>
      <c r="AS18"/>
    </row>
    <row r="19" spans="1:45" x14ac:dyDescent="0.25">
      <c r="A19" s="17">
        <f t="shared" si="0"/>
        <v>20</v>
      </c>
      <c r="B19" s="26">
        <f t="shared" si="1"/>
        <v>3.5990123968478711</v>
      </c>
      <c r="C19" s="18">
        <f t="shared" si="2"/>
        <v>1</v>
      </c>
      <c r="D19" s="24">
        <f t="shared" si="3"/>
        <v>2.0514370662032867E-2</v>
      </c>
      <c r="E19" s="25">
        <v>5.7000000000000002E-3</v>
      </c>
      <c r="F19" s="109">
        <f>+K19/$K$74</f>
        <v>2.6214370662032867E-2</v>
      </c>
      <c r="G19" s="3" t="s">
        <v>41</v>
      </c>
      <c r="H19" s="29">
        <v>34000</v>
      </c>
      <c r="I19" s="9">
        <v>550.69000000000005</v>
      </c>
      <c r="J19" s="99"/>
      <c r="K19" s="62">
        <f t="shared" si="4"/>
        <v>18723460</v>
      </c>
      <c r="L19" s="99"/>
      <c r="M19" s="36">
        <v>667.24</v>
      </c>
      <c r="N19" s="37">
        <f t="shared" si="5"/>
        <v>-0.17467477968946699</v>
      </c>
      <c r="O19" s="17">
        <f t="shared" si="6"/>
        <v>22</v>
      </c>
      <c r="P19" s="45"/>
      <c r="Q19" s="48"/>
      <c r="R19" s="105" t="str">
        <f>_xll.BDP(G19&amp;" EQUITY",$R$1)</f>
        <v>3/8/2024</v>
      </c>
      <c r="S19" s="84">
        <f>_xll.BDP(G19&amp;" EQUITY",$S$1)</f>
        <v>603.82000000000005</v>
      </c>
      <c r="T19" s="37">
        <f t="shared" si="7"/>
        <v>-8.7989798284256904E-2</v>
      </c>
      <c r="U19" s="40">
        <f t="shared" si="8"/>
        <v>14</v>
      </c>
      <c r="V19" s="47"/>
      <c r="W19" s="105" t="str">
        <f>_xll.BDP(G19&amp;" EQUITY",$W$1)</f>
        <v>10/25/2023</v>
      </c>
      <c r="X19" s="77">
        <f>_xll.BDP(G19&amp;" EQUITY",$X$1)</f>
        <v>415.6</v>
      </c>
      <c r="Y19" s="37">
        <f t="shared" si="9"/>
        <v>0.32504812319538012</v>
      </c>
      <c r="Z19" s="107">
        <f t="shared" si="10"/>
        <v>12</v>
      </c>
      <c r="AB19" s="36">
        <v>465.78</v>
      </c>
      <c r="AC19" s="37">
        <f t="shared" si="11"/>
        <v>0.18229636308987085</v>
      </c>
      <c r="AD19" s="40">
        <f t="shared" si="12"/>
        <v>12</v>
      </c>
      <c r="AE19" s="47"/>
      <c r="AF19" s="47"/>
      <c r="AG19" s="22"/>
      <c r="AH19" s="78" t="str">
        <f t="shared" si="13"/>
        <v>TMO</v>
      </c>
      <c r="AI19" s="96"/>
      <c r="AJ19" s="48"/>
      <c r="AK19" s="48"/>
      <c r="AL19" s="50">
        <f t="shared" si="14"/>
        <v>1</v>
      </c>
      <c r="AM19" s="47"/>
      <c r="AQ19"/>
      <c r="AS19"/>
    </row>
    <row r="20" spans="1:45" ht="15.75" thickBot="1" x14ac:dyDescent="0.3">
      <c r="A20" s="17">
        <f t="shared" si="0"/>
        <v>24</v>
      </c>
      <c r="B20" s="26">
        <f t="shared" si="1"/>
        <v>3.0075549590101316</v>
      </c>
      <c r="C20" s="18">
        <f t="shared" si="2"/>
        <v>6</v>
      </c>
      <c r="D20" s="24">
        <f t="shared" si="3"/>
        <v>1.5338530290951672E-2</v>
      </c>
      <c r="E20" s="25">
        <v>5.1000000000000004E-3</v>
      </c>
      <c r="F20" s="109">
        <f>+K20/$K$74</f>
        <v>2.0438530290951672E-2</v>
      </c>
      <c r="G20" s="256" t="s">
        <v>39</v>
      </c>
      <c r="H20" s="257">
        <v>55000</v>
      </c>
      <c r="I20" s="258">
        <v>265.42</v>
      </c>
      <c r="J20" s="99"/>
      <c r="K20" s="62">
        <f t="shared" si="4"/>
        <v>14598100</v>
      </c>
      <c r="L20" s="99"/>
      <c r="M20" s="252">
        <v>329.01</v>
      </c>
      <c r="N20" s="253">
        <f t="shared" si="5"/>
        <v>-0.19327680009726145</v>
      </c>
      <c r="O20" s="254">
        <f t="shared" si="6"/>
        <v>23</v>
      </c>
      <c r="P20" s="255"/>
      <c r="Q20" s="48"/>
      <c r="R20" s="105" t="str">
        <f>_xll.BDP(G20&amp;" EQUITY",$R$1)</f>
        <v>6/6/2024</v>
      </c>
      <c r="S20" s="84">
        <f>_xll.BDP(G20&amp;" EQUITY",$S$1)</f>
        <v>269.11</v>
      </c>
      <c r="T20" s="37">
        <f t="shared" si="7"/>
        <v>-1.3711865036602155E-2</v>
      </c>
      <c r="U20" s="40">
        <f t="shared" si="8"/>
        <v>6</v>
      </c>
      <c r="V20" s="47"/>
      <c r="W20" s="105" t="str">
        <f>_xll.BDP(G20&amp;" EQUITY",$W$1)</f>
        <v>10/30/2023</v>
      </c>
      <c r="X20" s="77">
        <f>_xll.BDP(G20&amp;" EQUITY",$X$1)</f>
        <v>182.09</v>
      </c>
      <c r="Y20" s="37">
        <f t="shared" si="9"/>
        <v>0.45763084189137238</v>
      </c>
      <c r="Z20" s="107">
        <f t="shared" si="10"/>
        <v>5</v>
      </c>
      <c r="AB20" s="36">
        <v>222.14</v>
      </c>
      <c r="AC20" s="37">
        <f t="shared" si="11"/>
        <v>0.19483208787251294</v>
      </c>
      <c r="AD20" s="40">
        <f t="shared" si="12"/>
        <v>10</v>
      </c>
      <c r="AE20" s="47"/>
      <c r="AF20" s="47"/>
      <c r="AG20" s="22"/>
      <c r="AH20" s="78" t="str">
        <f t="shared" si="13"/>
        <v>DHR</v>
      </c>
      <c r="AI20" s="96"/>
      <c r="AJ20" s="48"/>
      <c r="AK20" s="48"/>
      <c r="AL20" s="50">
        <f t="shared" si="14"/>
        <v>6</v>
      </c>
      <c r="AM20" s="47"/>
      <c r="AQ20"/>
      <c r="AS20"/>
    </row>
    <row r="21" spans="1:45" x14ac:dyDescent="0.25">
      <c r="A21" s="17">
        <f t="shared" si="0"/>
        <v>30</v>
      </c>
      <c r="B21" s="26">
        <f t="shared" si="1"/>
        <v>1.5998802243438752</v>
      </c>
      <c r="C21" s="21">
        <f t="shared" si="2"/>
        <v>21</v>
      </c>
      <c r="D21" s="24">
        <f t="shared" si="3"/>
        <v>9.4392933236288647E-3</v>
      </c>
      <c r="E21" s="25">
        <v>5.8999999999999999E-3</v>
      </c>
      <c r="F21" s="109">
        <f>+K21/$K$74</f>
        <v>1.5339293323628864E-2</v>
      </c>
      <c r="G21" s="3" t="s">
        <v>43</v>
      </c>
      <c r="H21" s="101">
        <v>24000</v>
      </c>
      <c r="I21" s="9">
        <v>456.5</v>
      </c>
      <c r="J21" s="99"/>
      <c r="K21" s="62">
        <f t="shared" si="4"/>
        <v>10956000</v>
      </c>
      <c r="L21" s="99"/>
      <c r="M21" s="36">
        <v>567.70000000000005</v>
      </c>
      <c r="N21" s="37">
        <f t="shared" si="5"/>
        <v>-0.19587810463272859</v>
      </c>
      <c r="O21" s="17">
        <f t="shared" si="6"/>
        <v>24</v>
      </c>
      <c r="P21" s="45"/>
      <c r="Q21" s="48"/>
      <c r="R21" s="105" t="str">
        <f>_xll.BDP(G21&amp;" EQUITY",$R$1)</f>
        <v>6/18/2024</v>
      </c>
      <c r="S21" s="84">
        <f>_xll.BDP(G21&amp;" EQUITY",$S$1)</f>
        <v>873.96</v>
      </c>
      <c r="T21" s="37">
        <f t="shared" si="7"/>
        <v>-0.47766488168794907</v>
      </c>
      <c r="U21" s="39">
        <f t="shared" si="8"/>
        <v>48</v>
      </c>
      <c r="V21" s="47"/>
      <c r="W21" s="105" t="str">
        <f>_xll.BDP(G21&amp;" EQUITY",$W$1)</f>
        <v>6/26/2023</v>
      </c>
      <c r="X21" s="77">
        <f>_xll.BDP(G21&amp;" EQUITY",$X$1)</f>
        <v>509.67</v>
      </c>
      <c r="Y21" s="37">
        <f t="shared" si="9"/>
        <v>-0.10432240469323295</v>
      </c>
      <c r="Z21" s="40">
        <f t="shared" si="10"/>
        <v>44</v>
      </c>
      <c r="AB21" s="36">
        <v>376.78</v>
      </c>
      <c r="AC21" s="37">
        <f t="shared" si="11"/>
        <v>0.21158235575136697</v>
      </c>
      <c r="AD21" s="106">
        <f t="shared" si="12"/>
        <v>9</v>
      </c>
      <c r="AE21" s="47"/>
      <c r="AF21" s="47"/>
      <c r="AG21" s="22"/>
      <c r="AH21" s="78" t="str">
        <f t="shared" si="13"/>
        <v>COST</v>
      </c>
      <c r="AI21" s="96"/>
      <c r="AJ21" s="48"/>
      <c r="AK21" s="48"/>
      <c r="AL21" s="50">
        <f t="shared" si="14"/>
        <v>21</v>
      </c>
      <c r="AM21" s="47"/>
      <c r="AQ21"/>
      <c r="AS21"/>
    </row>
    <row r="22" spans="1:45" x14ac:dyDescent="0.25">
      <c r="A22" s="17">
        <f t="shared" si="0"/>
        <v>33</v>
      </c>
      <c r="B22" s="26">
        <f t="shared" si="1"/>
        <v>1.144144144144144</v>
      </c>
      <c r="C22" s="18">
        <f t="shared" si="2"/>
        <v>11</v>
      </c>
      <c r="D22" s="24">
        <f t="shared" si="3"/>
        <v>1.2700000000000001E-2</v>
      </c>
      <c r="E22" s="25">
        <v>1.11E-2</v>
      </c>
      <c r="F22" s="25">
        <v>2.3800000000000002E-2</v>
      </c>
      <c r="G22" s="3" t="s">
        <v>13</v>
      </c>
      <c r="H22" s="29">
        <v>51000</v>
      </c>
      <c r="I22" s="9">
        <v>315.86</v>
      </c>
      <c r="J22" s="99"/>
      <c r="K22" s="62">
        <f t="shared" si="4"/>
        <v>16108860</v>
      </c>
      <c r="L22" s="99"/>
      <c r="M22" s="38">
        <v>415.01</v>
      </c>
      <c r="N22" s="37">
        <f t="shared" si="5"/>
        <v>-0.23890990578540272</v>
      </c>
      <c r="O22" s="17">
        <f t="shared" si="6"/>
        <v>26</v>
      </c>
      <c r="P22" s="45"/>
      <c r="Q22" s="48"/>
      <c r="R22" s="105" t="str">
        <f>_xll.BDP(G22&amp;" EQUITY",$R$1)</f>
        <v>3/21/2024</v>
      </c>
      <c r="S22" s="84">
        <f>_xll.BDP(G22&amp;" EQUITY",$S$1)</f>
        <v>396.87299999999999</v>
      </c>
      <c r="T22" s="37">
        <f t="shared" si="7"/>
        <v>-0.2041282727723982</v>
      </c>
      <c r="U22" s="39">
        <f t="shared" si="8"/>
        <v>24</v>
      </c>
      <c r="V22" s="47"/>
      <c r="W22" s="105" t="str">
        <f>_xll.BDP(G22&amp;" EQUITY",$W$1)</f>
        <v>10/27/2023</v>
      </c>
      <c r="X22" s="77">
        <f>_xll.BDP(G22&amp;" EQUITY",$X$1)</f>
        <v>274.26</v>
      </c>
      <c r="Y22" s="37">
        <f t="shared" si="9"/>
        <v>0.15168088674979963</v>
      </c>
      <c r="Z22" s="107">
        <f t="shared" si="10"/>
        <v>23</v>
      </c>
      <c r="AB22" s="38">
        <v>265.62</v>
      </c>
      <c r="AC22" s="37">
        <f t="shared" si="11"/>
        <v>0.18914238385663729</v>
      </c>
      <c r="AD22" s="40">
        <f t="shared" si="12"/>
        <v>11</v>
      </c>
      <c r="AE22" s="47"/>
      <c r="AF22" s="47"/>
      <c r="AG22" s="22"/>
      <c r="AH22" s="78" t="str">
        <f t="shared" si="13"/>
        <v>HD</v>
      </c>
      <c r="AI22" s="96"/>
      <c r="AJ22" s="48"/>
      <c r="AK22" s="48"/>
      <c r="AL22" s="50">
        <f t="shared" si="14"/>
        <v>11</v>
      </c>
      <c r="AM22" s="47"/>
      <c r="AQ22"/>
      <c r="AS22"/>
    </row>
    <row r="23" spans="1:45" x14ac:dyDescent="0.25">
      <c r="A23" s="17">
        <f t="shared" si="0"/>
        <v>36</v>
      </c>
      <c r="B23" s="26">
        <f t="shared" si="1"/>
        <v>0.8661379476880251</v>
      </c>
      <c r="C23" s="17">
        <f t="shared" si="2"/>
        <v>29</v>
      </c>
      <c r="D23" s="24">
        <f t="shared" si="3"/>
        <v>7.1023311710418056E-3</v>
      </c>
      <c r="E23" s="25">
        <v>8.2000000000000007E-3</v>
      </c>
      <c r="F23" s="109">
        <f>+K23/$K$74</f>
        <v>1.5302331171041806E-2</v>
      </c>
      <c r="G23" s="3" t="s">
        <v>11</v>
      </c>
      <c r="H23" s="101">
        <v>330000</v>
      </c>
      <c r="I23" s="9">
        <v>33.119999999999997</v>
      </c>
      <c r="J23" s="99"/>
      <c r="K23" s="62">
        <f t="shared" si="4"/>
        <v>10929600</v>
      </c>
      <c r="L23" s="99"/>
      <c r="M23" s="38">
        <v>44.49</v>
      </c>
      <c r="N23" s="37">
        <f t="shared" si="5"/>
        <v>-0.25556304787592732</v>
      </c>
      <c r="O23" s="17">
        <f t="shared" si="6"/>
        <v>27</v>
      </c>
      <c r="P23" s="45"/>
      <c r="Q23" s="48"/>
      <c r="R23" s="105" t="str">
        <f>_xll.BDP(G23&amp;" EQUITY",$R$1)</f>
        <v>6/24/2024</v>
      </c>
      <c r="S23" s="84">
        <f>_xll.BDP(G23&amp;" EQUITY",$S$1)</f>
        <v>40.340000000000003</v>
      </c>
      <c r="T23" s="37">
        <f t="shared" si="7"/>
        <v>-0.17897868120971749</v>
      </c>
      <c r="U23" s="39">
        <f t="shared" si="8"/>
        <v>20</v>
      </c>
      <c r="V23" s="47"/>
      <c r="W23" s="105" t="str">
        <f>_xll.BDP(G23&amp;" EQUITY",$W$1)</f>
        <v>10/27/2023</v>
      </c>
      <c r="X23" s="77">
        <f>_xll.BDP(G23&amp;" EQUITY",$X$1)</f>
        <v>24.96</v>
      </c>
      <c r="Y23" s="37">
        <f t="shared" si="9"/>
        <v>0.32692307692307687</v>
      </c>
      <c r="Z23" s="40">
        <f t="shared" si="10"/>
        <v>11</v>
      </c>
      <c r="AB23" s="36">
        <v>30.31</v>
      </c>
      <c r="AC23" s="37">
        <f t="shared" si="11"/>
        <v>9.2708677004289086E-2</v>
      </c>
      <c r="AD23" s="40">
        <f t="shared" si="12"/>
        <v>18</v>
      </c>
      <c r="AE23" s="47"/>
      <c r="AF23" s="47"/>
      <c r="AG23" s="22"/>
      <c r="AH23" s="78" t="str">
        <f t="shared" si="13"/>
        <v>BAC</v>
      </c>
      <c r="AI23" s="96"/>
      <c r="AJ23" s="48"/>
      <c r="AK23" s="48"/>
      <c r="AL23" s="50">
        <f t="shared" si="14"/>
        <v>29</v>
      </c>
      <c r="AM23" s="47"/>
      <c r="AQ23"/>
      <c r="AS23"/>
    </row>
    <row r="24" spans="1:45" x14ac:dyDescent="0.25">
      <c r="A24" s="21">
        <f t="shared" si="0"/>
        <v>17</v>
      </c>
      <c r="B24" s="26">
        <f t="shared" si="1"/>
        <v>4.6325957707949463</v>
      </c>
      <c r="C24" s="21">
        <f t="shared" si="2"/>
        <v>9</v>
      </c>
      <c r="D24" s="24">
        <f t="shared" si="3"/>
        <v>1.4361046889464333E-2</v>
      </c>
      <c r="E24" s="25">
        <v>3.0999999999999999E-3</v>
      </c>
      <c r="F24" s="25">
        <f>+K24/$K$74</f>
        <v>1.7461046889464333E-2</v>
      </c>
      <c r="G24" s="3" t="s">
        <v>19</v>
      </c>
      <c r="H24" s="101">
        <v>47000</v>
      </c>
      <c r="I24" s="9">
        <v>265.35000000000002</v>
      </c>
      <c r="J24" s="99"/>
      <c r="K24" s="62">
        <f t="shared" si="4"/>
        <v>12471450.000000002</v>
      </c>
      <c r="L24" s="99"/>
      <c r="M24" s="38">
        <v>359.3</v>
      </c>
      <c r="N24" s="37">
        <f t="shared" si="5"/>
        <v>-0.26148065683273025</v>
      </c>
      <c r="O24" s="17">
        <f t="shared" si="6"/>
        <v>29</v>
      </c>
      <c r="P24" s="45"/>
      <c r="Q24" s="48"/>
      <c r="R24" s="105" t="str">
        <f>_xll.BDP(G24&amp;" EQUITY",$R$1)</f>
        <v>6/20/2024</v>
      </c>
      <c r="S24" s="84">
        <f>_xll.BDP(G24&amp;" EQUITY",$S$1)</f>
        <v>437.2</v>
      </c>
      <c r="T24" s="37">
        <f t="shared" si="7"/>
        <v>-0.39306953339432749</v>
      </c>
      <c r="U24" s="39">
        <f t="shared" si="8"/>
        <v>42</v>
      </c>
      <c r="V24" s="47"/>
      <c r="W24" s="105" t="str">
        <f>_xll.BDP(G24&amp;" EQUITY",$W$1)</f>
        <v>10/30/2023</v>
      </c>
      <c r="X24" s="77">
        <f>_xll.BDP(G24&amp;" EQUITY",$X$1)</f>
        <v>254.85</v>
      </c>
      <c r="Y24" s="37">
        <f t="shared" si="9"/>
        <v>4.1200706297822354E-2</v>
      </c>
      <c r="Z24" s="40">
        <f t="shared" si="10"/>
        <v>31</v>
      </c>
      <c r="AB24" s="38">
        <v>272.7</v>
      </c>
      <c r="AC24" s="37">
        <f t="shared" si="11"/>
        <v>-2.6952695269526816E-2</v>
      </c>
      <c r="AD24" s="39">
        <f t="shared" si="12"/>
        <v>31</v>
      </c>
      <c r="AE24" s="47"/>
      <c r="AF24" s="47"/>
      <c r="AG24" s="22"/>
      <c r="AH24" s="78" t="str">
        <f t="shared" si="13"/>
        <v>ISRG</v>
      </c>
      <c r="AI24" s="96"/>
      <c r="AJ24" s="48"/>
      <c r="AK24" s="48"/>
      <c r="AL24" s="50">
        <f t="shared" si="14"/>
        <v>9</v>
      </c>
      <c r="AM24" s="47"/>
      <c r="AQ24"/>
      <c r="AS24"/>
    </row>
    <row r="25" spans="1:45" x14ac:dyDescent="0.25">
      <c r="A25" s="17">
        <f t="shared" si="0"/>
        <v>15</v>
      </c>
      <c r="B25" s="26">
        <f t="shared" si="1"/>
        <v>6.5115841232982055</v>
      </c>
      <c r="C25" s="18">
        <f t="shared" si="2"/>
        <v>10</v>
      </c>
      <c r="D25" s="24">
        <f t="shared" si="3"/>
        <v>1.3674326658926232E-2</v>
      </c>
      <c r="E25" s="25">
        <v>2.0999999999999999E-3</v>
      </c>
      <c r="F25" s="109">
        <f>+K25/$K$74</f>
        <v>1.5774326658926231E-2</v>
      </c>
      <c r="G25" s="3" t="s">
        <v>27</v>
      </c>
      <c r="H25" s="29">
        <v>67000</v>
      </c>
      <c r="I25" s="9">
        <v>168.16</v>
      </c>
      <c r="J25" s="99"/>
      <c r="K25" s="62">
        <f t="shared" si="4"/>
        <v>11266720</v>
      </c>
      <c r="L25" s="99"/>
      <c r="M25" s="36">
        <v>228.46</v>
      </c>
      <c r="N25" s="37">
        <f t="shared" si="5"/>
        <v>-0.26394117132101902</v>
      </c>
      <c r="O25" s="17">
        <f t="shared" si="6"/>
        <v>30</v>
      </c>
      <c r="P25" s="45"/>
      <c r="Q25" s="48"/>
      <c r="R25" s="105" t="str">
        <f>_xll.BDP(G25&amp;" EQUITY",$R$1)</f>
        <v>2/29/2024</v>
      </c>
      <c r="S25" s="84">
        <f>_xll.BDP(G25&amp;" EQUITY",$S$1)</f>
        <v>222.63</v>
      </c>
      <c r="T25" s="37">
        <f t="shared" si="7"/>
        <v>-0.24466603782059915</v>
      </c>
      <c r="U25" s="39">
        <f t="shared" si="8"/>
        <v>28</v>
      </c>
      <c r="V25" s="47"/>
      <c r="W25" s="105" t="str">
        <f>_xll.BDP(G25&amp;" EQUITY",$W$1)</f>
        <v>6/26/2023</v>
      </c>
      <c r="X25" s="77">
        <f>_xll.BDP(G25&amp;" EQUITY",$X$1)</f>
        <v>173.62</v>
      </c>
      <c r="Y25" s="37">
        <f t="shared" si="9"/>
        <v>-3.1447989862919079E-2</v>
      </c>
      <c r="Z25" s="107">
        <f t="shared" si="10"/>
        <v>37</v>
      </c>
      <c r="AB25" s="36">
        <v>182.05</v>
      </c>
      <c r="AC25" s="37">
        <f t="shared" si="11"/>
        <v>-7.6297720406481861E-2</v>
      </c>
      <c r="AD25" s="39">
        <f t="shared" si="12"/>
        <v>36</v>
      </c>
      <c r="AE25" s="47"/>
      <c r="AF25" s="47"/>
      <c r="AG25" s="22"/>
      <c r="AH25" s="78" t="str">
        <f t="shared" si="13"/>
        <v>CME</v>
      </c>
      <c r="AI25" s="96"/>
      <c r="AJ25" s="48"/>
      <c r="AK25" s="48"/>
      <c r="AL25" s="50">
        <f t="shared" si="14"/>
        <v>10</v>
      </c>
      <c r="AM25" s="50"/>
      <c r="AQ25"/>
      <c r="AS25"/>
    </row>
    <row r="26" spans="1:45" x14ac:dyDescent="0.25">
      <c r="A26" s="17">
        <f t="shared" si="0"/>
        <v>44</v>
      </c>
      <c r="B26" s="26">
        <f t="shared" si="1"/>
        <v>-0.15727392485081415</v>
      </c>
      <c r="C26" s="17">
        <f t="shared" si="2"/>
        <v>46</v>
      </c>
      <c r="D26" s="24">
        <f t="shared" si="3"/>
        <v>-9.8453476956609637E-3</v>
      </c>
      <c r="E26" s="25">
        <v>6.2600000000000003E-2</v>
      </c>
      <c r="F26" s="25">
        <f>+K26/$K$74</f>
        <v>5.2754652304339039E-2</v>
      </c>
      <c r="G26" s="3" t="s">
        <v>37</v>
      </c>
      <c r="H26" s="29">
        <v>290000</v>
      </c>
      <c r="I26" s="9">
        <v>129.93</v>
      </c>
      <c r="J26" s="99"/>
      <c r="K26" s="62">
        <f t="shared" si="4"/>
        <v>37679700</v>
      </c>
      <c r="L26" s="99"/>
      <c r="M26" s="36">
        <v>177.57</v>
      </c>
      <c r="N26" s="37">
        <f t="shared" si="5"/>
        <v>-0.26828856225713793</v>
      </c>
      <c r="O26" s="17">
        <f t="shared" si="6"/>
        <v>31</v>
      </c>
      <c r="P26" s="45"/>
      <c r="Q26" s="48"/>
      <c r="R26" s="105" t="str">
        <f>_xll.BDP(G26&amp;" EQUITY",$R$1)</f>
        <v>6/12/2024</v>
      </c>
      <c r="S26" s="84">
        <f>_xll.BDP(G26&amp;" EQUITY",$S$1)</f>
        <v>220.2</v>
      </c>
      <c r="T26" s="37">
        <f t="shared" si="7"/>
        <v>-0.40994550408719344</v>
      </c>
      <c r="U26" s="39">
        <f t="shared" si="8"/>
        <v>44</v>
      </c>
      <c r="V26" s="119"/>
      <c r="W26" s="105" t="str">
        <f>_xll.BDP(G26&amp;" EQUITY",$W$1)</f>
        <v>4/19/2024</v>
      </c>
      <c r="X26" s="77">
        <f>_xll.BDP(G26&amp;" EQUITY",$X$1)</f>
        <v>164.07499999999999</v>
      </c>
      <c r="Y26" s="37">
        <f t="shared" si="9"/>
        <v>-0.2081060490629284</v>
      </c>
      <c r="Z26" s="39">
        <f t="shared" si="10"/>
        <v>48</v>
      </c>
      <c r="AB26" s="36">
        <v>132.69</v>
      </c>
      <c r="AC26" s="37">
        <f t="shared" si="11"/>
        <v>-2.0800361745421547E-2</v>
      </c>
      <c r="AD26" s="40">
        <f t="shared" si="12"/>
        <v>29</v>
      </c>
      <c r="AE26" s="47"/>
      <c r="AF26" s="47"/>
      <c r="AG26" s="22"/>
      <c r="AH26" s="78" t="str">
        <f t="shared" si="13"/>
        <v>AAPL</v>
      </c>
      <c r="AI26" s="96"/>
      <c r="AJ26" s="48"/>
      <c r="AK26" s="48"/>
      <c r="AL26" s="50">
        <f t="shared" si="14"/>
        <v>46</v>
      </c>
      <c r="AM26" s="47"/>
      <c r="AQ26"/>
      <c r="AS26"/>
    </row>
    <row r="27" spans="1:45" x14ac:dyDescent="0.25">
      <c r="A27" s="18">
        <f t="shared" si="0"/>
        <v>23</v>
      </c>
      <c r="B27" s="26">
        <f t="shared" si="1"/>
        <v>3.1290322580645169</v>
      </c>
      <c r="C27" s="21">
        <f t="shared" si="2"/>
        <v>19</v>
      </c>
      <c r="D27" s="24">
        <f t="shared" si="3"/>
        <v>9.7000000000000003E-3</v>
      </c>
      <c r="E27" s="25">
        <v>3.0999999999999999E-3</v>
      </c>
      <c r="F27" s="25">
        <v>1.2800000000000001E-2</v>
      </c>
      <c r="G27" s="3" t="s">
        <v>40</v>
      </c>
      <c r="H27" s="101">
        <v>44000</v>
      </c>
      <c r="I27" s="9">
        <v>211.86</v>
      </c>
      <c r="J27" s="99"/>
      <c r="K27" s="62">
        <f t="shared" si="4"/>
        <v>9321840</v>
      </c>
      <c r="L27" s="99"/>
      <c r="M27" s="36">
        <v>292.5</v>
      </c>
      <c r="N27" s="37">
        <f t="shared" si="5"/>
        <v>-0.27569230769230768</v>
      </c>
      <c r="O27" s="17">
        <f t="shared" si="6"/>
        <v>32</v>
      </c>
      <c r="P27" s="45"/>
      <c r="Q27" s="48"/>
      <c r="R27" s="105" t="str">
        <f>_xll.BDP(G27&amp;" EQUITY",$R$1)</f>
        <v>1/2/2024</v>
      </c>
      <c r="S27" s="84">
        <f>_xll.BDP(G27&amp;" EQUITY",$S$1)</f>
        <v>219.1</v>
      </c>
      <c r="T27" s="37">
        <f t="shared" si="7"/>
        <v>-3.3044272021907739E-2</v>
      </c>
      <c r="U27" s="39">
        <f t="shared" si="8"/>
        <v>7</v>
      </c>
      <c r="V27" s="47"/>
      <c r="W27" s="105" t="str">
        <f>_xll.BDP(G27&amp;" EQUITY",$W$1)</f>
        <v>10/6/2023</v>
      </c>
      <c r="X27" s="77">
        <f>_xll.BDP(G27&amp;" EQUITY",$X$1)</f>
        <v>154.58000000000001</v>
      </c>
      <c r="Y27" s="37">
        <f t="shared" si="9"/>
        <v>0.37055246474317505</v>
      </c>
      <c r="Z27" s="107">
        <f t="shared" si="10"/>
        <v>8</v>
      </c>
      <c r="AB27" s="36">
        <v>224.46</v>
      </c>
      <c r="AC27" s="37">
        <f t="shared" si="11"/>
        <v>-5.6134723336006442E-2</v>
      </c>
      <c r="AD27" s="39">
        <f t="shared" si="12"/>
        <v>33</v>
      </c>
      <c r="AE27" s="47"/>
      <c r="AF27" s="47"/>
      <c r="AG27" s="22"/>
      <c r="AH27" s="78" t="str">
        <f t="shared" si="13"/>
        <v>AMT</v>
      </c>
      <c r="AI27" s="96"/>
      <c r="AJ27" s="48"/>
      <c r="AK27" s="48"/>
      <c r="AL27" s="50">
        <f t="shared" si="14"/>
        <v>19</v>
      </c>
      <c r="AM27" s="50"/>
      <c r="AQ27"/>
      <c r="AS27"/>
    </row>
    <row r="28" spans="1:45" x14ac:dyDescent="0.25">
      <c r="A28" s="17">
        <f t="shared" si="0"/>
        <v>46</v>
      </c>
      <c r="B28" s="26">
        <f t="shared" si="1"/>
        <v>-0.20995869577289383</v>
      </c>
      <c r="C28" s="17">
        <f t="shared" si="2"/>
        <v>47</v>
      </c>
      <c r="D28" s="24">
        <f t="shared" si="3"/>
        <v>-1.2492542398487183E-2</v>
      </c>
      <c r="E28" s="25">
        <v>5.9499999999999997E-2</v>
      </c>
      <c r="F28" s="25">
        <f>+K28/$K$74</f>
        <v>4.7007457601512814E-2</v>
      </c>
      <c r="G28" s="3" t="s">
        <v>38</v>
      </c>
      <c r="H28" s="29">
        <v>140000</v>
      </c>
      <c r="I28" s="9">
        <v>239.82</v>
      </c>
      <c r="J28" s="99"/>
      <c r="K28" s="62">
        <f t="shared" si="4"/>
        <v>33574800</v>
      </c>
      <c r="L28" s="99"/>
      <c r="M28" s="36">
        <v>336.32</v>
      </c>
      <c r="N28" s="37">
        <f t="shared" si="5"/>
        <v>-0.2869291151284491</v>
      </c>
      <c r="O28" s="17">
        <f t="shared" si="6"/>
        <v>34</v>
      </c>
      <c r="P28" s="45"/>
      <c r="Q28" s="48"/>
      <c r="R28" s="105" t="str">
        <f>_xll.BDP(G28&amp;" EQUITY",$R$1)</f>
        <v>6/24/2024</v>
      </c>
      <c r="S28" s="84">
        <f>_xll.BDP(G28&amp;" EQUITY",$S$1)</f>
        <v>452.75</v>
      </c>
      <c r="T28" s="37">
        <f t="shared" si="7"/>
        <v>-0.47030369961347318</v>
      </c>
      <c r="U28" s="39">
        <f t="shared" si="8"/>
        <v>47</v>
      </c>
      <c r="V28" s="119"/>
      <c r="W28" s="105" t="str">
        <f>_xll.BDP(G28&amp;" EQUITY",$W$1)</f>
        <v>9/28/2023</v>
      </c>
      <c r="X28" s="77">
        <f>_xll.BDP(G28&amp;" EQUITY",$X$1)</f>
        <v>309.45</v>
      </c>
      <c r="Y28" s="37">
        <f t="shared" si="9"/>
        <v>-0.22501211827435774</v>
      </c>
      <c r="Z28" s="39">
        <f t="shared" si="10"/>
        <v>50</v>
      </c>
      <c r="AB28" s="36">
        <v>222.42</v>
      </c>
      <c r="AC28" s="37">
        <f t="shared" si="11"/>
        <v>7.8230374966280047E-2</v>
      </c>
      <c r="AD28" s="40">
        <f t="shared" si="12"/>
        <v>21</v>
      </c>
      <c r="AE28" s="47"/>
      <c r="AF28" s="47"/>
      <c r="AG28" s="22"/>
      <c r="AH28" s="78" t="str">
        <f t="shared" si="13"/>
        <v>MSFT</v>
      </c>
      <c r="AI28" s="96"/>
      <c r="AJ28" s="48"/>
      <c r="AK28" s="48"/>
      <c r="AL28" s="50">
        <f t="shared" si="14"/>
        <v>47</v>
      </c>
      <c r="AM28" s="50"/>
      <c r="AQ28"/>
      <c r="AS28"/>
    </row>
    <row r="29" spans="1:45" ht="14.25" customHeight="1" x14ac:dyDescent="0.25">
      <c r="A29" s="17">
        <f t="shared" si="0"/>
        <v>7</v>
      </c>
      <c r="B29" s="26">
        <f t="shared" si="1"/>
        <v>22.447165506645909</v>
      </c>
      <c r="C29" s="17">
        <f t="shared" si="2"/>
        <v>39</v>
      </c>
      <c r="D29" s="24">
        <f t="shared" si="3"/>
        <v>2.2447165506645911E-3</v>
      </c>
      <c r="E29" s="85">
        <v>1E-4</v>
      </c>
      <c r="F29" s="25">
        <f>+K29/$K$74</f>
        <v>2.3447165506645909E-3</v>
      </c>
      <c r="G29" s="3" t="s">
        <v>95</v>
      </c>
      <c r="H29" s="101">
        <v>5000</v>
      </c>
      <c r="I29" s="9">
        <v>334.94</v>
      </c>
      <c r="J29" s="99"/>
      <c r="K29" s="62">
        <f t="shared" si="4"/>
        <v>1674700</v>
      </c>
      <c r="L29" s="99"/>
      <c r="M29" s="38">
        <v>471.93</v>
      </c>
      <c r="N29" s="37">
        <f t="shared" si="5"/>
        <v>-0.29027610026910777</v>
      </c>
      <c r="O29" s="17">
        <f t="shared" si="6"/>
        <v>36</v>
      </c>
      <c r="P29" s="45"/>
      <c r="Q29" s="48"/>
      <c r="R29" s="105" t="str">
        <f>_xll.BDP(G29&amp;" EQUITY",$R$1)</f>
        <v>2/7/2024</v>
      </c>
      <c r="S29" s="84">
        <f>_xll.BDP(G29&amp;" EQUITY",$S$1)</f>
        <v>461.16</v>
      </c>
      <c r="T29" s="37">
        <f t="shared" si="7"/>
        <v>-0.27370110156995409</v>
      </c>
      <c r="U29" s="39">
        <f t="shared" si="8"/>
        <v>31</v>
      </c>
      <c r="V29" s="47"/>
      <c r="W29" s="105" t="str">
        <f>_xll.BDP(G29&amp;" EQUITY",$W$1)</f>
        <v>10/30/2023</v>
      </c>
      <c r="X29" s="77">
        <f>_xll.BDP(G29&amp;" EQUITY",$X$1)</f>
        <v>340.49</v>
      </c>
      <c r="Y29" s="37">
        <f t="shared" si="9"/>
        <v>-1.6300038180269594E-2</v>
      </c>
      <c r="Z29" s="39">
        <f t="shared" si="10"/>
        <v>35</v>
      </c>
      <c r="AB29" s="36">
        <v>378.97</v>
      </c>
      <c r="AC29" s="37">
        <f t="shared" si="11"/>
        <v>-0.11618333905058453</v>
      </c>
      <c r="AD29" s="39">
        <f t="shared" si="12"/>
        <v>40</v>
      </c>
      <c r="AE29" s="47"/>
      <c r="AF29" s="47"/>
      <c r="AG29" s="22"/>
      <c r="AH29" s="78" t="str">
        <f t="shared" si="13"/>
        <v>SPGI</v>
      </c>
      <c r="AI29" s="96"/>
      <c r="AJ29" s="48"/>
      <c r="AK29" s="48"/>
      <c r="AL29" s="50">
        <f t="shared" si="14"/>
        <v>39</v>
      </c>
      <c r="AM29" s="47"/>
      <c r="AQ29"/>
      <c r="AS29"/>
    </row>
    <row r="30" spans="1:45" x14ac:dyDescent="0.25">
      <c r="A30" s="17">
        <f t="shared" si="0"/>
        <v>38</v>
      </c>
      <c r="B30" s="26">
        <f t="shared" si="1"/>
        <v>0.6964285714285714</v>
      </c>
      <c r="C30" s="17">
        <f t="shared" si="2"/>
        <v>33</v>
      </c>
      <c r="D30" s="24">
        <f t="shared" si="3"/>
        <v>3.8999999999999998E-3</v>
      </c>
      <c r="E30" s="25">
        <v>5.5999999999999999E-3</v>
      </c>
      <c r="F30" s="25">
        <v>9.4999999999999998E-3</v>
      </c>
      <c r="G30" s="3" t="s">
        <v>34</v>
      </c>
      <c r="H30" s="101">
        <v>185000</v>
      </c>
      <c r="I30" s="9">
        <v>34.97</v>
      </c>
      <c r="J30" s="99"/>
      <c r="K30" s="62">
        <f t="shared" si="4"/>
        <v>6469450</v>
      </c>
      <c r="L30" s="99"/>
      <c r="M30" s="38">
        <v>50.33</v>
      </c>
      <c r="N30" s="37">
        <f t="shared" si="5"/>
        <v>-0.30518577389231072</v>
      </c>
      <c r="O30" s="17">
        <f t="shared" si="6"/>
        <v>37</v>
      </c>
      <c r="P30" s="45"/>
      <c r="Q30" s="48"/>
      <c r="R30" s="105" t="str">
        <f>_xll.BDP(G30&amp;" EQUITY",$R$1)</f>
        <v>8/16/2023</v>
      </c>
      <c r="S30" s="84">
        <f>_xll.BDP(G30&amp;" EQUITY",$S$1)</f>
        <v>47.454999999999998</v>
      </c>
      <c r="T30" s="37">
        <f t="shared" si="7"/>
        <v>-0.26309134969971548</v>
      </c>
      <c r="U30" s="39">
        <f t="shared" si="8"/>
        <v>30</v>
      </c>
      <c r="V30" s="47"/>
      <c r="W30" s="105" t="str">
        <f>_xll.BDP(G30&amp;" EQUITY",$W$1)</f>
        <v>4/26/2024</v>
      </c>
      <c r="X30" s="77">
        <f>_xll.BDP(G30&amp;" EQUITY",$X$1)</f>
        <v>36.43</v>
      </c>
      <c r="Y30" s="37">
        <f t="shared" si="9"/>
        <v>-4.0076859730990955E-2</v>
      </c>
      <c r="Z30" s="39">
        <f t="shared" si="10"/>
        <v>39</v>
      </c>
      <c r="AB30" s="36">
        <v>52.4</v>
      </c>
      <c r="AC30" s="123">
        <f t="shared" si="11"/>
        <v>-0.33263358778625951</v>
      </c>
      <c r="AD30" s="107">
        <f t="shared" si="12"/>
        <v>48</v>
      </c>
      <c r="AE30" s="47"/>
      <c r="AF30" s="47"/>
      <c r="AG30" s="22"/>
      <c r="AH30" s="78" t="str">
        <f t="shared" si="13"/>
        <v>CMCSA</v>
      </c>
      <c r="AI30" s="96"/>
      <c r="AJ30" s="48"/>
      <c r="AK30" s="48"/>
      <c r="AL30" s="50">
        <f t="shared" si="14"/>
        <v>33</v>
      </c>
      <c r="AM30" s="50"/>
      <c r="AQ30"/>
      <c r="AS30"/>
    </row>
    <row r="31" spans="1:45" x14ac:dyDescent="0.25">
      <c r="A31" s="21">
        <f t="shared" si="0"/>
        <v>28</v>
      </c>
      <c r="B31" s="26">
        <f t="shared" si="1"/>
        <v>1.6685554102625604</v>
      </c>
      <c r="C31" s="21">
        <f t="shared" si="2"/>
        <v>23</v>
      </c>
      <c r="D31" s="24">
        <f t="shared" si="3"/>
        <v>9.343910297470337E-3</v>
      </c>
      <c r="E31" s="85">
        <v>5.5999999999999999E-3</v>
      </c>
      <c r="F31" s="25">
        <f t="shared" ref="F31:F51" si="16">+K31/$K$74</f>
        <v>1.4943910297470338E-2</v>
      </c>
      <c r="G31" s="3" t="s">
        <v>35</v>
      </c>
      <c r="H31" s="101">
        <v>40000</v>
      </c>
      <c r="I31" s="245">
        <v>266.83999999999997</v>
      </c>
      <c r="J31" s="99"/>
      <c r="K31" s="62">
        <f t="shared" si="4"/>
        <v>10673599.999999998</v>
      </c>
      <c r="L31" s="99"/>
      <c r="M31" s="36">
        <v>414.55</v>
      </c>
      <c r="N31" s="37">
        <f t="shared" si="5"/>
        <v>-0.3563140755035582</v>
      </c>
      <c r="O31" s="17">
        <f t="shared" si="6"/>
        <v>38</v>
      </c>
      <c r="P31" s="45"/>
      <c r="Q31" s="48"/>
      <c r="R31" s="108">
        <v>44559</v>
      </c>
      <c r="S31" s="84">
        <v>417.37</v>
      </c>
      <c r="T31" s="37">
        <f t="shared" si="7"/>
        <v>-0.36066320051752643</v>
      </c>
      <c r="U31" s="39">
        <f t="shared" si="8"/>
        <v>41</v>
      </c>
      <c r="V31" s="47"/>
      <c r="W31" s="108">
        <v>44099</v>
      </c>
      <c r="X31" s="77">
        <v>201.42</v>
      </c>
      <c r="Y31" s="37">
        <f t="shared" si="9"/>
        <v>0.32479396286366802</v>
      </c>
      <c r="Z31" s="106">
        <f t="shared" si="10"/>
        <v>13</v>
      </c>
      <c r="AB31" s="36">
        <v>261.20999999999998</v>
      </c>
      <c r="AC31" s="37">
        <f t="shared" si="11"/>
        <v>2.1553539297882951E-2</v>
      </c>
      <c r="AD31" s="39">
        <f t="shared" si="12"/>
        <v>24</v>
      </c>
      <c r="AE31" s="47"/>
      <c r="AF31" s="47"/>
      <c r="AG31" s="22"/>
      <c r="AH31" s="78" t="str">
        <f t="shared" si="13"/>
        <v>A-CN</v>
      </c>
      <c r="AI31" s="96"/>
      <c r="AJ31" s="48"/>
      <c r="AK31" s="48"/>
      <c r="AL31" s="50">
        <f t="shared" si="14"/>
        <v>23</v>
      </c>
      <c r="AM31" s="50"/>
      <c r="AQ31"/>
      <c r="AS31"/>
    </row>
    <row r="32" spans="1:45" x14ac:dyDescent="0.25">
      <c r="A32" s="18">
        <f t="shared" si="0"/>
        <v>4</v>
      </c>
      <c r="B32" s="26">
        <f t="shared" si="1"/>
        <v>38.524301800478533</v>
      </c>
      <c r="C32" s="17">
        <f t="shared" si="2"/>
        <v>34</v>
      </c>
      <c r="D32" s="24">
        <f t="shared" si="3"/>
        <v>3.8524301800478534E-3</v>
      </c>
      <c r="E32" s="85">
        <v>1E-4</v>
      </c>
      <c r="F32" s="25">
        <f t="shared" si="16"/>
        <v>3.9524301800478532E-3</v>
      </c>
      <c r="G32" s="3" t="s">
        <v>92</v>
      </c>
      <c r="H32" s="101">
        <v>50000</v>
      </c>
      <c r="I32" s="9">
        <v>56.46</v>
      </c>
      <c r="J32" s="99"/>
      <c r="K32" s="62">
        <f t="shared" si="4"/>
        <v>2823000</v>
      </c>
      <c r="L32" s="99"/>
      <c r="M32" s="38">
        <v>90.69</v>
      </c>
      <c r="N32" s="37">
        <f t="shared" si="5"/>
        <v>-0.37743962950711207</v>
      </c>
      <c r="O32" s="17">
        <f t="shared" si="6"/>
        <v>40</v>
      </c>
      <c r="P32" s="45"/>
      <c r="Q32" s="48"/>
      <c r="R32" s="105" t="str">
        <f>_xll.BDP(G32&amp;" EQUITY",$R$1)</f>
        <v>2/12/2024</v>
      </c>
      <c r="S32" s="84">
        <f>_xll.BDP(G32&amp;" EQUITY",$S$1)</f>
        <v>68.409899999999993</v>
      </c>
      <c r="T32" s="37">
        <f t="shared" si="7"/>
        <v>-0.17468085759517249</v>
      </c>
      <c r="U32" s="39">
        <f t="shared" si="8"/>
        <v>19</v>
      </c>
      <c r="V32" s="47"/>
      <c r="W32" s="105" t="str">
        <f>_xll.BDP(G32&amp;" EQUITY",$W$1)</f>
        <v>5/8/2024</v>
      </c>
      <c r="X32" s="77">
        <f>_xll.BDP(G32&amp;" EQUITY",$X$1)</f>
        <v>25.68</v>
      </c>
      <c r="Y32" s="37">
        <f t="shared" si="9"/>
        <v>1.1985981308411215</v>
      </c>
      <c r="Z32" s="106">
        <f t="shared" si="10"/>
        <v>3</v>
      </c>
      <c r="AB32" s="38">
        <v>45.41</v>
      </c>
      <c r="AC32" s="37">
        <f t="shared" si="11"/>
        <v>0.24333847170226841</v>
      </c>
      <c r="AD32" s="106">
        <f t="shared" si="12"/>
        <v>8</v>
      </c>
      <c r="AE32" s="47"/>
      <c r="AF32" s="47"/>
      <c r="AG32" s="22"/>
      <c r="AH32" s="78" t="str">
        <f t="shared" si="13"/>
        <v>SPT</v>
      </c>
      <c r="AI32" s="96"/>
      <c r="AJ32" s="48"/>
      <c r="AK32" s="48"/>
      <c r="AL32" s="50">
        <f t="shared" si="14"/>
        <v>34</v>
      </c>
      <c r="AM32" s="47"/>
      <c r="AQ32"/>
      <c r="AS32"/>
    </row>
    <row r="33" spans="1:45" x14ac:dyDescent="0.25">
      <c r="A33" s="18">
        <f t="shared" si="0"/>
        <v>37</v>
      </c>
      <c r="B33" s="26">
        <f t="shared" si="1"/>
        <v>0.74682173070522428</v>
      </c>
      <c r="C33" s="17">
        <f t="shared" si="2"/>
        <v>40</v>
      </c>
      <c r="D33" s="24">
        <f t="shared" si="3"/>
        <v>1.0455504229873139E-3</v>
      </c>
      <c r="E33" s="85">
        <v>1.4E-3</v>
      </c>
      <c r="F33" s="25">
        <f t="shared" si="16"/>
        <v>2.4455504229873139E-3</v>
      </c>
      <c r="G33" s="3" t="s">
        <v>71</v>
      </c>
      <c r="H33" s="101">
        <v>12000</v>
      </c>
      <c r="I33" s="9">
        <v>145.56</v>
      </c>
      <c r="J33" s="99"/>
      <c r="K33" s="62">
        <f t="shared" si="4"/>
        <v>1746720</v>
      </c>
      <c r="L33" s="99"/>
      <c r="M33" s="38">
        <v>234.59</v>
      </c>
      <c r="N33" s="37">
        <f t="shared" si="5"/>
        <v>-0.37951319323074295</v>
      </c>
      <c r="O33" s="17">
        <f t="shared" si="6"/>
        <v>41</v>
      </c>
      <c r="P33" s="45"/>
      <c r="Q33" s="48"/>
      <c r="R33" s="105" t="str">
        <f>_xll.BDP(G33&amp;" EQUITY",$R$1)</f>
        <v>6/24/2024</v>
      </c>
      <c r="S33" s="84">
        <f>_xll.BDP(G33&amp;" EQUITY",$S$1)</f>
        <v>245.92500000000001</v>
      </c>
      <c r="T33" s="37">
        <f t="shared" si="7"/>
        <v>-0.4081122293382129</v>
      </c>
      <c r="U33" s="39">
        <f t="shared" si="8"/>
        <v>43</v>
      </c>
      <c r="V33" s="47"/>
      <c r="W33" s="105" t="str">
        <f>_xll.BDP(G33&amp;" EQUITY",$W$1)</f>
        <v>10/27/2023</v>
      </c>
      <c r="X33" s="77">
        <f>_xll.BDP(G33&amp;" EQUITY",$X$1)</f>
        <v>156.72</v>
      </c>
      <c r="Y33" s="37">
        <f t="shared" si="9"/>
        <v>-7.1209800918836108E-2</v>
      </c>
      <c r="Z33" s="39">
        <f t="shared" si="10"/>
        <v>41</v>
      </c>
      <c r="AB33" s="36">
        <v>216.36</v>
      </c>
      <c r="AC33" s="37">
        <f t="shared" si="11"/>
        <v>-0.32723239046034391</v>
      </c>
      <c r="AD33" s="39">
        <f t="shared" si="12"/>
        <v>47</v>
      </c>
      <c r="AE33" s="47"/>
      <c r="AF33" s="47"/>
      <c r="AG33" s="22"/>
      <c r="AH33" s="78" t="str">
        <f t="shared" si="13"/>
        <v>ECL</v>
      </c>
      <c r="AI33" s="96"/>
      <c r="AJ33" s="48"/>
      <c r="AK33" s="48"/>
      <c r="AL33" s="50">
        <f t="shared" si="14"/>
        <v>40</v>
      </c>
      <c r="AM33" s="50"/>
      <c r="AQ33"/>
      <c r="AS33"/>
    </row>
    <row r="34" spans="1:45" x14ac:dyDescent="0.25">
      <c r="A34" s="21">
        <f t="shared" si="0"/>
        <v>12</v>
      </c>
      <c r="B34" s="26">
        <f t="shared" si="1"/>
        <v>13.499115162899981</v>
      </c>
      <c r="C34" s="18">
        <f t="shared" si="2"/>
        <v>3</v>
      </c>
      <c r="D34" s="24">
        <f t="shared" si="3"/>
        <v>1.7548849711769975E-2</v>
      </c>
      <c r="E34" s="25">
        <v>1.2999999999999999E-3</v>
      </c>
      <c r="F34" s="109">
        <f t="shared" si="16"/>
        <v>1.8848849711769974E-2</v>
      </c>
      <c r="G34" s="3" t="s">
        <v>16</v>
      </c>
      <c r="H34" s="101">
        <v>33000</v>
      </c>
      <c r="I34" s="9">
        <v>407.96</v>
      </c>
      <c r="J34" s="99"/>
      <c r="K34" s="62">
        <f t="shared" si="4"/>
        <v>13462680</v>
      </c>
      <c r="L34" s="99"/>
      <c r="M34" s="38">
        <v>658.46</v>
      </c>
      <c r="N34" s="37">
        <f t="shared" si="5"/>
        <v>-0.38043313185311189</v>
      </c>
      <c r="O34" s="17">
        <f t="shared" si="6"/>
        <v>42</v>
      </c>
      <c r="P34" s="45"/>
      <c r="Q34" s="48"/>
      <c r="R34" s="105" t="str">
        <f>_xll.BDP(G34&amp;" EQUITY",$R$1)</f>
        <v>3/1/2024</v>
      </c>
      <c r="S34" s="84">
        <f>_xll.BDP(G34&amp;" EQUITY",$S$1)</f>
        <v>583.39</v>
      </c>
      <c r="T34" s="37">
        <f t="shared" si="7"/>
        <v>-0.30070793122953776</v>
      </c>
      <c r="U34" s="39">
        <f t="shared" si="8"/>
        <v>37</v>
      </c>
      <c r="V34" s="47"/>
      <c r="W34" s="105" t="str">
        <f>_xll.BDP(G34&amp;" EQUITY",$W$1)</f>
        <v>11/1/2023</v>
      </c>
      <c r="X34" s="77">
        <f>_xll.BDP(G34&amp;" EQUITY",$X$1)</f>
        <v>372.5</v>
      </c>
      <c r="Y34" s="37">
        <f t="shared" si="9"/>
        <v>9.5194630872483144E-2</v>
      </c>
      <c r="Z34" s="39">
        <f t="shared" si="10"/>
        <v>28</v>
      </c>
      <c r="AB34" s="38">
        <v>499.87</v>
      </c>
      <c r="AC34" s="123">
        <f t="shared" si="11"/>
        <v>-0.1838678056294637</v>
      </c>
      <c r="AD34" s="39">
        <f t="shared" si="12"/>
        <v>41</v>
      </c>
      <c r="AE34" s="47"/>
      <c r="AF34" s="47"/>
      <c r="AG34" s="22"/>
      <c r="AH34" s="78" t="str">
        <f t="shared" si="13"/>
        <v>IDXX</v>
      </c>
      <c r="AI34" s="96"/>
      <c r="AJ34" s="48"/>
      <c r="AK34" s="48"/>
      <c r="AL34" s="50">
        <f t="shared" si="14"/>
        <v>3</v>
      </c>
      <c r="AM34" s="47"/>
      <c r="AQ34"/>
      <c r="AS34"/>
    </row>
    <row r="35" spans="1:45" x14ac:dyDescent="0.25">
      <c r="A35" s="17">
        <f t="shared" si="0"/>
        <v>43</v>
      </c>
      <c r="B35" s="26">
        <f t="shared" si="1"/>
        <v>-8.1908657274935348E-2</v>
      </c>
      <c r="C35" s="17">
        <f t="shared" si="2"/>
        <v>44</v>
      </c>
      <c r="D35" s="24">
        <f t="shared" si="3"/>
        <v>-3.546644860004701E-3</v>
      </c>
      <c r="E35" s="25">
        <f>0.0223+0.021</f>
        <v>4.3300000000000005E-2</v>
      </c>
      <c r="F35" s="25">
        <f t="shared" si="16"/>
        <v>3.9753355139995304E-2</v>
      </c>
      <c r="G35" s="3" t="s">
        <v>28</v>
      </c>
      <c r="H35" s="29">
        <v>320000</v>
      </c>
      <c r="I35" s="9">
        <v>88.73</v>
      </c>
      <c r="J35" s="99"/>
      <c r="K35" s="62">
        <f t="shared" si="4"/>
        <v>28393600</v>
      </c>
      <c r="L35" s="99"/>
      <c r="M35" s="36">
        <v>144.68</v>
      </c>
      <c r="N35" s="37">
        <f t="shared" si="5"/>
        <v>-0.38671551009123584</v>
      </c>
      <c r="O35" s="17">
        <f t="shared" si="6"/>
        <v>43</v>
      </c>
      <c r="P35" s="45"/>
      <c r="Q35" s="48"/>
      <c r="R35" s="105" t="str">
        <f>_xll.BDP(G35&amp;" EQUITY",$R$1)</f>
        <v>6/25/2024</v>
      </c>
      <c r="S35" s="84">
        <f>_xll.BDP(G35&amp;" EQUITY",$S$1)</f>
        <v>184.16</v>
      </c>
      <c r="T35" s="37">
        <f t="shared" si="7"/>
        <v>-0.51819070373588183</v>
      </c>
      <c r="U35" s="39">
        <f t="shared" si="8"/>
        <v>51</v>
      </c>
      <c r="V35" s="119"/>
      <c r="W35" s="105" t="str">
        <f>_xll.BDP(G35&amp;" EQUITY",$W$1)</f>
        <v>7/11/2023</v>
      </c>
      <c r="X35" s="77">
        <f>_xll.BDP(G35&amp;" EQUITY",$X$1)</f>
        <v>115.83</v>
      </c>
      <c r="Y35" s="37">
        <f t="shared" si="9"/>
        <v>-0.2339635672969006</v>
      </c>
      <c r="Z35" s="39">
        <f t="shared" si="10"/>
        <v>52</v>
      </c>
      <c r="AB35" s="36">
        <v>87.59</v>
      </c>
      <c r="AC35" s="37">
        <f t="shared" si="11"/>
        <v>1.3015184381778733E-2</v>
      </c>
      <c r="AD35" s="40">
        <f t="shared" si="12"/>
        <v>26</v>
      </c>
      <c r="AE35" s="47"/>
      <c r="AF35" s="47"/>
      <c r="AG35" s="22"/>
      <c r="AH35" s="78" t="str">
        <f t="shared" si="13"/>
        <v>GOOG</v>
      </c>
      <c r="AI35" s="96"/>
      <c r="AJ35" s="48"/>
      <c r="AK35" s="48"/>
      <c r="AL35" s="50">
        <f t="shared" si="14"/>
        <v>44</v>
      </c>
      <c r="AM35" s="47"/>
      <c r="AQ35"/>
      <c r="AS35"/>
    </row>
    <row r="36" spans="1:45" x14ac:dyDescent="0.25">
      <c r="A36" s="17">
        <f t="shared" si="0"/>
        <v>26</v>
      </c>
      <c r="B36" s="26">
        <f t="shared" si="1"/>
        <v>1.8609336139074335</v>
      </c>
      <c r="C36" s="17">
        <f t="shared" si="2"/>
        <v>27</v>
      </c>
      <c r="D36" s="24">
        <f t="shared" si="3"/>
        <v>7.4437344556297341E-3</v>
      </c>
      <c r="E36" s="25">
        <v>4.0000000000000001E-3</v>
      </c>
      <c r="F36" s="25">
        <f t="shared" si="16"/>
        <v>1.1443734455629734E-2</v>
      </c>
      <c r="G36" s="3" t="s">
        <v>21</v>
      </c>
      <c r="H36" s="101">
        <v>21000</v>
      </c>
      <c r="I36" s="9">
        <v>389.22</v>
      </c>
      <c r="J36" s="99"/>
      <c r="K36" s="62">
        <f t="shared" si="4"/>
        <v>8173620.0000000009</v>
      </c>
      <c r="L36" s="99"/>
      <c r="M36" s="38">
        <v>643.22</v>
      </c>
      <c r="N36" s="37">
        <f t="shared" si="5"/>
        <v>-0.39488821864991763</v>
      </c>
      <c r="O36" s="17">
        <f t="shared" si="6"/>
        <v>44</v>
      </c>
      <c r="P36" s="45"/>
      <c r="Q36" s="48"/>
      <c r="R36" s="105" t="str">
        <f>_xll.BDP(G36&amp;" EQUITY",$R$1)</f>
        <v>5/23/2024</v>
      </c>
      <c r="S36" s="84">
        <f>_xll.BDP(G36&amp;" EQUITY",$S$1)</f>
        <v>676.62</v>
      </c>
      <c r="T36" s="37">
        <f t="shared" si="7"/>
        <v>-0.42475835771925152</v>
      </c>
      <c r="U36" s="39">
        <f t="shared" si="8"/>
        <v>45</v>
      </c>
      <c r="V36" s="47"/>
      <c r="W36" s="105" t="str">
        <f>_xll.BDP(G36&amp;" EQUITY",$W$1)</f>
        <v>7/6/2023</v>
      </c>
      <c r="X36" s="77">
        <f>_xll.BDP(G36&amp;" EQUITY",$X$1)</f>
        <v>444.19</v>
      </c>
      <c r="Y36" s="37">
        <f t="shared" si="9"/>
        <v>-0.12375334879218347</v>
      </c>
      <c r="Z36" s="40">
        <f t="shared" si="10"/>
        <v>46</v>
      </c>
      <c r="AB36" s="38">
        <v>379.85</v>
      </c>
      <c r="AC36" s="37">
        <f t="shared" si="11"/>
        <v>2.4667631959984115E-2</v>
      </c>
      <c r="AD36" s="40">
        <f t="shared" si="12"/>
        <v>23</v>
      </c>
      <c r="AE36" s="47"/>
      <c r="AF36" s="47"/>
      <c r="AG36" s="22"/>
      <c r="AH36" s="78" t="str">
        <f t="shared" si="13"/>
        <v>INTU</v>
      </c>
      <c r="AI36" s="96"/>
      <c r="AJ36" s="48"/>
      <c r="AK36" s="48"/>
      <c r="AL36" s="50">
        <f t="shared" si="14"/>
        <v>27</v>
      </c>
      <c r="AM36" s="47"/>
      <c r="AQ36"/>
      <c r="AS36"/>
    </row>
    <row r="37" spans="1:45" x14ac:dyDescent="0.25">
      <c r="A37" s="21">
        <f t="shared" si="0"/>
        <v>9</v>
      </c>
      <c r="B37" s="26">
        <f t="shared" si="1"/>
        <v>18.861612692655353</v>
      </c>
      <c r="C37" s="21">
        <f t="shared" si="2"/>
        <v>22</v>
      </c>
      <c r="D37" s="24">
        <f t="shared" si="3"/>
        <v>9.4308063463276765E-3</v>
      </c>
      <c r="E37" s="25">
        <v>5.0000000000000001E-4</v>
      </c>
      <c r="F37" s="25">
        <f t="shared" si="16"/>
        <v>9.930806346327677E-3</v>
      </c>
      <c r="G37" s="3" t="s">
        <v>36</v>
      </c>
      <c r="H37" s="101">
        <v>22000</v>
      </c>
      <c r="I37" s="9">
        <v>322.41000000000003</v>
      </c>
      <c r="J37" s="99"/>
      <c r="K37" s="62">
        <f t="shared" si="4"/>
        <v>7093020.0000000009</v>
      </c>
      <c r="L37" s="99"/>
      <c r="M37" s="38">
        <v>537.95000000000005</v>
      </c>
      <c r="N37" s="37">
        <f t="shared" si="5"/>
        <v>-0.40066920717538801</v>
      </c>
      <c r="O37" s="17">
        <f t="shared" si="6"/>
        <v>45</v>
      </c>
      <c r="P37" s="45"/>
      <c r="Q37" s="48"/>
      <c r="R37" s="105" t="str">
        <f>_xll.BDP(G37&amp;" EQUITY",$R$1)</f>
        <v>5/22/2024</v>
      </c>
      <c r="S37" s="84">
        <f>_xll.BDP(G37&amp;" EQUITY",$S$1)</f>
        <v>500.49</v>
      </c>
      <c r="T37" s="37">
        <f t="shared" si="7"/>
        <v>-0.35581130492117719</v>
      </c>
      <c r="U37" s="39">
        <f t="shared" si="8"/>
        <v>40</v>
      </c>
      <c r="V37" s="47"/>
      <c r="W37" s="105" t="str">
        <f>_xll.BDP(G37&amp;" EQUITY",$W$1)</f>
        <v>10/26/2023</v>
      </c>
      <c r="X37" s="77">
        <f>_xll.BDP(G37&amp;" EQUITY",$X$1)</f>
        <v>361.15699999999998</v>
      </c>
      <c r="Y37" s="37">
        <f t="shared" si="9"/>
        <v>-0.10728575107224825</v>
      </c>
      <c r="Z37" s="39">
        <f t="shared" si="10"/>
        <v>45</v>
      </c>
      <c r="AB37" s="36">
        <v>436.52</v>
      </c>
      <c r="AC37" s="123">
        <f t="shared" si="11"/>
        <v>-0.26140841198570508</v>
      </c>
      <c r="AD37" s="39">
        <f t="shared" si="12"/>
        <v>45</v>
      </c>
      <c r="AE37" s="47"/>
      <c r="AF37" s="47"/>
      <c r="AG37" s="22"/>
      <c r="AH37" s="78" t="str">
        <f t="shared" si="13"/>
        <v>TYL</v>
      </c>
      <c r="AI37" s="96"/>
      <c r="AJ37" s="48"/>
      <c r="AK37" s="48"/>
      <c r="AL37" s="50">
        <f t="shared" si="14"/>
        <v>22</v>
      </c>
      <c r="AM37" s="47"/>
      <c r="AQ37"/>
      <c r="AS37"/>
    </row>
    <row r="38" spans="1:45" x14ac:dyDescent="0.25">
      <c r="A38" s="17">
        <f t="shared" si="0"/>
        <v>16</v>
      </c>
      <c r="B38" s="26">
        <f t="shared" si="1"/>
        <v>4.7655569843226422</v>
      </c>
      <c r="C38" s="18">
        <f t="shared" si="2"/>
        <v>5</v>
      </c>
      <c r="D38" s="24">
        <f t="shared" si="3"/>
        <v>1.5726338048264718E-2</v>
      </c>
      <c r="E38" s="25">
        <v>3.3E-3</v>
      </c>
      <c r="F38" s="25">
        <f t="shared" si="16"/>
        <v>1.9026338048264719E-2</v>
      </c>
      <c r="G38" s="3" t="s">
        <v>24</v>
      </c>
      <c r="H38" s="101">
        <v>35000</v>
      </c>
      <c r="I38" s="9">
        <v>388.27</v>
      </c>
      <c r="J38" s="99"/>
      <c r="K38" s="62">
        <f t="shared" si="4"/>
        <v>13589450</v>
      </c>
      <c r="L38" s="99"/>
      <c r="M38" s="38">
        <v>649.11</v>
      </c>
      <c r="N38" s="37">
        <f t="shared" si="5"/>
        <v>-0.40184252283896416</v>
      </c>
      <c r="O38" s="17">
        <f t="shared" si="6"/>
        <v>46</v>
      </c>
      <c r="P38" s="45"/>
      <c r="Q38" s="48"/>
      <c r="R38" s="105" t="str">
        <f>_xll.BDP(G38&amp;" EQUITY",$R$1)</f>
        <v>2/9/2024</v>
      </c>
      <c r="S38" s="84">
        <f>_xll.BDP(G38&amp;" EQUITY",$S$1)</f>
        <v>815.32</v>
      </c>
      <c r="T38" s="37">
        <f t="shared" si="7"/>
        <v>-0.5237820732963745</v>
      </c>
      <c r="U38" s="39">
        <f t="shared" si="8"/>
        <v>52</v>
      </c>
      <c r="V38" s="47"/>
      <c r="W38" s="105" t="str">
        <f>_xll.BDP(G38&amp;" EQUITY",$W$1)</f>
        <v>10/25/2023</v>
      </c>
      <c r="X38" s="77">
        <f>_xll.BDP(G38&amp;" EQUITY",$X$1)</f>
        <v>527.24</v>
      </c>
      <c r="Y38" s="37">
        <f t="shared" si="9"/>
        <v>-0.26358015325089146</v>
      </c>
      <c r="Z38" s="39">
        <f t="shared" si="10"/>
        <v>54</v>
      </c>
      <c r="AB38" s="38">
        <v>550.42999999999995</v>
      </c>
      <c r="AC38" s="37">
        <f t="shared" si="11"/>
        <v>-0.29460603528150719</v>
      </c>
      <c r="AD38" s="107">
        <f t="shared" si="12"/>
        <v>46</v>
      </c>
      <c r="AE38" s="47"/>
      <c r="AF38" s="47"/>
      <c r="AG38" s="22"/>
      <c r="AH38" s="78" t="str">
        <f t="shared" si="13"/>
        <v>NOW</v>
      </c>
      <c r="AI38" s="96"/>
      <c r="AJ38" s="48"/>
      <c r="AK38" s="48"/>
      <c r="AL38" s="50">
        <f t="shared" si="14"/>
        <v>5</v>
      </c>
      <c r="AM38" s="47"/>
      <c r="AQ38"/>
      <c r="AS38"/>
    </row>
    <row r="39" spans="1:45" x14ac:dyDescent="0.25">
      <c r="A39" s="17">
        <f t="shared" si="0"/>
        <v>5</v>
      </c>
      <c r="B39" s="26">
        <f t="shared" si="1"/>
        <v>33.624016419618634</v>
      </c>
      <c r="C39" s="17">
        <f t="shared" si="2"/>
        <v>35</v>
      </c>
      <c r="D39" s="24">
        <f t="shared" si="3"/>
        <v>3.362401641961864E-3</v>
      </c>
      <c r="E39" s="117">
        <v>1E-4</v>
      </c>
      <c r="F39" s="25">
        <f t="shared" si="16"/>
        <v>3.4624016419618638E-3</v>
      </c>
      <c r="G39" s="3" t="s">
        <v>78</v>
      </c>
      <c r="H39" s="101">
        <v>100000</v>
      </c>
      <c r="I39" s="9">
        <v>24.73</v>
      </c>
      <c r="J39" s="99"/>
      <c r="K39" s="62">
        <f t="shared" si="4"/>
        <v>2473000</v>
      </c>
      <c r="L39" s="99"/>
      <c r="M39" s="38">
        <v>41.93</v>
      </c>
      <c r="N39" s="37">
        <f t="shared" si="5"/>
        <v>-0.41020748867159551</v>
      </c>
      <c r="O39" s="17">
        <f t="shared" si="6"/>
        <v>47</v>
      </c>
      <c r="P39" s="45"/>
      <c r="Q39" s="48"/>
      <c r="R39" s="105" t="str">
        <f>_xll.BDP(G39&amp;" EQUITY",$R$1)</f>
        <v>3/4/2024</v>
      </c>
      <c r="S39" s="84">
        <f>_xll.BDP(G39&amp;" EQUITY",$S$1)</f>
        <v>82.14</v>
      </c>
      <c r="T39" s="37">
        <f t="shared" si="7"/>
        <v>-0.6989286583881178</v>
      </c>
      <c r="U39" s="39">
        <f t="shared" si="8"/>
        <v>58</v>
      </c>
      <c r="V39" s="47"/>
      <c r="W39" s="105" t="str">
        <f>_xll.BDP(G39&amp;" EQUITY",$W$1)</f>
        <v>10/26/2023</v>
      </c>
      <c r="X39" s="77">
        <f>_xll.BDP(G39&amp;" EQUITY",$X$1)</f>
        <v>40.090000000000003</v>
      </c>
      <c r="Y39" s="37">
        <f t="shared" si="9"/>
        <v>-0.38313793963581944</v>
      </c>
      <c r="Z39" s="106">
        <f t="shared" si="10"/>
        <v>58</v>
      </c>
      <c r="AB39" s="38">
        <v>51</v>
      </c>
      <c r="AC39" s="123">
        <f t="shared" si="11"/>
        <v>-0.51509803921568631</v>
      </c>
      <c r="AD39" s="107">
        <f t="shared" si="12"/>
        <v>55</v>
      </c>
      <c r="AE39" s="47"/>
      <c r="AF39" s="47"/>
      <c r="AG39" s="22"/>
      <c r="AH39" s="78" t="str">
        <f t="shared" si="13"/>
        <v>UBER</v>
      </c>
      <c r="AI39" s="96"/>
      <c r="AJ39" s="48"/>
      <c r="AK39" s="48"/>
      <c r="AL39" s="50">
        <f t="shared" si="14"/>
        <v>35</v>
      </c>
      <c r="AM39" s="47"/>
      <c r="AQ39"/>
      <c r="AS39"/>
    </row>
    <row r="40" spans="1:45" x14ac:dyDescent="0.25">
      <c r="A40" s="17">
        <f t="shared" si="0"/>
        <v>19</v>
      </c>
      <c r="B40" s="26">
        <f t="shared" si="1"/>
        <v>3.6052942882431624</v>
      </c>
      <c r="C40" s="17">
        <f t="shared" si="2"/>
        <v>24</v>
      </c>
      <c r="D40" s="24">
        <f t="shared" si="3"/>
        <v>8.2921768629592735E-3</v>
      </c>
      <c r="E40" s="25">
        <v>2.3E-3</v>
      </c>
      <c r="F40" s="25">
        <f t="shared" si="16"/>
        <v>1.0592176862959274E-2</v>
      </c>
      <c r="G40" s="3" t="s">
        <v>9</v>
      </c>
      <c r="H40" s="101">
        <v>18000</v>
      </c>
      <c r="I40" s="9">
        <v>420.3</v>
      </c>
      <c r="J40" s="99"/>
      <c r="K40" s="62">
        <f t="shared" si="4"/>
        <v>7565400</v>
      </c>
      <c r="L40" s="99"/>
      <c r="M40" s="38">
        <v>719.15</v>
      </c>
      <c r="N40" s="37">
        <f t="shared" si="5"/>
        <v>-0.41556003615379267</v>
      </c>
      <c r="O40" s="17">
        <f t="shared" si="6"/>
        <v>48</v>
      </c>
      <c r="P40" s="45"/>
      <c r="Q40" s="48"/>
      <c r="R40" s="105" t="str">
        <f>_xll.BDP(G40&amp;" EQUITY",$R$1)</f>
        <v>6/18/2024</v>
      </c>
      <c r="S40" s="84">
        <f>_xll.BDP(G40&amp;" EQUITY",$S$1)</f>
        <v>1101.8100999999999</v>
      </c>
      <c r="T40" s="37">
        <f t="shared" si="7"/>
        <v>-0.61853680593416227</v>
      </c>
      <c r="U40" s="39">
        <f t="shared" si="8"/>
        <v>57</v>
      </c>
      <c r="V40" s="47"/>
      <c r="W40" s="105" t="str">
        <f>_xll.BDP(G40&amp;" EQUITY",$W$1)</f>
        <v>10/31/2023</v>
      </c>
      <c r="X40" s="77">
        <f>_xll.BDP(G40&amp;" EQUITY",$X$1)</f>
        <v>574.41999999999996</v>
      </c>
      <c r="Y40" s="37">
        <f t="shared" si="9"/>
        <v>-0.26830542112043443</v>
      </c>
      <c r="Z40" s="40">
        <f t="shared" si="10"/>
        <v>55</v>
      </c>
      <c r="AB40" s="38">
        <v>472.27</v>
      </c>
      <c r="AC40" s="37">
        <f t="shared" si="11"/>
        <v>-0.11004298388633615</v>
      </c>
      <c r="AD40" s="107">
        <f t="shared" si="12"/>
        <v>39</v>
      </c>
      <c r="AE40" s="47"/>
      <c r="AF40" s="47"/>
      <c r="AG40" s="22"/>
      <c r="AH40" s="78" t="str">
        <f t="shared" si="13"/>
        <v>LRCX</v>
      </c>
      <c r="AI40" s="96"/>
      <c r="AJ40" s="48"/>
      <c r="AK40" s="48"/>
      <c r="AL40" s="50">
        <f t="shared" si="14"/>
        <v>24</v>
      </c>
      <c r="AM40" s="50"/>
      <c r="AQ40"/>
      <c r="AS40"/>
    </row>
    <row r="41" spans="1:45" x14ac:dyDescent="0.25">
      <c r="A41" s="18">
        <f t="shared" si="0"/>
        <v>1</v>
      </c>
      <c r="B41" s="26">
        <f t="shared" si="1"/>
        <v>144.42086896239829</v>
      </c>
      <c r="C41" s="18">
        <f t="shared" si="2"/>
        <v>7</v>
      </c>
      <c r="D41" s="24">
        <f t="shared" si="3"/>
        <v>1.4442086896239829E-2</v>
      </c>
      <c r="E41" s="117">
        <v>1E-4</v>
      </c>
      <c r="F41" s="25">
        <f t="shared" si="16"/>
        <v>1.4542086896239828E-2</v>
      </c>
      <c r="G41" s="3" t="s">
        <v>14</v>
      </c>
      <c r="H41" s="29">
        <v>140000</v>
      </c>
      <c r="I41" s="9">
        <v>74.19</v>
      </c>
      <c r="J41" s="99"/>
      <c r="K41" s="62">
        <f t="shared" si="4"/>
        <v>10386600</v>
      </c>
      <c r="L41" s="99"/>
      <c r="M41" s="38">
        <v>129.38999999999999</v>
      </c>
      <c r="N41" s="37">
        <f t="shared" si="5"/>
        <v>-0.4266172038024576</v>
      </c>
      <c r="O41" s="17">
        <f t="shared" si="6"/>
        <v>49</v>
      </c>
      <c r="P41" s="45"/>
      <c r="Q41" s="48"/>
      <c r="R41" s="105" t="str">
        <f>_xll.BDP(G41&amp;" EQUITY",$R$1)</f>
        <v>3/21/2024</v>
      </c>
      <c r="S41" s="84">
        <f>_xll.BDP(G41&amp;" EQUITY",$S$1)</f>
        <v>133.56</v>
      </c>
      <c r="T41" s="37">
        <f t="shared" si="7"/>
        <v>-0.4445193171608266</v>
      </c>
      <c r="U41" s="107">
        <f t="shared" si="8"/>
        <v>46</v>
      </c>
      <c r="V41" s="47"/>
      <c r="W41" s="105" t="str">
        <f>_xll.BDP(G41&amp;" EQUITY",$W$1)</f>
        <v>6/26/2023</v>
      </c>
      <c r="X41" s="77">
        <f>_xll.BDP(G41&amp;" EQUITY",$X$1)</f>
        <v>87.59</v>
      </c>
      <c r="Y41" s="37">
        <f t="shared" si="9"/>
        <v>-0.1529855006279256</v>
      </c>
      <c r="Z41" s="107">
        <f t="shared" si="10"/>
        <v>47</v>
      </c>
      <c r="AB41" s="38">
        <v>64.81</v>
      </c>
      <c r="AC41" s="37">
        <f t="shared" si="11"/>
        <v>0.14473075142724889</v>
      </c>
      <c r="AD41" s="106">
        <f t="shared" si="12"/>
        <v>16</v>
      </c>
      <c r="AE41" s="47"/>
      <c r="AF41" s="47"/>
      <c r="AG41" s="22"/>
      <c r="AH41" s="78" t="str">
        <f t="shared" si="13"/>
        <v>BX</v>
      </c>
      <c r="AI41" s="96"/>
      <c r="AJ41" s="48"/>
      <c r="AK41" s="48"/>
      <c r="AL41" s="50">
        <f t="shared" si="14"/>
        <v>7</v>
      </c>
      <c r="AM41" s="47"/>
      <c r="AQ41"/>
      <c r="AS41"/>
    </row>
    <row r="42" spans="1:45" x14ac:dyDescent="0.25">
      <c r="A42" s="17">
        <f t="shared" si="0"/>
        <v>42</v>
      </c>
      <c r="B42" s="26">
        <f t="shared" si="1"/>
        <v>9.4751755714848729E-2</v>
      </c>
      <c r="C42" s="17">
        <f t="shared" si="2"/>
        <v>42</v>
      </c>
      <c r="D42" s="24">
        <f t="shared" si="3"/>
        <v>6.6326229000394053E-4</v>
      </c>
      <c r="E42" s="25">
        <v>7.0000000000000001E-3</v>
      </c>
      <c r="F42" s="25">
        <f t="shared" si="16"/>
        <v>7.6632622900039407E-3</v>
      </c>
      <c r="G42" s="247" t="s">
        <v>18</v>
      </c>
      <c r="H42" s="101">
        <v>63000</v>
      </c>
      <c r="I42" s="9">
        <v>86.88</v>
      </c>
      <c r="J42" s="99"/>
      <c r="K42" s="62">
        <f t="shared" si="4"/>
        <v>5473440</v>
      </c>
      <c r="L42" s="99"/>
      <c r="M42" s="38">
        <v>154.88999999999999</v>
      </c>
      <c r="N42" s="37">
        <f t="shared" si="5"/>
        <v>-0.43908580282781329</v>
      </c>
      <c r="O42" s="103">
        <f t="shared" si="6"/>
        <v>50</v>
      </c>
      <c r="P42" s="45"/>
      <c r="Q42" s="48"/>
      <c r="R42" s="105" t="str">
        <f>_xll.BDP(G42&amp;" EQUITY",$R$1)</f>
        <v>3/28/2024</v>
      </c>
      <c r="S42" s="84">
        <f>_xll.BDP(G42&amp;" EQUITY",$S$1)</f>
        <v>123.74</v>
      </c>
      <c r="T42" s="37">
        <f t="shared" si="7"/>
        <v>-0.29788265718441898</v>
      </c>
      <c r="U42" s="39">
        <f t="shared" si="8"/>
        <v>36</v>
      </c>
      <c r="V42" s="47"/>
      <c r="W42" s="105" t="str">
        <f>_xll.BDP(G42&amp;" EQUITY",$W$1)</f>
        <v>10/4/2023</v>
      </c>
      <c r="X42" s="77">
        <f>_xll.BDP(G42&amp;" EQUITY",$X$1)</f>
        <v>78.730900000000005</v>
      </c>
      <c r="Y42" s="37">
        <f t="shared" si="9"/>
        <v>0.10350573916975403</v>
      </c>
      <c r="Z42" s="39">
        <f t="shared" si="10"/>
        <v>27</v>
      </c>
      <c r="AB42" s="38">
        <v>181.18</v>
      </c>
      <c r="AC42" s="123">
        <f t="shared" si="11"/>
        <v>-0.52047687382713326</v>
      </c>
      <c r="AD42" s="107">
        <f t="shared" si="12"/>
        <v>56</v>
      </c>
      <c r="AE42" s="47"/>
      <c r="AF42" s="47"/>
      <c r="AG42" s="22"/>
      <c r="AH42" s="78" t="str">
        <f t="shared" si="13"/>
        <v>DIS</v>
      </c>
      <c r="AI42" s="96"/>
      <c r="AJ42" s="48"/>
      <c r="AK42" s="48"/>
      <c r="AL42" s="50">
        <f t="shared" si="14"/>
        <v>42</v>
      </c>
      <c r="AM42" s="47"/>
      <c r="AQ42"/>
      <c r="AS42"/>
    </row>
    <row r="43" spans="1:45" x14ac:dyDescent="0.25">
      <c r="A43" s="17">
        <f t="shared" si="0"/>
        <v>11</v>
      </c>
      <c r="B43" s="26">
        <f t="shared" si="1"/>
        <v>16.636943799944913</v>
      </c>
      <c r="C43" s="21">
        <f t="shared" si="2"/>
        <v>18</v>
      </c>
      <c r="D43" s="24">
        <f t="shared" si="3"/>
        <v>9.9821662799669461E-3</v>
      </c>
      <c r="E43" s="25">
        <v>5.9999999999999995E-4</v>
      </c>
      <c r="F43" s="25">
        <f t="shared" si="16"/>
        <v>1.0582166279966946E-2</v>
      </c>
      <c r="G43" s="247" t="s">
        <v>26</v>
      </c>
      <c r="H43" s="101">
        <v>25000</v>
      </c>
      <c r="I43" s="9">
        <v>302.33</v>
      </c>
      <c r="J43" s="99"/>
      <c r="K43" s="62">
        <f t="shared" si="4"/>
        <v>7558250</v>
      </c>
      <c r="L43" s="99"/>
      <c r="M43" s="36">
        <v>566</v>
      </c>
      <c r="N43" s="37">
        <f t="shared" si="5"/>
        <v>-0.46584805653710248</v>
      </c>
      <c r="O43" s="103">
        <f t="shared" si="6"/>
        <v>51</v>
      </c>
      <c r="P43" s="45"/>
      <c r="Q43" s="48"/>
      <c r="R43" s="105" t="str">
        <f>_xll.BDP(G43&amp;" EQUITY",$R$1)</f>
        <v>3/8/2024</v>
      </c>
      <c r="S43" s="84">
        <f>_xll.BDP(G43&amp;" EQUITY",$S$1)</f>
        <v>422.73</v>
      </c>
      <c r="T43" s="37">
        <f t="shared" si="7"/>
        <v>-0.28481536678258002</v>
      </c>
      <c r="U43" s="107">
        <f t="shared" si="8"/>
        <v>32</v>
      </c>
      <c r="V43" s="47"/>
      <c r="W43" s="105" t="str">
        <f>_xll.BDP(G43&amp;" EQUITY",$W$1)</f>
        <v>6/25/2024</v>
      </c>
      <c r="X43" s="77">
        <f>_xll.BDP(G43&amp;" EQUITY",$X$1)</f>
        <v>299.24</v>
      </c>
      <c r="Y43" s="37">
        <f t="shared" si="9"/>
        <v>1.032615960433092E-2</v>
      </c>
      <c r="Z43" s="107">
        <f t="shared" si="10"/>
        <v>32</v>
      </c>
      <c r="AB43" s="36">
        <v>372.5</v>
      </c>
      <c r="AC43" s="37">
        <f t="shared" si="11"/>
        <v>-0.18837583892617449</v>
      </c>
      <c r="AD43" s="39">
        <f t="shared" si="12"/>
        <v>42</v>
      </c>
      <c r="AE43" s="47"/>
      <c r="AF43" s="47"/>
      <c r="AG43" s="22"/>
      <c r="AH43" s="78" t="str">
        <f t="shared" si="13"/>
        <v>POOL</v>
      </c>
      <c r="AI43" s="96"/>
      <c r="AJ43" s="48"/>
      <c r="AK43" s="48"/>
      <c r="AL43" s="50">
        <f t="shared" si="14"/>
        <v>18</v>
      </c>
      <c r="AM43" s="47"/>
      <c r="AQ43"/>
      <c r="AS43"/>
    </row>
    <row r="44" spans="1:45" x14ac:dyDescent="0.25">
      <c r="A44" s="17">
        <f t="shared" si="0"/>
        <v>41</v>
      </c>
      <c r="B44" s="26">
        <f t="shared" si="1"/>
        <v>0.38534933613691602</v>
      </c>
      <c r="C44" s="17">
        <f t="shared" si="2"/>
        <v>37</v>
      </c>
      <c r="D44" s="24">
        <f t="shared" si="3"/>
        <v>2.5818405521173373E-3</v>
      </c>
      <c r="E44" s="25">
        <v>6.7000000000000002E-3</v>
      </c>
      <c r="F44" s="25">
        <f t="shared" si="16"/>
        <v>9.2818405521173375E-3</v>
      </c>
      <c r="G44" s="247" t="s">
        <v>33</v>
      </c>
      <c r="H44" s="101">
        <v>50000</v>
      </c>
      <c r="I44" s="9">
        <v>132.59</v>
      </c>
      <c r="J44" s="99"/>
      <c r="K44" s="62">
        <f t="shared" si="4"/>
        <v>6629500</v>
      </c>
      <c r="L44" s="99"/>
      <c r="M44" s="38">
        <v>254.13</v>
      </c>
      <c r="N44" s="37">
        <f t="shared" si="5"/>
        <v>-0.47825915869830404</v>
      </c>
      <c r="O44" s="103">
        <f t="shared" si="6"/>
        <v>52</v>
      </c>
      <c r="P44" s="45"/>
      <c r="Q44" s="48"/>
      <c r="R44" s="105" t="str">
        <f>_xll.BDP(G44&amp;" EQUITY",$R$1)</f>
        <v>3/1/2024</v>
      </c>
      <c r="S44" s="84">
        <f>_xll.BDP(G44&amp;" EQUITY",$S$1)</f>
        <v>318.71499999999997</v>
      </c>
      <c r="T44" s="37">
        <f t="shared" si="7"/>
        <v>-0.58398569254663246</v>
      </c>
      <c r="U44" s="107">
        <f t="shared" si="8"/>
        <v>55</v>
      </c>
      <c r="V44" s="47"/>
      <c r="W44" s="105" t="str">
        <f>_xll.BDP(G44&amp;" EQUITY",$W$1)</f>
        <v>10/26/2023</v>
      </c>
      <c r="X44" s="77">
        <f>_xll.BDP(G44&amp;" EQUITY",$X$1)</f>
        <v>193.68</v>
      </c>
      <c r="Y44" s="37">
        <f t="shared" si="9"/>
        <v>-0.31541718298223875</v>
      </c>
      <c r="Z44" s="39">
        <f t="shared" si="10"/>
        <v>57</v>
      </c>
      <c r="AB44" s="38">
        <v>222.53</v>
      </c>
      <c r="AC44" s="37">
        <f t="shared" si="11"/>
        <v>-0.40417022423942839</v>
      </c>
      <c r="AD44" s="39">
        <f t="shared" si="12"/>
        <v>49</v>
      </c>
      <c r="AE44" s="47"/>
      <c r="AF44" s="47"/>
      <c r="AG44" s="22"/>
      <c r="AH44" s="78" t="str">
        <f t="shared" si="13"/>
        <v>CRM</v>
      </c>
      <c r="AI44" s="96"/>
      <c r="AJ44" s="48"/>
      <c r="AK44" s="48"/>
      <c r="AL44" s="50">
        <f t="shared" si="14"/>
        <v>37</v>
      </c>
      <c r="AM44" s="47"/>
      <c r="AQ44"/>
      <c r="AS44"/>
    </row>
    <row r="45" spans="1:45" x14ac:dyDescent="0.25">
      <c r="A45" s="18">
        <f t="shared" si="0"/>
        <v>39</v>
      </c>
      <c r="B45" s="26">
        <f t="shared" si="1"/>
        <v>0.49551809538463165</v>
      </c>
      <c r="C45" s="17">
        <f t="shared" si="2"/>
        <v>41</v>
      </c>
      <c r="D45" s="24">
        <f t="shared" si="3"/>
        <v>9.9103619076926349E-4</v>
      </c>
      <c r="E45" s="85">
        <v>2E-3</v>
      </c>
      <c r="F45" s="25">
        <f t="shared" si="16"/>
        <v>2.9910361907692635E-3</v>
      </c>
      <c r="G45" s="247" t="s">
        <v>55</v>
      </c>
      <c r="H45" s="101">
        <v>6300</v>
      </c>
      <c r="I45" s="9">
        <v>339.1</v>
      </c>
      <c r="J45" s="99"/>
      <c r="K45" s="62">
        <f t="shared" si="4"/>
        <v>2136330</v>
      </c>
      <c r="L45" s="99"/>
      <c r="M45" s="38">
        <v>651.97</v>
      </c>
      <c r="N45" s="37">
        <f t="shared" si="5"/>
        <v>-0.47988404374434401</v>
      </c>
      <c r="O45" s="103">
        <f t="shared" si="6"/>
        <v>53</v>
      </c>
      <c r="P45" s="45"/>
      <c r="Q45" s="48"/>
      <c r="R45" s="105" t="str">
        <f>_xll.BDP(G45&amp;" EQUITY",$R$1)</f>
        <v>10/16/2023</v>
      </c>
      <c r="S45" s="84">
        <f>_xll.BDP(G45&amp;" EQUITY",$S$1)</f>
        <v>458.3</v>
      </c>
      <c r="T45" s="37">
        <f t="shared" si="7"/>
        <v>-0.2600916430285839</v>
      </c>
      <c r="U45" s="107">
        <f t="shared" si="8"/>
        <v>29</v>
      </c>
      <c r="V45" s="47"/>
      <c r="W45" s="105" t="str">
        <f>_xll.BDP(G45&amp;" EQUITY",$W$1)</f>
        <v>4/26/2024</v>
      </c>
      <c r="X45" s="77">
        <f>_xll.BDP(G45&amp;" EQUITY",$X$1)</f>
        <v>236.08</v>
      </c>
      <c r="Y45" s="37">
        <f t="shared" si="9"/>
        <v>0.43637749915282953</v>
      </c>
      <c r="Z45" s="39">
        <f t="shared" si="10"/>
        <v>6</v>
      </c>
      <c r="AB45" s="36">
        <v>661.55</v>
      </c>
      <c r="AC45" s="123">
        <f t="shared" si="11"/>
        <v>-0.48741591716423549</v>
      </c>
      <c r="AD45" s="107">
        <f t="shared" si="12"/>
        <v>53</v>
      </c>
      <c r="AE45" s="47"/>
      <c r="AF45" s="47"/>
      <c r="AG45" s="22"/>
      <c r="AH45" s="78" t="str">
        <f t="shared" si="13"/>
        <v>CHTR</v>
      </c>
      <c r="AI45" s="96"/>
      <c r="AJ45" s="48"/>
      <c r="AK45" s="48"/>
      <c r="AL45" s="50">
        <f t="shared" si="14"/>
        <v>41</v>
      </c>
      <c r="AM45" s="47"/>
      <c r="AQ45"/>
      <c r="AS45"/>
    </row>
    <row r="46" spans="1:45" x14ac:dyDescent="0.25">
      <c r="A46" s="17">
        <f t="shared" si="0"/>
        <v>48</v>
      </c>
      <c r="B46" s="26">
        <f t="shared" si="1"/>
        <v>-0.44871789465326162</v>
      </c>
      <c r="C46" s="17">
        <f t="shared" si="2"/>
        <v>48</v>
      </c>
      <c r="D46" s="24">
        <f t="shared" si="3"/>
        <v>-1.7230767154685245E-2</v>
      </c>
      <c r="E46" s="25">
        <v>3.8399999999999997E-2</v>
      </c>
      <c r="F46" s="25">
        <f t="shared" si="16"/>
        <v>2.1169232845314752E-2</v>
      </c>
      <c r="G46" s="247" t="s">
        <v>42</v>
      </c>
      <c r="H46" s="29">
        <v>180000</v>
      </c>
      <c r="I46" s="9">
        <v>84</v>
      </c>
      <c r="J46" s="99"/>
      <c r="K46" s="62">
        <f t="shared" si="4"/>
        <v>15120000</v>
      </c>
      <c r="L46" s="99"/>
      <c r="M46" s="36">
        <v>166.71700000000001</v>
      </c>
      <c r="N46" s="37">
        <f t="shared" si="5"/>
        <v>-0.49615216204706181</v>
      </c>
      <c r="O46" s="103">
        <f t="shared" si="6"/>
        <v>54</v>
      </c>
      <c r="P46" s="45"/>
      <c r="Q46" s="48"/>
      <c r="R46" s="105" t="str">
        <f>_xll.BDP(G46&amp;" EQUITY",$R$1)</f>
        <v>5/9/2024</v>
      </c>
      <c r="S46" s="84">
        <f>_xll.BDP(G46&amp;" EQUITY",$S$1)</f>
        <v>191.7</v>
      </c>
      <c r="T46" s="37">
        <f t="shared" si="7"/>
        <v>-0.56181533646322368</v>
      </c>
      <c r="U46" s="107">
        <f t="shared" si="8"/>
        <v>54</v>
      </c>
      <c r="V46" s="47"/>
      <c r="W46" s="105" t="str">
        <f>_xll.BDP(G46&amp;" EQUITY",$W$1)</f>
        <v>10/26/2023</v>
      </c>
      <c r="X46" s="77">
        <f>_xll.BDP(G46&amp;" EQUITY",$X$1)</f>
        <v>118.35</v>
      </c>
      <c r="Y46" s="37">
        <f t="shared" si="9"/>
        <v>-0.29024081115335865</v>
      </c>
      <c r="Z46" s="39">
        <f t="shared" si="10"/>
        <v>56</v>
      </c>
      <c r="AB46" s="36">
        <v>162.80000000000001</v>
      </c>
      <c r="AC46" s="123">
        <f t="shared" si="11"/>
        <v>-0.48402948402948409</v>
      </c>
      <c r="AD46" s="39">
        <f t="shared" si="12"/>
        <v>52</v>
      </c>
      <c r="AE46" s="47"/>
      <c r="AF46" s="47"/>
      <c r="AG46" s="22"/>
      <c r="AH46" s="78" t="str">
        <f t="shared" si="13"/>
        <v>AMZN</v>
      </c>
      <c r="AI46" s="96"/>
      <c r="AJ46" s="48"/>
      <c r="AK46" s="48"/>
      <c r="AL46" s="50">
        <f t="shared" si="14"/>
        <v>48</v>
      </c>
      <c r="AM46" s="50"/>
      <c r="AQ46"/>
      <c r="AS46"/>
    </row>
    <row r="47" spans="1:45" x14ac:dyDescent="0.25">
      <c r="A47" s="17">
        <f t="shared" si="0"/>
        <v>3</v>
      </c>
      <c r="B47" s="26">
        <f t="shared" si="1"/>
        <v>74.318786385353988</v>
      </c>
      <c r="C47" s="17">
        <f t="shared" si="2"/>
        <v>28</v>
      </c>
      <c r="D47" s="24">
        <f t="shared" si="3"/>
        <v>7.4318786385353993E-3</v>
      </c>
      <c r="E47" s="117">
        <v>1E-4</v>
      </c>
      <c r="F47" s="25">
        <f t="shared" si="16"/>
        <v>7.5318786385353996E-3</v>
      </c>
      <c r="G47" s="247" t="s">
        <v>5</v>
      </c>
      <c r="H47" s="101">
        <v>120000</v>
      </c>
      <c r="I47" s="9">
        <v>44.83</v>
      </c>
      <c r="J47" s="99"/>
      <c r="K47" s="62">
        <f t="shared" si="4"/>
        <v>5379600</v>
      </c>
      <c r="L47" s="99"/>
      <c r="M47" s="38">
        <v>91.64</v>
      </c>
      <c r="N47" s="37">
        <f t="shared" si="5"/>
        <v>-0.51080314273243133</v>
      </c>
      <c r="O47" s="103">
        <f t="shared" si="6"/>
        <v>55</v>
      </c>
      <c r="P47" s="45"/>
      <c r="Q47" s="48"/>
      <c r="R47" s="105" t="str">
        <f>_xll.BDP(G47&amp;" EQUITY",$R$1)</f>
        <v>6/18/2024</v>
      </c>
      <c r="S47" s="84">
        <f>_xll.BDP(G47&amp;" EQUITY",$S$1)</f>
        <v>99.54</v>
      </c>
      <c r="T47" s="37">
        <f t="shared" si="7"/>
        <v>-0.54962829013461922</v>
      </c>
      <c r="U47" s="107">
        <f t="shared" si="8"/>
        <v>53</v>
      </c>
      <c r="V47" s="47"/>
      <c r="W47" s="105" t="str">
        <f>_xll.BDP(G47&amp;" EQUITY",$W$1)</f>
        <v>11/10/2023</v>
      </c>
      <c r="X47" s="77">
        <f>_xll.BDP(G47&amp;" EQUITY",$X$1)</f>
        <v>60.23</v>
      </c>
      <c r="Y47" s="37">
        <f t="shared" si="9"/>
        <v>-0.25568653494936078</v>
      </c>
      <c r="Z47" s="106">
        <f t="shared" si="10"/>
        <v>53</v>
      </c>
      <c r="AB47" s="36">
        <v>80.099999999999994</v>
      </c>
      <c r="AC47" s="37">
        <f t="shared" si="11"/>
        <v>-0.44032459425717851</v>
      </c>
      <c r="AD47" s="39">
        <f t="shared" si="12"/>
        <v>51</v>
      </c>
      <c r="AE47" s="47"/>
      <c r="AF47" s="47"/>
      <c r="AG47" s="22"/>
      <c r="AH47" s="78" t="str">
        <f t="shared" si="13"/>
        <v>TTD</v>
      </c>
      <c r="AI47" s="96"/>
      <c r="AJ47" s="48"/>
      <c r="AK47" s="48"/>
      <c r="AL47" s="50"/>
      <c r="AM47" s="50"/>
      <c r="AQ47"/>
      <c r="AS47"/>
    </row>
    <row r="48" spans="1:45" x14ac:dyDescent="0.25">
      <c r="A48" s="17">
        <f t="shared" si="0"/>
        <v>40</v>
      </c>
      <c r="B48" s="26">
        <f t="shared" si="1"/>
        <v>0.46851243173050316</v>
      </c>
      <c r="C48" s="17">
        <f t="shared" si="2"/>
        <v>38</v>
      </c>
      <c r="D48" s="24">
        <f t="shared" si="3"/>
        <v>2.5768183745177673E-3</v>
      </c>
      <c r="E48" s="25">
        <v>5.4999999999999997E-3</v>
      </c>
      <c r="F48" s="25">
        <f t="shared" si="16"/>
        <v>8.076818374517767E-3</v>
      </c>
      <c r="G48" s="247" t="s">
        <v>29</v>
      </c>
      <c r="H48" s="101">
        <v>81000</v>
      </c>
      <c r="I48" s="9">
        <v>71.22</v>
      </c>
      <c r="J48" s="99"/>
      <c r="K48" s="62">
        <f t="shared" si="4"/>
        <v>5768820</v>
      </c>
      <c r="L48" s="99"/>
      <c r="M48" s="38">
        <v>188.58</v>
      </c>
      <c r="N48" s="37">
        <f t="shared" si="5"/>
        <v>-0.62233534839325488</v>
      </c>
      <c r="O48" s="103">
        <f t="shared" si="6"/>
        <v>56</v>
      </c>
      <c r="P48" s="45"/>
      <c r="Q48" s="48"/>
      <c r="R48" s="105" t="str">
        <f>_xll.BDP(G48&amp;" EQUITY",$R$1)</f>
        <v>7/31/2023</v>
      </c>
      <c r="S48" s="84">
        <f>_xll.BDP(G48&amp;" EQUITY",$S$1)</f>
        <v>76.540000000000006</v>
      </c>
      <c r="T48" s="37">
        <f t="shared" si="7"/>
        <v>-6.9506140580088971E-2</v>
      </c>
      <c r="U48" s="107">
        <f t="shared" si="8"/>
        <v>12</v>
      </c>
      <c r="V48" s="47"/>
      <c r="W48" s="105" t="str">
        <f>_xll.BDP(G48&amp;" EQUITY",$W$1)</f>
        <v>10/27/2023</v>
      </c>
      <c r="X48" s="77">
        <f>_xll.BDP(G48&amp;" EQUITY",$X$1)</f>
        <v>50.25</v>
      </c>
      <c r="Y48" s="37">
        <f t="shared" si="9"/>
        <v>0.41731343283582079</v>
      </c>
      <c r="Z48" s="40">
        <f t="shared" si="10"/>
        <v>7</v>
      </c>
      <c r="AB48" s="38">
        <v>234.2</v>
      </c>
      <c r="AC48" s="123">
        <f t="shared" si="11"/>
        <v>-0.69590093936806152</v>
      </c>
      <c r="AD48" s="107">
        <f t="shared" si="12"/>
        <v>59</v>
      </c>
      <c r="AE48" s="47"/>
      <c r="AF48" s="47"/>
      <c r="AG48" s="22"/>
      <c r="AH48" s="78" t="str">
        <f t="shared" si="13"/>
        <v>PYPL</v>
      </c>
      <c r="AI48" s="96"/>
      <c r="AJ48" s="48"/>
      <c r="AK48" s="48"/>
      <c r="AL48" s="50"/>
      <c r="AM48" s="47"/>
      <c r="AQ48"/>
      <c r="AS48"/>
    </row>
    <row r="49" spans="1:45" x14ac:dyDescent="0.25">
      <c r="A49" s="17">
        <f t="shared" si="0"/>
        <v>47</v>
      </c>
      <c r="B49" s="26">
        <f t="shared" si="1"/>
        <v>-0.4269771869022545</v>
      </c>
      <c r="C49" s="17">
        <f t="shared" si="2"/>
        <v>45</v>
      </c>
      <c r="D49" s="24">
        <f t="shared" si="3"/>
        <v>-8.4114505819744122E-3</v>
      </c>
      <c r="E49" s="25">
        <v>1.9699999999999999E-2</v>
      </c>
      <c r="F49" s="25">
        <f t="shared" si="16"/>
        <v>1.1288549418025587E-2</v>
      </c>
      <c r="G49" s="247" t="s">
        <v>108</v>
      </c>
      <c r="H49" s="101">
        <v>67000</v>
      </c>
      <c r="I49" s="9">
        <v>120.34</v>
      </c>
      <c r="J49" s="99"/>
      <c r="K49" s="62">
        <f t="shared" si="4"/>
        <v>8062780</v>
      </c>
      <c r="L49" s="99"/>
      <c r="M49" s="38">
        <v>336.35</v>
      </c>
      <c r="N49" s="37">
        <f t="shared" si="5"/>
        <v>-0.6422179277538278</v>
      </c>
      <c r="O49" s="103">
        <f t="shared" si="6"/>
        <v>57</v>
      </c>
      <c r="P49" s="45"/>
      <c r="Q49" s="48"/>
      <c r="R49" s="105" t="str">
        <f>_xll.BDP(G49&amp;" EQUITY",$R$1)</f>
        <v>4/8/2024</v>
      </c>
      <c r="S49" s="84">
        <f>_xll.BDP(G49&amp;" EQUITY",$S$1)</f>
        <v>531.49</v>
      </c>
      <c r="T49" s="37">
        <f t="shared" si="7"/>
        <v>-0.7735799356525993</v>
      </c>
      <c r="U49" s="107">
        <f t="shared" si="8"/>
        <v>59</v>
      </c>
      <c r="V49" s="47"/>
      <c r="W49" s="105" t="str">
        <f>_xll.BDP(G49&amp;" EQUITY",$W$1)</f>
        <v>8/18/2023</v>
      </c>
      <c r="X49" s="77">
        <f>_xll.BDP(G49&amp;" EQUITY",$X$1)</f>
        <v>274.38</v>
      </c>
      <c r="Y49" s="37">
        <f t="shared" si="9"/>
        <v>-0.56141118157300096</v>
      </c>
      <c r="Z49" s="39">
        <f t="shared" si="10"/>
        <v>59</v>
      </c>
      <c r="AB49" s="36">
        <v>273.16000000000003</v>
      </c>
      <c r="AC49" s="123">
        <f t="shared" si="11"/>
        <v>-0.5594523356274711</v>
      </c>
      <c r="AD49" s="107">
        <f t="shared" si="12"/>
        <v>57</v>
      </c>
      <c r="AE49" s="47"/>
      <c r="AF49" s="47"/>
      <c r="AG49" s="22"/>
      <c r="AH49" s="78" t="str">
        <f t="shared" si="13"/>
        <v>META</v>
      </c>
      <c r="AI49" s="96"/>
      <c r="AJ49" s="48"/>
      <c r="AK49" s="48"/>
      <c r="AL49" s="50"/>
      <c r="AM49" s="47"/>
      <c r="AQ49"/>
      <c r="AS49"/>
    </row>
    <row r="50" spans="1:45" x14ac:dyDescent="0.25">
      <c r="A50" s="17">
        <f t="shared" si="0"/>
        <v>21</v>
      </c>
      <c r="B50" s="26">
        <f t="shared" si="1"/>
        <v>3.542726095926823</v>
      </c>
      <c r="C50" s="17">
        <f t="shared" si="2"/>
        <v>32</v>
      </c>
      <c r="D50" s="24">
        <f t="shared" si="3"/>
        <v>4.6055439247048692E-3</v>
      </c>
      <c r="E50" s="25">
        <v>1.2999999999999999E-3</v>
      </c>
      <c r="F50" s="25">
        <f t="shared" si="16"/>
        <v>5.9055439247048692E-3</v>
      </c>
      <c r="G50" s="247" t="s">
        <v>10</v>
      </c>
      <c r="H50" s="101">
        <v>20000</v>
      </c>
      <c r="I50" s="9">
        <v>210.9</v>
      </c>
      <c r="J50" s="99"/>
      <c r="K50" s="155">
        <f t="shared" si="4"/>
        <v>4218000</v>
      </c>
      <c r="L50" s="99"/>
      <c r="M50" s="38">
        <v>657.18</v>
      </c>
      <c r="N50" s="37">
        <f t="shared" si="5"/>
        <v>-0.6790833561581302</v>
      </c>
      <c r="O50" s="103">
        <f t="shared" si="6"/>
        <v>58</v>
      </c>
      <c r="P50" s="45"/>
      <c r="Q50" s="48"/>
      <c r="R50" s="105" t="str">
        <f>_xll.BDP(G50&amp;" EQUITY",$R$1)</f>
        <v>7/27/2023</v>
      </c>
      <c r="S50" s="84">
        <f>_xll.BDP(G50&amp;" EQUITY",$S$1)</f>
        <v>413.2</v>
      </c>
      <c r="T50" s="37">
        <f t="shared" si="7"/>
        <v>-0.48959341723136496</v>
      </c>
      <c r="U50" s="107">
        <f t="shared" si="8"/>
        <v>49</v>
      </c>
      <c r="V50" s="47"/>
      <c r="W50" s="105" t="str">
        <f>_xll.BDP(G50&amp;" EQUITY",$W$1)</f>
        <v>10/30/2023</v>
      </c>
      <c r="X50" s="77">
        <f>_xll.BDP(G50&amp;" EQUITY",$X$1)</f>
        <v>176.34</v>
      </c>
      <c r="Y50" s="37">
        <f t="shared" si="9"/>
        <v>0.19598502892140179</v>
      </c>
      <c r="Z50" s="107">
        <f t="shared" si="10"/>
        <v>21</v>
      </c>
      <c r="AB50" s="38">
        <v>534.38</v>
      </c>
      <c r="AC50" s="123">
        <f t="shared" si="11"/>
        <v>-0.60533702608630557</v>
      </c>
      <c r="AD50" s="107">
        <f t="shared" si="12"/>
        <v>58</v>
      </c>
      <c r="AE50" s="47"/>
      <c r="AF50" s="47"/>
      <c r="AG50" s="22"/>
      <c r="AH50" s="78" t="str">
        <f t="shared" si="13"/>
        <v>ALGN</v>
      </c>
      <c r="AI50" s="96"/>
      <c r="AJ50" s="48"/>
      <c r="AK50" s="48"/>
      <c r="AL50" s="50"/>
      <c r="AM50" s="47"/>
      <c r="AQ50"/>
      <c r="AS50"/>
    </row>
    <row r="51" spans="1:45" x14ac:dyDescent="0.25">
      <c r="A51" s="18">
        <f t="shared" si="0"/>
        <v>6</v>
      </c>
      <c r="B51" s="26">
        <f t="shared" si="1"/>
        <v>28.632725738828483</v>
      </c>
      <c r="C51" s="17">
        <f t="shared" si="2"/>
        <v>36</v>
      </c>
      <c r="D51" s="24">
        <f t="shared" si="3"/>
        <v>2.8632725738828488E-3</v>
      </c>
      <c r="E51" s="85">
        <v>1E-4</v>
      </c>
      <c r="F51" s="25">
        <f t="shared" si="16"/>
        <v>2.9632725738828487E-3</v>
      </c>
      <c r="G51" s="247" t="s">
        <v>93</v>
      </c>
      <c r="H51" s="101">
        <v>50000</v>
      </c>
      <c r="I51" s="9">
        <v>42.33</v>
      </c>
      <c r="J51" s="99"/>
      <c r="K51" s="62">
        <f t="shared" si="4"/>
        <v>2116500</v>
      </c>
      <c r="L51" s="99"/>
      <c r="M51" s="38">
        <v>135.03</v>
      </c>
      <c r="N51" s="37">
        <f t="shared" si="5"/>
        <v>-0.68651410797600532</v>
      </c>
      <c r="O51" s="103">
        <f t="shared" si="6"/>
        <v>59</v>
      </c>
      <c r="P51" s="45"/>
      <c r="Q51" s="48"/>
      <c r="R51" s="105" t="str">
        <f>_xll.BDP(G51&amp;" EQUITY",$R$1)</f>
        <v>2/27/2024</v>
      </c>
      <c r="S51" s="84">
        <f>_xll.BDP(G51&amp;" EQUITY",$S$1)</f>
        <v>101.91</v>
      </c>
      <c r="T51" s="37">
        <f t="shared" si="7"/>
        <v>-0.58463350014718873</v>
      </c>
      <c r="U51" s="107">
        <f t="shared" si="8"/>
        <v>56</v>
      </c>
      <c r="V51" s="47"/>
      <c r="W51" s="105" t="str">
        <f>_xll.BDP(G51&amp;" EQUITY",$W$1)</f>
        <v>10/20/2023</v>
      </c>
      <c r="X51" s="77">
        <f>_xll.BDP(G51&amp;" EQUITY",$X$1)</f>
        <v>53.59</v>
      </c>
      <c r="Y51" s="37">
        <f t="shared" si="9"/>
        <v>-0.21011382720656846</v>
      </c>
      <c r="Z51" s="107">
        <f t="shared" si="10"/>
        <v>49</v>
      </c>
      <c r="AB51" s="38">
        <v>83.72</v>
      </c>
      <c r="AC51" s="123">
        <f t="shared" si="11"/>
        <v>-0.49438604873387482</v>
      </c>
      <c r="AD51" s="107">
        <f t="shared" si="12"/>
        <v>54</v>
      </c>
      <c r="AE51" s="47"/>
      <c r="AF51" s="47"/>
      <c r="AG51" s="22"/>
      <c r="AH51" s="78" t="str">
        <f t="shared" si="13"/>
        <v>TREX</v>
      </c>
      <c r="AI51" s="96"/>
      <c r="AJ51" s="48"/>
      <c r="AK51" s="48"/>
      <c r="AL51" s="50"/>
      <c r="AM51" s="47"/>
      <c r="AQ51"/>
      <c r="AS51"/>
    </row>
    <row r="52" spans="1:45" x14ac:dyDescent="0.25">
      <c r="A52" s="17"/>
      <c r="B52" s="26"/>
      <c r="C52" s="17"/>
      <c r="D52" s="24"/>
      <c r="E52" s="85"/>
      <c r="F52" s="25"/>
      <c r="G52" s="3"/>
      <c r="H52" s="101"/>
      <c r="I52" s="9"/>
      <c r="J52" s="99"/>
      <c r="K52" s="62"/>
      <c r="L52" s="99"/>
      <c r="M52" s="38"/>
      <c r="N52" s="37"/>
      <c r="O52" s="17"/>
      <c r="P52" s="45"/>
      <c r="Q52" s="48"/>
      <c r="R52" s="105"/>
      <c r="S52" s="84"/>
      <c r="T52" s="37"/>
      <c r="U52" s="39"/>
      <c r="W52" s="105"/>
      <c r="X52" s="84"/>
      <c r="Y52" s="37"/>
      <c r="Z52" s="39"/>
      <c r="AA52"/>
      <c r="AB52" s="38"/>
      <c r="AC52" s="37"/>
      <c r="AD52" s="39"/>
      <c r="AF52" s="47"/>
      <c r="AG52" s="22"/>
      <c r="AH52" s="78"/>
      <c r="AI52" s="96"/>
      <c r="AJ52" s="48"/>
      <c r="AK52" s="48"/>
      <c r="AL52" s="50"/>
      <c r="AM52" s="47"/>
      <c r="AQ52"/>
      <c r="AS52"/>
    </row>
    <row r="53" spans="1:45" x14ac:dyDescent="0.25">
      <c r="A53" s="17"/>
      <c r="B53" s="26"/>
      <c r="C53" s="17"/>
      <c r="D53" s="24"/>
      <c r="E53" s="85"/>
      <c r="F53" s="25"/>
      <c r="G53" s="3"/>
      <c r="H53" s="101"/>
      <c r="I53" s="9"/>
      <c r="J53" s="99"/>
      <c r="K53" s="62"/>
      <c r="L53" s="99"/>
      <c r="M53" s="38"/>
      <c r="N53" s="37"/>
      <c r="O53" s="17"/>
      <c r="P53" s="45"/>
      <c r="Q53" s="48"/>
      <c r="R53" s="105"/>
      <c r="S53" s="84"/>
      <c r="T53" s="37"/>
      <c r="U53" s="39"/>
      <c r="W53" s="105"/>
      <c r="X53" s="84"/>
      <c r="Y53" s="37"/>
      <c r="Z53" s="39"/>
      <c r="AA53"/>
      <c r="AB53" s="38"/>
      <c r="AC53" s="37"/>
      <c r="AD53" s="39"/>
      <c r="AF53" s="47"/>
      <c r="AG53" s="22"/>
      <c r="AH53" s="78"/>
      <c r="AI53" s="96"/>
      <c r="AJ53" s="48"/>
      <c r="AK53" s="48"/>
      <c r="AL53" s="50"/>
      <c r="AM53" s="47"/>
      <c r="AQ53"/>
      <c r="AS53"/>
    </row>
    <row r="54" spans="1:45" x14ac:dyDescent="0.25">
      <c r="B54" s="26"/>
      <c r="D54" s="22"/>
      <c r="E54" s="100"/>
      <c r="G54" s="3"/>
      <c r="H54" s="101"/>
      <c r="I54" s="9"/>
      <c r="J54" s="99"/>
      <c r="K54" s="125"/>
      <c r="L54" s="99"/>
      <c r="M54" s="36"/>
      <c r="N54" s="37"/>
      <c r="O54" s="17"/>
      <c r="P54" s="45"/>
      <c r="Q54" s="48"/>
      <c r="R54" s="105"/>
      <c r="S54" s="77"/>
      <c r="T54" s="37"/>
      <c r="U54" s="39"/>
      <c r="V54" s="47"/>
      <c r="W54" s="105"/>
      <c r="X54" s="77"/>
      <c r="Y54" s="37"/>
      <c r="Z54" s="39"/>
      <c r="AB54" s="36"/>
      <c r="AC54" s="37"/>
      <c r="AD54" s="39"/>
      <c r="AE54" s="47"/>
      <c r="AF54" s="47"/>
      <c r="AG54" s="22"/>
      <c r="AH54" s="78"/>
      <c r="AI54" s="96"/>
      <c r="AJ54" s="48"/>
      <c r="AK54" s="48"/>
      <c r="AL54" s="47"/>
      <c r="AM54" s="47"/>
      <c r="AQ54"/>
      <c r="AS54"/>
    </row>
    <row r="55" spans="1:45" x14ac:dyDescent="0.25">
      <c r="B55" s="26"/>
      <c r="D55" s="22"/>
      <c r="G55" s="3"/>
      <c r="H55" s="101"/>
      <c r="I55" s="9"/>
      <c r="J55" s="99"/>
      <c r="K55" s="81">
        <f>SUM(K4:K54)</f>
        <v>516037758</v>
      </c>
      <c r="L55" s="99"/>
      <c r="M55" s="36"/>
      <c r="N55" s="37"/>
      <c r="O55" s="17"/>
      <c r="P55" s="45"/>
      <c r="Q55" s="48"/>
      <c r="R55" s="105"/>
      <c r="S55" s="77"/>
      <c r="T55" s="37"/>
      <c r="U55" s="39"/>
      <c r="V55" s="47"/>
      <c r="W55" s="105"/>
      <c r="X55" s="77"/>
      <c r="Y55" s="37"/>
      <c r="Z55" s="39"/>
      <c r="AB55" s="36"/>
      <c r="AC55" s="37"/>
      <c r="AD55" s="39"/>
      <c r="AE55" s="47"/>
      <c r="AF55" s="47"/>
      <c r="AG55" s="22"/>
      <c r="AH55" s="78"/>
      <c r="AI55" s="96"/>
      <c r="AJ55" s="48"/>
      <c r="AK55" s="48"/>
      <c r="AL55" s="47"/>
      <c r="AM55" s="47"/>
      <c r="AQ55"/>
      <c r="AS55"/>
    </row>
    <row r="56" spans="1:45" x14ac:dyDescent="0.25">
      <c r="B56" s="27"/>
      <c r="G56" s="3"/>
      <c r="H56" s="29"/>
      <c r="I56" s="9"/>
      <c r="J56" s="99"/>
      <c r="K56" s="132"/>
      <c r="L56" s="99"/>
      <c r="M56" s="36"/>
      <c r="N56" s="37"/>
      <c r="O56" s="17"/>
      <c r="P56" s="28"/>
      <c r="Q56" s="48"/>
      <c r="R56" s="105"/>
      <c r="S56" s="77"/>
      <c r="T56" s="37"/>
      <c r="U56" s="39"/>
      <c r="V56" s="47"/>
      <c r="W56" s="105"/>
      <c r="X56" s="77"/>
      <c r="Y56" s="37"/>
      <c r="Z56" s="39"/>
      <c r="AB56" s="36"/>
      <c r="AC56" s="37"/>
      <c r="AD56" s="39"/>
      <c r="AE56" s="47"/>
      <c r="AF56" s="47"/>
      <c r="AG56" s="22"/>
      <c r="AH56" s="78"/>
      <c r="AI56" s="96"/>
      <c r="AJ56" s="48"/>
      <c r="AK56" s="48"/>
      <c r="AL56" s="47"/>
      <c r="AM56" s="47"/>
      <c r="AQ56"/>
      <c r="AS56"/>
    </row>
    <row r="57" spans="1:45" ht="15.75" x14ac:dyDescent="0.25">
      <c r="B57" s="27"/>
      <c r="G57" s="15" t="s">
        <v>54</v>
      </c>
      <c r="H57" s="29"/>
      <c r="I57" s="9"/>
      <c r="J57" s="99"/>
      <c r="K57" s="132"/>
      <c r="L57" s="99"/>
      <c r="M57" s="36"/>
      <c r="N57" s="37"/>
      <c r="O57" s="17"/>
      <c r="P57" s="28"/>
      <c r="Q57" s="48"/>
      <c r="R57" s="105"/>
      <c r="S57" s="77"/>
      <c r="T57" s="37"/>
      <c r="U57" s="39"/>
      <c r="V57" s="47"/>
      <c r="W57" s="105"/>
      <c r="X57" s="77"/>
      <c r="Y57" s="37"/>
      <c r="Z57" s="39"/>
      <c r="AB57" s="36"/>
      <c r="AC57" s="37"/>
      <c r="AD57" s="39"/>
      <c r="AE57" s="47"/>
      <c r="AF57" s="47"/>
      <c r="AG57" s="22"/>
      <c r="AH57" s="78"/>
      <c r="AI57" s="96"/>
      <c r="AJ57" s="48"/>
      <c r="AK57" s="48"/>
      <c r="AL57" s="47"/>
      <c r="AM57" s="47"/>
      <c r="AQ57"/>
      <c r="AS57"/>
    </row>
    <row r="58" spans="1:45" x14ac:dyDescent="0.25">
      <c r="B58" s="27"/>
      <c r="F58" s="87"/>
      <c r="G58" s="3"/>
      <c r="H58" s="29"/>
      <c r="I58" s="9"/>
      <c r="J58" s="99"/>
      <c r="K58" s="132"/>
      <c r="L58" s="99"/>
      <c r="M58" s="36"/>
      <c r="N58" s="37"/>
      <c r="O58" s="17"/>
      <c r="P58" s="28"/>
      <c r="Q58" s="48"/>
      <c r="R58" s="105"/>
      <c r="S58" s="77"/>
      <c r="T58" s="37"/>
      <c r="U58" s="39"/>
      <c r="V58" s="47"/>
      <c r="W58" s="105"/>
      <c r="X58" s="77"/>
      <c r="Y58" s="37"/>
      <c r="Z58" s="39"/>
      <c r="AB58" s="36"/>
      <c r="AC58" s="37"/>
      <c r="AD58" s="39"/>
      <c r="AE58" s="47"/>
      <c r="AF58" s="47"/>
      <c r="AG58" s="22"/>
      <c r="AH58" s="78"/>
      <c r="AI58" s="96"/>
      <c r="AJ58" s="48"/>
      <c r="AK58" s="48"/>
      <c r="AL58" s="47"/>
      <c r="AM58" s="47"/>
      <c r="AQ58"/>
      <c r="AS58"/>
    </row>
    <row r="59" spans="1:45" x14ac:dyDescent="0.25">
      <c r="B59" s="27"/>
      <c r="F59" s="25">
        <f t="shared" ref="F59:F69" si="17">+K59/$K$74</f>
        <v>2.2043723773567635E-2</v>
      </c>
      <c r="G59" s="248" t="s">
        <v>112</v>
      </c>
      <c r="H59" s="101">
        <v>180000</v>
      </c>
      <c r="I59" s="9">
        <v>87.47</v>
      </c>
      <c r="J59" s="99"/>
      <c r="K59" s="62">
        <f t="shared" ref="K59:K69" si="18">+I59*H59</f>
        <v>15744600</v>
      </c>
      <c r="L59" s="99"/>
      <c r="M59" s="36">
        <v>55.5</v>
      </c>
      <c r="N59" s="37">
        <f t="shared" ref="N59:N69" si="19">+I59/M59-1</f>
        <v>0.57603603603603593</v>
      </c>
      <c r="O59" s="82">
        <f t="shared" ref="O59:O69" si="20">+RANK(N59,$N$4:$N$69)</f>
        <v>2</v>
      </c>
      <c r="P59" s="45" t="s">
        <v>61</v>
      </c>
      <c r="Q59" s="48"/>
      <c r="R59" s="105" t="str">
        <f>_xll.BDP(G59&amp;" EQUITY",$R$1)</f>
        <v>4/12/2024</v>
      </c>
      <c r="S59" s="84">
        <f>_xll.BDP(G59&amp;" EQUITY",$S$1)</f>
        <v>98.97</v>
      </c>
      <c r="T59" s="37">
        <f t="shared" ref="T59:T69" si="21">+I59/S59-1</f>
        <v>-0.11619682732141057</v>
      </c>
      <c r="U59" s="106">
        <f t="shared" ref="U59:U69" si="22">+RANK(T59,$T$4:$T$69)</f>
        <v>17</v>
      </c>
      <c r="V59" s="47"/>
      <c r="W59" s="105" t="str">
        <f>_xll.BDP(G59&amp;" EQUITY",$W$1)</f>
        <v>6/26/2023</v>
      </c>
      <c r="X59" s="77">
        <f>_xll.BDP(G59&amp;" EQUITY",$X$1)</f>
        <v>77.319999999999993</v>
      </c>
      <c r="Y59" s="37">
        <f t="shared" ref="Y59:Y69" si="23">+I59/X59-1</f>
        <v>0.13127263321262306</v>
      </c>
      <c r="Z59" s="106">
        <f t="shared" ref="Z59:Z69" si="24">+RANK(Y59,$Y$4:$Y$69)</f>
        <v>25</v>
      </c>
      <c r="AB59" s="38">
        <v>58.56</v>
      </c>
      <c r="AC59" s="37">
        <f t="shared" ref="AC59:AC69" si="25">+I59/AB59-1</f>
        <v>0.49368169398907091</v>
      </c>
      <c r="AD59" s="106">
        <f t="shared" ref="AD59:AD69" si="26">+RANK(AC59,$AC$4:$AC$69)</f>
        <v>6</v>
      </c>
      <c r="AE59" s="47"/>
      <c r="AF59" s="47"/>
      <c r="AG59" s="22"/>
      <c r="AH59" s="78" t="str">
        <f t="shared" ref="AH59:AH69" si="27">+G59</f>
        <v>XLE</v>
      </c>
      <c r="AI59" s="96"/>
      <c r="AJ59" s="48"/>
      <c r="AK59" s="48"/>
      <c r="AL59" s="50"/>
      <c r="AM59" s="50"/>
      <c r="AQ59"/>
      <c r="AS59"/>
    </row>
    <row r="60" spans="1:45" x14ac:dyDescent="0.25">
      <c r="B60" s="27"/>
      <c r="F60" s="88">
        <f t="shared" si="17"/>
        <v>4.4625818100544209E-2</v>
      </c>
      <c r="G60" s="248" t="s">
        <v>44</v>
      </c>
      <c r="H60" s="29">
        <v>410000</v>
      </c>
      <c r="I60" s="9">
        <v>77.740799999999993</v>
      </c>
      <c r="J60" s="99"/>
      <c r="K60" s="62">
        <f t="shared" si="18"/>
        <v>31873727.999999996</v>
      </c>
      <c r="L60" s="99"/>
      <c r="M60" s="36">
        <v>76.959999999999994</v>
      </c>
      <c r="N60" s="37">
        <f t="shared" si="19"/>
        <v>1.0145530145530213E-2</v>
      </c>
      <c r="O60" s="82">
        <f t="shared" si="20"/>
        <v>9</v>
      </c>
      <c r="P60" s="45" t="s">
        <v>61</v>
      </c>
      <c r="Q60" s="48"/>
      <c r="R60" s="105" t="str">
        <f>_xll.BDP(G60&amp;" EQUITY",$R$1)</f>
        <v>6/25/2024</v>
      </c>
      <c r="S60" s="77">
        <f>_xll.BDP(G60&amp;" EQUITY",$S$1)</f>
        <v>93.43</v>
      </c>
      <c r="T60" s="37">
        <f t="shared" si="21"/>
        <v>-0.1679246494701917</v>
      </c>
      <c r="U60" s="106">
        <f t="shared" si="22"/>
        <v>18</v>
      </c>
      <c r="V60" s="47"/>
      <c r="W60" s="105" t="str">
        <f>_xll.BDP(G60&amp;" EQUITY",$W$1)</f>
        <v>10/27/2023</v>
      </c>
      <c r="X60" s="77">
        <f>_xll.BDP(G60&amp;" EQUITY",$X$1)</f>
        <v>74.05</v>
      </c>
      <c r="Y60" s="37">
        <f t="shared" si="23"/>
        <v>4.984199864956107E-2</v>
      </c>
      <c r="Z60" s="107">
        <f t="shared" si="24"/>
        <v>30</v>
      </c>
      <c r="AB60" s="36">
        <v>66.47</v>
      </c>
      <c r="AC60" s="37">
        <f t="shared" si="25"/>
        <v>0.16956220851511961</v>
      </c>
      <c r="AD60" s="39">
        <f t="shared" si="26"/>
        <v>13</v>
      </c>
      <c r="AE60" s="47"/>
      <c r="AF60" s="47"/>
      <c r="AG60" s="22"/>
      <c r="AH60" s="78" t="str">
        <f t="shared" si="27"/>
        <v>PPH</v>
      </c>
      <c r="AI60" s="96"/>
      <c r="AJ60" s="48"/>
      <c r="AK60" s="48"/>
      <c r="AL60" s="47"/>
      <c r="AM60" s="47"/>
      <c r="AQ60"/>
      <c r="AS60"/>
    </row>
    <row r="61" spans="1:45" x14ac:dyDescent="0.25">
      <c r="B61" s="27"/>
      <c r="F61" s="88">
        <f t="shared" si="17"/>
        <v>4.018479026574158E-2</v>
      </c>
      <c r="G61" s="188" t="s">
        <v>48</v>
      </c>
      <c r="H61" s="29">
        <v>385000</v>
      </c>
      <c r="I61" s="9">
        <v>74.55</v>
      </c>
      <c r="J61" s="99"/>
      <c r="K61" s="62">
        <f t="shared" si="18"/>
        <v>28701750</v>
      </c>
      <c r="L61" s="99"/>
      <c r="M61" s="36">
        <v>77.11</v>
      </c>
      <c r="N61" s="37">
        <f t="shared" si="19"/>
        <v>-3.3199325638697985E-2</v>
      </c>
      <c r="O61" s="102">
        <f t="shared" si="20"/>
        <v>12</v>
      </c>
      <c r="P61" s="45"/>
      <c r="Q61" s="48"/>
      <c r="R61" s="105" t="str">
        <f>_xll.BDP(G61&amp;" EQUITY",$R$1)</f>
        <v>5/16/2024</v>
      </c>
      <c r="S61" s="77">
        <f>_xll.BDP(G61&amp;" EQUITY",$S$1)</f>
        <v>78.61</v>
      </c>
      <c r="T61" s="37">
        <f t="shared" si="21"/>
        <v>-5.1647373107747141E-2</v>
      </c>
      <c r="U61" s="106">
        <f t="shared" si="22"/>
        <v>9</v>
      </c>
      <c r="V61" s="47"/>
      <c r="W61" s="105" t="str">
        <f>_xll.BDP(G61&amp;" EQUITY",$W$1)</f>
        <v>10/6/2023</v>
      </c>
      <c r="X61" s="77">
        <f>_xll.BDP(G61&amp;" EQUITY",$X$1)</f>
        <v>65.180000000000007</v>
      </c>
      <c r="Y61" s="37">
        <f t="shared" si="23"/>
        <v>0.14375575329855761</v>
      </c>
      <c r="Z61" s="107">
        <f t="shared" si="24"/>
        <v>24</v>
      </c>
      <c r="AB61" s="36">
        <v>67.45</v>
      </c>
      <c r="AC61" s="37">
        <f t="shared" si="25"/>
        <v>0.10526315789473673</v>
      </c>
      <c r="AD61" s="39">
        <f t="shared" si="26"/>
        <v>17</v>
      </c>
      <c r="AE61" s="47"/>
      <c r="AF61" s="47"/>
      <c r="AG61" s="22"/>
      <c r="AH61" s="78" t="str">
        <f t="shared" si="27"/>
        <v>XLP</v>
      </c>
      <c r="AI61" s="96"/>
      <c r="AJ61" s="48"/>
      <c r="AK61" s="48"/>
      <c r="AL61" s="47"/>
      <c r="AM61" s="47"/>
      <c r="AQ61"/>
      <c r="AS61"/>
    </row>
    <row r="62" spans="1:45" x14ac:dyDescent="0.25">
      <c r="B62" s="27"/>
      <c r="F62" s="88">
        <f t="shared" si="17"/>
        <v>3.3517952005081696E-2</v>
      </c>
      <c r="G62" s="188" t="s">
        <v>47</v>
      </c>
      <c r="H62" s="29">
        <v>700000</v>
      </c>
      <c r="I62" s="9">
        <v>34.200000000000003</v>
      </c>
      <c r="J62" s="99"/>
      <c r="K62" s="155">
        <f t="shared" si="18"/>
        <v>23940000.000000004</v>
      </c>
      <c r="L62" s="99"/>
      <c r="M62" s="36">
        <v>39.049999999999997</v>
      </c>
      <c r="N62" s="37">
        <f t="shared" si="19"/>
        <v>-0.12419974391805366</v>
      </c>
      <c r="O62" s="102">
        <f t="shared" si="20"/>
        <v>16</v>
      </c>
      <c r="P62" s="45"/>
      <c r="Q62" s="48"/>
      <c r="R62" s="105" t="str">
        <f>_xll.BDP(G62&amp;" EQUITY",$R$1)</f>
        <v>5/17/2024</v>
      </c>
      <c r="S62" s="77">
        <f>_xll.BDP(G62&amp;" EQUITY",$S$1)</f>
        <v>42.49</v>
      </c>
      <c r="T62" s="37">
        <f t="shared" si="21"/>
        <v>-0.19510473052482935</v>
      </c>
      <c r="U62" s="40">
        <f t="shared" si="22"/>
        <v>22</v>
      </c>
      <c r="V62" s="47"/>
      <c r="W62" s="105" t="str">
        <f>_xll.BDP(G62&amp;" EQUITY",$W$1)</f>
        <v>10/27/2023</v>
      </c>
      <c r="X62" s="77">
        <f>_xll.BDP(G62&amp;" EQUITY",$X$1)</f>
        <v>31.355</v>
      </c>
      <c r="Y62" s="37">
        <f t="shared" si="23"/>
        <v>9.0735129963323224E-2</v>
      </c>
      <c r="Z62" s="39">
        <f t="shared" si="24"/>
        <v>29</v>
      </c>
      <c r="AB62" s="36">
        <v>29.48</v>
      </c>
      <c r="AC62" s="37">
        <f t="shared" si="25"/>
        <v>0.16010854816824982</v>
      </c>
      <c r="AD62" s="40">
        <f t="shared" si="26"/>
        <v>15</v>
      </c>
      <c r="AE62" s="47"/>
      <c r="AF62" s="47"/>
      <c r="AG62" s="22"/>
      <c r="AH62" s="78" t="str">
        <f t="shared" si="27"/>
        <v>XLF</v>
      </c>
      <c r="AI62" s="96"/>
      <c r="AJ62" s="48"/>
      <c r="AK62" s="48"/>
      <c r="AL62" s="47"/>
      <c r="AM62" s="47"/>
      <c r="AQ62"/>
      <c r="AS62"/>
    </row>
    <row r="63" spans="1:45" x14ac:dyDescent="0.25">
      <c r="B63" s="27"/>
      <c r="F63" s="88">
        <f t="shared" si="17"/>
        <v>7.8277158673855981E-3</v>
      </c>
      <c r="G63" s="188" t="s">
        <v>56</v>
      </c>
      <c r="H63" s="29">
        <v>35000</v>
      </c>
      <c r="I63" s="9">
        <v>159.74</v>
      </c>
      <c r="J63" s="99"/>
      <c r="K63" s="62">
        <f t="shared" si="18"/>
        <v>5590900</v>
      </c>
      <c r="L63" s="99"/>
      <c r="M63" s="36">
        <v>189.34</v>
      </c>
      <c r="N63" s="37">
        <f t="shared" si="19"/>
        <v>-0.15633252350269355</v>
      </c>
      <c r="O63" s="102">
        <f t="shared" si="20"/>
        <v>19</v>
      </c>
      <c r="P63" s="45"/>
      <c r="Q63" s="48"/>
      <c r="R63" s="105" t="str">
        <f>_xll.BDP(G63&amp;" EQUITY",$R$1)</f>
        <v>6/25/2024</v>
      </c>
      <c r="S63" s="77">
        <f>_xll.BDP(G63&amp;" EQUITY",$S$1)</f>
        <v>173.49</v>
      </c>
      <c r="T63" s="37">
        <f t="shared" si="21"/>
        <v>-7.925528848925012E-2</v>
      </c>
      <c r="U63" s="40">
        <f t="shared" si="22"/>
        <v>13</v>
      </c>
      <c r="V63" s="47"/>
      <c r="W63" s="105" t="str">
        <f>_xll.BDP(G63&amp;" EQUITY",$W$1)</f>
        <v>10/31/2023</v>
      </c>
      <c r="X63" s="77">
        <f>_xll.BDP(G63&amp;" EQUITY",$X$1)</f>
        <v>142.51</v>
      </c>
      <c r="Y63" s="37">
        <f t="shared" si="23"/>
        <v>0.1209037962248265</v>
      </c>
      <c r="Z63" s="39">
        <f t="shared" si="24"/>
        <v>26</v>
      </c>
      <c r="AB63" s="36">
        <v>169.69</v>
      </c>
      <c r="AC63" s="37">
        <f t="shared" si="25"/>
        <v>-5.8636336849549164E-2</v>
      </c>
      <c r="AD63" s="39">
        <f t="shared" si="26"/>
        <v>35</v>
      </c>
      <c r="AE63" s="47"/>
      <c r="AF63" s="47"/>
      <c r="AG63" s="22"/>
      <c r="AH63" s="78" t="str">
        <f t="shared" si="27"/>
        <v>BBH</v>
      </c>
      <c r="AI63" s="96"/>
      <c r="AJ63" s="48"/>
      <c r="AK63" s="48"/>
      <c r="AL63" s="47"/>
      <c r="AM63" s="47"/>
      <c r="AQ63"/>
      <c r="AS63"/>
    </row>
    <row r="64" spans="1:45" ht="15.75" thickBot="1" x14ac:dyDescent="0.3">
      <c r="B64" s="27"/>
      <c r="F64" s="88">
        <f t="shared" si="17"/>
        <v>1.7067693981535018E-2</v>
      </c>
      <c r="G64" s="3" t="s">
        <v>46</v>
      </c>
      <c r="H64" s="29">
        <v>270000</v>
      </c>
      <c r="I64" s="9">
        <v>45.15</v>
      </c>
      <c r="J64" s="99"/>
      <c r="K64" s="62">
        <f t="shared" si="18"/>
        <v>12190500</v>
      </c>
      <c r="L64" s="99"/>
      <c r="M64" s="252">
        <v>54.56</v>
      </c>
      <c r="N64" s="253">
        <f t="shared" si="19"/>
        <v>-0.17247067448680353</v>
      </c>
      <c r="O64" s="254">
        <f t="shared" si="20"/>
        <v>21</v>
      </c>
      <c r="P64" s="255"/>
      <c r="Q64" s="48"/>
      <c r="R64" s="105" t="str">
        <f>_xll.BDP(G64&amp;" EQUITY",$R$1)</f>
        <v>5/15/2024</v>
      </c>
      <c r="S64" s="77">
        <f>_xll.BDP(G64&amp;" EQUITY",$S$1)</f>
        <v>48.32</v>
      </c>
      <c r="T64" s="37">
        <f t="shared" si="21"/>
        <v>-6.5604304635761612E-2</v>
      </c>
      <c r="U64" s="39">
        <f t="shared" si="22"/>
        <v>10</v>
      </c>
      <c r="V64" s="47"/>
      <c r="W64" s="105" t="str">
        <f>_xll.BDP(G64&amp;" EQUITY",$W$1)</f>
        <v>10/25/2023</v>
      </c>
      <c r="X64" s="77">
        <f>_xll.BDP(G64&amp;" EQUITY",$X$1)</f>
        <v>33.97</v>
      </c>
      <c r="Y64" s="37">
        <f t="shared" si="23"/>
        <v>0.32911392405063289</v>
      </c>
      <c r="Z64" s="39">
        <f t="shared" si="24"/>
        <v>10</v>
      </c>
      <c r="AB64" s="36">
        <v>41.82</v>
      </c>
      <c r="AC64" s="37">
        <f t="shared" si="25"/>
        <v>7.9626972740315605E-2</v>
      </c>
      <c r="AD64" s="40">
        <f t="shared" si="26"/>
        <v>20</v>
      </c>
      <c r="AE64" s="47"/>
      <c r="AF64" s="47"/>
      <c r="AG64" s="22"/>
      <c r="AH64" s="78" t="str">
        <f t="shared" si="27"/>
        <v>KBE</v>
      </c>
      <c r="AI64" s="96"/>
      <c r="AJ64" s="48"/>
      <c r="AK64" s="48"/>
      <c r="AL64" s="47"/>
      <c r="AM64" s="47"/>
      <c r="AQ64"/>
      <c r="AS64"/>
    </row>
    <row r="65" spans="1:49" x14ac:dyDescent="0.25">
      <c r="B65" s="27"/>
      <c r="F65" s="88">
        <f t="shared" si="17"/>
        <v>6.2926664697928016E-3</v>
      </c>
      <c r="G65" s="3" t="s">
        <v>52</v>
      </c>
      <c r="H65" s="29">
        <v>50000</v>
      </c>
      <c r="I65" s="9">
        <v>89.89</v>
      </c>
      <c r="J65" s="99"/>
      <c r="K65" s="62">
        <f t="shared" si="18"/>
        <v>4494500</v>
      </c>
      <c r="L65" s="99"/>
      <c r="M65" s="36">
        <v>117.3</v>
      </c>
      <c r="N65" s="37">
        <f t="shared" si="19"/>
        <v>-0.23367433930093773</v>
      </c>
      <c r="O65" s="17">
        <f t="shared" si="20"/>
        <v>25</v>
      </c>
      <c r="P65" s="45"/>
      <c r="Q65" s="48"/>
      <c r="R65" s="105" t="str">
        <f>_xll.BDP(G65&amp;" EQUITY",$R$1)</f>
        <v>7/19/2023</v>
      </c>
      <c r="S65" s="77">
        <f>_xll.BDP(G65&amp;" EQUITY",$S$1)</f>
        <v>99.68</v>
      </c>
      <c r="T65" s="37">
        <f t="shared" si="21"/>
        <v>-9.8214285714285809E-2</v>
      </c>
      <c r="U65" s="39">
        <f t="shared" si="22"/>
        <v>15</v>
      </c>
      <c r="V65" s="47"/>
      <c r="W65" s="105" t="str">
        <f>_xll.BDP(G65&amp;" EQUITY",$W$1)</f>
        <v>10/30/2023</v>
      </c>
      <c r="X65" s="77">
        <f>_xll.BDP(G65&amp;" EQUITY",$X$1)</f>
        <v>66.2</v>
      </c>
      <c r="Y65" s="37">
        <f t="shared" si="23"/>
        <v>0.35785498489425982</v>
      </c>
      <c r="Z65" s="107">
        <f t="shared" si="24"/>
        <v>9</v>
      </c>
      <c r="AB65" s="36">
        <v>113.84</v>
      </c>
      <c r="AC65" s="37">
        <f t="shared" si="25"/>
        <v>-0.21038299367533386</v>
      </c>
      <c r="AD65" s="39">
        <f t="shared" si="26"/>
        <v>43</v>
      </c>
      <c r="AE65" s="47"/>
      <c r="AF65" s="47"/>
      <c r="AG65" s="22"/>
      <c r="AH65" s="78" t="str">
        <f t="shared" si="27"/>
        <v>XHE</v>
      </c>
      <c r="AI65" s="96"/>
      <c r="AJ65" s="48"/>
      <c r="AK65" s="48"/>
      <c r="AL65" s="50"/>
      <c r="AM65" s="50"/>
      <c r="AQ65"/>
      <c r="AS65"/>
    </row>
    <row r="66" spans="1:49" x14ac:dyDescent="0.25">
      <c r="A66" s="21"/>
      <c r="B66" s="26"/>
      <c r="C66" s="17"/>
      <c r="D66" s="24"/>
      <c r="E66" s="85"/>
      <c r="F66" s="88">
        <f t="shared" si="17"/>
        <v>2.3241353520649793E-2</v>
      </c>
      <c r="G66" s="3" t="s">
        <v>51</v>
      </c>
      <c r="H66" s="101">
        <v>200000</v>
      </c>
      <c r="I66" s="9">
        <v>83</v>
      </c>
      <c r="J66" s="99"/>
      <c r="K66" s="62">
        <f t="shared" si="18"/>
        <v>16600000</v>
      </c>
      <c r="L66" s="99"/>
      <c r="M66" s="36">
        <v>111.96</v>
      </c>
      <c r="N66" s="37">
        <f t="shared" si="19"/>
        <v>-0.25866380850303672</v>
      </c>
      <c r="O66" s="17">
        <f t="shared" si="20"/>
        <v>28</v>
      </c>
      <c r="P66" s="45"/>
      <c r="Q66" s="48"/>
      <c r="R66" s="105" t="str">
        <f>_xll.BDP(G66&amp;" EQUITY",$R$1)</f>
        <v>2/28/2024</v>
      </c>
      <c r="S66" s="77">
        <f>_xll.BDP(G66&amp;" EQUITY",$S$1)</f>
        <v>103.52</v>
      </c>
      <c r="T66" s="37">
        <f t="shared" si="21"/>
        <v>-0.19822256568778973</v>
      </c>
      <c r="U66" s="39">
        <f t="shared" si="22"/>
        <v>23</v>
      </c>
      <c r="V66" s="47"/>
      <c r="W66" s="105" t="str">
        <f>_xll.BDP(G66&amp;" EQUITY",$W$1)</f>
        <v>10/31/2023</v>
      </c>
      <c r="X66" s="77">
        <f>_xll.BDP(G66&amp;" EQUITY",$X$1)</f>
        <v>63.8</v>
      </c>
      <c r="Y66" s="37">
        <f t="shared" si="23"/>
        <v>0.30094043887147337</v>
      </c>
      <c r="Z66" s="106">
        <f t="shared" si="24"/>
        <v>14</v>
      </c>
      <c r="AB66" s="36">
        <v>140.78</v>
      </c>
      <c r="AC66" s="123">
        <f t="shared" si="25"/>
        <v>-0.41042761755931245</v>
      </c>
      <c r="AD66" s="107">
        <f t="shared" si="26"/>
        <v>50</v>
      </c>
      <c r="AE66" s="47"/>
      <c r="AF66" s="47"/>
      <c r="AG66" s="22"/>
      <c r="AH66" s="78" t="str">
        <f t="shared" si="27"/>
        <v>XBI</v>
      </c>
      <c r="AI66" s="96"/>
      <c r="AJ66" s="48"/>
      <c r="AK66" s="48"/>
      <c r="AL66" s="50"/>
      <c r="AM66" s="47"/>
      <c r="AQ66"/>
      <c r="AS66"/>
    </row>
    <row r="67" spans="1:49" x14ac:dyDescent="0.25">
      <c r="B67" s="27"/>
      <c r="F67" s="88">
        <f t="shared" si="17"/>
        <v>1.3568190178832359E-2</v>
      </c>
      <c r="G67" s="3" t="s">
        <v>50</v>
      </c>
      <c r="H67" s="29">
        <v>220000</v>
      </c>
      <c r="I67" s="9">
        <v>44.05</v>
      </c>
      <c r="J67" s="99"/>
      <c r="K67" s="62">
        <f t="shared" si="18"/>
        <v>9691000</v>
      </c>
      <c r="L67" s="99"/>
      <c r="M67" s="38">
        <v>61.45</v>
      </c>
      <c r="N67" s="37">
        <f t="shared" si="19"/>
        <v>-0.28315703824247362</v>
      </c>
      <c r="O67" s="17">
        <f t="shared" si="20"/>
        <v>33</v>
      </c>
      <c r="P67" s="45"/>
      <c r="Q67" s="7"/>
      <c r="R67" s="105" t="str">
        <f>_xll.BDP(G67&amp;" EQUITY",$R$1)</f>
        <v>2/9/2024</v>
      </c>
      <c r="S67" s="77">
        <f>_xll.BDP(G67&amp;" EQUITY",$S$1)</f>
        <v>67.489998</v>
      </c>
      <c r="T67" s="37">
        <f t="shared" si="21"/>
        <v>-0.34731069335636966</v>
      </c>
      <c r="U67" s="39">
        <f t="shared" si="22"/>
        <v>38</v>
      </c>
      <c r="V67" s="47"/>
      <c r="W67" s="105" t="str">
        <f>_xll.BDP(G67&amp;" EQUITY",$W$1)</f>
        <v>8/18/2023</v>
      </c>
      <c r="X67" s="77">
        <f>_xll.BDP(G67&amp;" EQUITY",$X$1)</f>
        <v>48.700001</v>
      </c>
      <c r="Y67" s="37">
        <f t="shared" si="23"/>
        <v>-9.5482564774485357E-2</v>
      </c>
      <c r="Z67" s="39">
        <f t="shared" si="24"/>
        <v>43</v>
      </c>
      <c r="AB67" s="38">
        <v>57.56</v>
      </c>
      <c r="AC67" s="37">
        <f t="shared" si="25"/>
        <v>-0.23471160528144552</v>
      </c>
      <c r="AD67" s="39">
        <f t="shared" si="26"/>
        <v>44</v>
      </c>
      <c r="AE67" s="47"/>
      <c r="AF67" s="47"/>
      <c r="AG67" s="22"/>
      <c r="AH67" s="78" t="str">
        <f t="shared" si="27"/>
        <v>HACK</v>
      </c>
      <c r="AI67" s="96"/>
      <c r="AJ67" s="48"/>
      <c r="AK67" s="48"/>
      <c r="AL67" s="47"/>
      <c r="AM67" s="47"/>
      <c r="AQ67"/>
      <c r="AS67"/>
    </row>
    <row r="68" spans="1:49" x14ac:dyDescent="0.25">
      <c r="B68" s="27"/>
      <c r="F68" s="88">
        <f t="shared" si="17"/>
        <v>1.505591682046142E-2</v>
      </c>
      <c r="G68" s="3" t="s">
        <v>49</v>
      </c>
      <c r="H68" s="101">
        <v>160000</v>
      </c>
      <c r="I68" s="9">
        <v>67.209999999999994</v>
      </c>
      <c r="J68" s="99"/>
      <c r="K68" s="62">
        <f t="shared" si="18"/>
        <v>10753599.999999998</v>
      </c>
      <c r="L68" s="99"/>
      <c r="M68" s="36">
        <v>94.36</v>
      </c>
      <c r="N68" s="37">
        <f t="shared" si="19"/>
        <v>-0.28772785078423069</v>
      </c>
      <c r="O68" s="17">
        <f t="shared" si="20"/>
        <v>35</v>
      </c>
      <c r="P68" s="45"/>
      <c r="Q68" s="48"/>
      <c r="R68" s="105" t="str">
        <f>_xll.BDP(G68&amp;" EQUITY",$R$1)</f>
        <v>7/31/2023</v>
      </c>
      <c r="S68" s="77">
        <f>_xll.BDP(G68&amp;" EQUITY",$S$1)</f>
        <v>88.141400000000004</v>
      </c>
      <c r="T68" s="37">
        <f t="shared" si="21"/>
        <v>-0.23747523865062281</v>
      </c>
      <c r="U68" s="39">
        <f t="shared" si="22"/>
        <v>25</v>
      </c>
      <c r="V68" s="47"/>
      <c r="W68" s="105" t="str">
        <f>_xll.BDP(G68&amp;" EQUITY",$W$1)</f>
        <v>10/27/2023</v>
      </c>
      <c r="X68" s="77">
        <f>_xll.BDP(G68&amp;" EQUITY",$X$1)</f>
        <v>66.745699999999999</v>
      </c>
      <c r="Y68" s="37">
        <f t="shared" si="23"/>
        <v>6.9562533616396305E-3</v>
      </c>
      <c r="Z68" s="107">
        <f t="shared" si="24"/>
        <v>33</v>
      </c>
      <c r="AB68" s="36">
        <v>71.37</v>
      </c>
      <c r="AC68" s="37">
        <f t="shared" si="25"/>
        <v>-5.8287795992714164E-2</v>
      </c>
      <c r="AD68" s="39">
        <f t="shared" si="26"/>
        <v>34</v>
      </c>
      <c r="AE68" s="47"/>
      <c r="AF68" s="47"/>
      <c r="AG68" s="22"/>
      <c r="AH68" s="78" t="str">
        <f t="shared" si="27"/>
        <v>XTN</v>
      </c>
      <c r="AI68" s="96"/>
      <c r="AJ68" s="48"/>
      <c r="AK68" s="48"/>
      <c r="AL68" s="47"/>
      <c r="AM68" s="47"/>
      <c r="AQ68"/>
      <c r="AS68"/>
    </row>
    <row r="69" spans="1:49" x14ac:dyDescent="0.25">
      <c r="B69" s="27"/>
      <c r="F69" s="88">
        <f t="shared" si="17"/>
        <v>5.4079241445231588E-2</v>
      </c>
      <c r="G69" s="3" t="s">
        <v>45</v>
      </c>
      <c r="H69" s="29">
        <v>111000</v>
      </c>
      <c r="I69" s="9">
        <v>347.98</v>
      </c>
      <c r="J69" s="99"/>
      <c r="K69" s="62">
        <f t="shared" si="18"/>
        <v>38625780</v>
      </c>
      <c r="L69" s="99"/>
      <c r="M69" s="36">
        <v>542.32000000000005</v>
      </c>
      <c r="N69" s="37">
        <f t="shared" si="19"/>
        <v>-0.35834931405812065</v>
      </c>
      <c r="O69" s="17">
        <f t="shared" si="20"/>
        <v>39</v>
      </c>
      <c r="P69" s="45"/>
      <c r="Q69" s="48"/>
      <c r="R69" s="105" t="str">
        <f>_xll.BDP(G69&amp;" EQUITY",$R$1)</f>
        <v>6/18/2024</v>
      </c>
      <c r="S69" s="77">
        <f>_xll.BDP(G69&amp;" EQUITY",$S$1)</f>
        <v>260.64999389648438</v>
      </c>
      <c r="T69" s="37">
        <f t="shared" si="21"/>
        <v>0.33504702915204465</v>
      </c>
      <c r="U69" s="39">
        <f t="shared" si="22"/>
        <v>2</v>
      </c>
      <c r="V69" s="47"/>
      <c r="W69" s="105" t="str">
        <f>_xll.BDP(G69&amp;" EQUITY",$W$1)</f>
        <v>10/31/2023</v>
      </c>
      <c r="X69" s="77">
        <f>_xll.BDP(G69&amp;" EQUITY",$X$1)</f>
        <v>144.40333557128906</v>
      </c>
      <c r="Y69" s="37">
        <f t="shared" si="23"/>
        <v>1.4097781302857038</v>
      </c>
      <c r="Z69" s="39">
        <f t="shared" si="24"/>
        <v>2</v>
      </c>
      <c r="AB69" s="36">
        <v>379.18</v>
      </c>
      <c r="AC69" s="37">
        <f t="shared" si="25"/>
        <v>-8.2282820823883052E-2</v>
      </c>
      <c r="AD69" s="39">
        <f t="shared" si="26"/>
        <v>37</v>
      </c>
      <c r="AE69" s="47"/>
      <c r="AF69" s="47"/>
      <c r="AG69" s="22"/>
      <c r="AH69" s="78" t="str">
        <f t="shared" si="27"/>
        <v>SOXX</v>
      </c>
      <c r="AI69" s="96"/>
      <c r="AJ69" s="48"/>
      <c r="AK69" s="48"/>
      <c r="AL69" s="47"/>
      <c r="AM69" s="47"/>
      <c r="AQ69"/>
      <c r="AS69"/>
    </row>
    <row r="70" spans="1:49" x14ac:dyDescent="0.25">
      <c r="B70" s="27"/>
      <c r="G70" s="3"/>
      <c r="H70" s="29"/>
      <c r="I70" s="9"/>
      <c r="J70" s="99"/>
      <c r="K70" s="125"/>
      <c r="M70" s="43"/>
      <c r="N70" s="46"/>
      <c r="O70" s="41"/>
      <c r="P70" s="44"/>
      <c r="Q70" s="48"/>
      <c r="R70" s="97"/>
      <c r="S70" s="76"/>
      <c r="T70" s="46"/>
      <c r="U70" s="94"/>
      <c r="V70" s="47"/>
      <c r="W70" s="97"/>
      <c r="X70" s="76"/>
      <c r="Y70" s="46"/>
      <c r="Z70" s="94"/>
      <c r="AB70" s="43"/>
      <c r="AC70" s="46"/>
      <c r="AD70" s="94"/>
      <c r="AE70" s="47"/>
      <c r="AF70" s="47"/>
      <c r="AG70" s="22"/>
      <c r="AH70" s="78"/>
      <c r="AI70" s="96"/>
      <c r="AJ70" s="48"/>
      <c r="AK70" s="48"/>
      <c r="AL70" s="47"/>
      <c r="AM70" s="47"/>
      <c r="AQ70"/>
      <c r="AS70"/>
    </row>
    <row r="71" spans="1:49" x14ac:dyDescent="0.25">
      <c r="B71" s="27"/>
      <c r="G71" s="3"/>
      <c r="H71" s="29"/>
      <c r="I71" s="9"/>
      <c r="J71" s="67">
        <f>+K71/K74</f>
        <v>0.27750506242882372</v>
      </c>
      <c r="K71" s="16">
        <f>SUM(K59:K70)</f>
        <v>198206358</v>
      </c>
      <c r="L71" s="10"/>
      <c r="M71" s="5"/>
      <c r="N71" s="6"/>
      <c r="O71" s="7"/>
      <c r="Q71" s="67"/>
      <c r="V71" s="47"/>
      <c r="Y71" s="120"/>
      <c r="Z71" s="120"/>
      <c r="AB71" s="5"/>
      <c r="AC71" s="6"/>
      <c r="AD71" s="7"/>
      <c r="AE71" s="47"/>
      <c r="AF71" s="47"/>
      <c r="AG71" s="22"/>
      <c r="AH71" s="7"/>
      <c r="AI71" s="96"/>
      <c r="AJ71" s="67"/>
      <c r="AK71" s="67"/>
      <c r="AL71" s="47"/>
      <c r="AM71" s="47"/>
      <c r="AQ71"/>
      <c r="AS71"/>
    </row>
    <row r="72" spans="1:49" x14ac:dyDescent="0.25">
      <c r="B72" s="27"/>
      <c r="G72" s="3"/>
      <c r="H72" s="29"/>
      <c r="I72" s="9"/>
      <c r="K72" s="132"/>
      <c r="M72" s="5"/>
      <c r="N72" s="6"/>
      <c r="O72" s="7"/>
      <c r="Q72" s="48"/>
      <c r="V72" s="47"/>
      <c r="Y72" s="7"/>
      <c r="Z72" s="7"/>
      <c r="AB72" s="5"/>
      <c r="AC72" s="6"/>
      <c r="AD72" s="7"/>
      <c r="AE72" s="47"/>
      <c r="AF72" s="47"/>
      <c r="AG72" s="22"/>
      <c r="AH72" s="7"/>
      <c r="AI72" s="96"/>
      <c r="AJ72" s="48"/>
      <c r="AK72" s="48"/>
      <c r="AL72" s="47"/>
      <c r="AM72" s="47"/>
      <c r="AQ72"/>
      <c r="AS72"/>
    </row>
    <row r="73" spans="1:49" x14ac:dyDescent="0.25">
      <c r="B73" s="27"/>
      <c r="G73" s="3"/>
      <c r="H73" s="29"/>
      <c r="I73" s="9"/>
      <c r="K73" s="132"/>
      <c r="M73" s="5"/>
      <c r="N73" s="6"/>
      <c r="O73" s="7"/>
      <c r="Q73" s="48"/>
      <c r="V73" s="47"/>
      <c r="Y73" s="7"/>
      <c r="Z73" s="7"/>
      <c r="AB73" s="5"/>
      <c r="AC73" s="6"/>
      <c r="AD73" s="7"/>
      <c r="AE73" s="47"/>
      <c r="AF73" s="47"/>
      <c r="AG73" s="22"/>
      <c r="AH73" s="7"/>
      <c r="AI73" s="96"/>
      <c r="AJ73" s="48"/>
      <c r="AK73" s="48"/>
      <c r="AL73" s="47"/>
      <c r="AM73" s="47"/>
      <c r="AQ73"/>
      <c r="AS73"/>
    </row>
    <row r="74" spans="1:49" x14ac:dyDescent="0.25">
      <c r="B74" s="27"/>
      <c r="G74" s="31"/>
      <c r="H74" s="32"/>
      <c r="I74" s="33"/>
      <c r="J74" s="99"/>
      <c r="K74" s="14">
        <f>+K71+K55</f>
        <v>714244116</v>
      </c>
      <c r="L74" s="190"/>
      <c r="M74" s="903" t="s">
        <v>53</v>
      </c>
      <c r="N74" s="904"/>
      <c r="O74" s="905"/>
      <c r="Q74" s="48"/>
      <c r="V74" s="47"/>
      <c r="Y74" s="7"/>
      <c r="Z74" s="7"/>
      <c r="AB74" s="903" t="s">
        <v>53</v>
      </c>
      <c r="AC74" s="904"/>
      <c r="AD74" s="905"/>
      <c r="AE74" s="47"/>
      <c r="AF74" s="47"/>
      <c r="AG74" s="22"/>
      <c r="AH74" s="7"/>
      <c r="AI74" s="96"/>
      <c r="AJ74" s="48"/>
      <c r="AK74" s="48"/>
      <c r="AL74" s="47"/>
      <c r="AM74" s="47"/>
      <c r="AQ74"/>
      <c r="AS74"/>
    </row>
    <row r="75" spans="1:49" x14ac:dyDescent="0.25">
      <c r="B75" s="27"/>
      <c r="G75" s="3"/>
      <c r="H75" s="4"/>
      <c r="I75" s="9"/>
      <c r="M75" s="5"/>
      <c r="N75" s="6"/>
      <c r="O75" s="7"/>
      <c r="Q75" s="48"/>
      <c r="V75" s="47"/>
      <c r="Y75" s="7"/>
      <c r="Z75" s="7"/>
      <c r="AB75" s="5"/>
      <c r="AC75" s="6"/>
      <c r="AD75" s="7"/>
      <c r="AE75" s="47"/>
      <c r="AF75" s="47"/>
      <c r="AG75" s="22"/>
      <c r="AH75" s="7"/>
      <c r="AI75" s="96"/>
      <c r="AJ75" s="48"/>
      <c r="AK75" s="48"/>
      <c r="AL75" s="47"/>
      <c r="AM75" s="47"/>
      <c r="AQ75"/>
      <c r="AS75"/>
    </row>
    <row r="76" spans="1:49" x14ac:dyDescent="0.25">
      <c r="B76" s="27"/>
      <c r="G76" s="3"/>
      <c r="H76" s="4"/>
      <c r="K76" s="60">
        <f>+'Core Holdings'!M67-'22'' perf ranked'!K74</f>
        <v>-91339493.5</v>
      </c>
      <c r="M76" s="5"/>
      <c r="N76" s="6"/>
      <c r="O76" s="7"/>
      <c r="Q76" s="48"/>
      <c r="V76" s="47"/>
      <c r="Y76" s="7"/>
      <c r="Z76" s="7"/>
      <c r="AB76" s="5"/>
      <c r="AC76" s="6"/>
      <c r="AD76" s="7"/>
      <c r="AE76" s="47"/>
      <c r="AF76" s="47"/>
      <c r="AG76" s="22"/>
      <c r="AH76" s="7"/>
      <c r="AI76" s="96"/>
      <c r="AJ76" s="48"/>
      <c r="AK76" s="48"/>
      <c r="AL76" s="47"/>
      <c r="AM76" s="47"/>
      <c r="AQ76"/>
      <c r="AS76"/>
    </row>
    <row r="77" spans="1:49" x14ac:dyDescent="0.25">
      <c r="B77" s="27"/>
      <c r="G77" s="3"/>
      <c r="H77" s="4"/>
      <c r="K77" s="60"/>
      <c r="L77" s="60"/>
      <c r="M77" s="60"/>
      <c r="N77" s="60"/>
      <c r="O77" s="60"/>
      <c r="P77" s="60"/>
      <c r="Q77" s="60"/>
      <c r="W77" s="5"/>
      <c r="X77" s="6"/>
      <c r="Y77" s="7"/>
      <c r="AA77" s="48"/>
      <c r="AF77" s="47"/>
      <c r="AI77" s="7"/>
      <c r="AJ77" s="7"/>
      <c r="AK77" s="47"/>
      <c r="AL77" s="5"/>
      <c r="AM77" s="6"/>
      <c r="AN77" s="7"/>
      <c r="AO77" s="47"/>
      <c r="AP77" s="47"/>
      <c r="AR77" s="7"/>
      <c r="AT77" s="48"/>
      <c r="AU77" s="48"/>
      <c r="AV77" s="47"/>
      <c r="AW77" s="47"/>
    </row>
    <row r="78" spans="1:49" x14ac:dyDescent="0.25">
      <c r="B78" s="27"/>
      <c r="G78" s="3"/>
      <c r="H78" s="4"/>
      <c r="I78" s="19" t="s">
        <v>59</v>
      </c>
      <c r="W78" s="5"/>
      <c r="X78" s="6"/>
      <c r="Y78" s="7"/>
      <c r="AA78" s="48"/>
      <c r="AF78" s="47"/>
      <c r="AI78" s="7"/>
      <c r="AJ78" s="7"/>
      <c r="AK78" s="47"/>
      <c r="AL78" s="5"/>
      <c r="AM78" s="6"/>
      <c r="AN78" s="7"/>
      <c r="AO78" s="47"/>
      <c r="AP78" s="47"/>
      <c r="AR78" s="7"/>
      <c r="AT78" s="48"/>
      <c r="AU78" s="48"/>
      <c r="AV78" s="47"/>
      <c r="AW78" s="47"/>
    </row>
    <row r="79" spans="1:49" x14ac:dyDescent="0.25">
      <c r="B79" s="27"/>
      <c r="G79" s="3"/>
      <c r="H79" s="4"/>
      <c r="I79" s="19" t="s">
        <v>60</v>
      </c>
      <c r="W79" s="5"/>
      <c r="X79" s="6"/>
      <c r="Y79" s="7"/>
      <c r="AA79" s="48"/>
      <c r="AF79" s="47"/>
      <c r="AI79" s="7"/>
      <c r="AJ79" s="7"/>
      <c r="AK79" s="47"/>
      <c r="AL79" s="5"/>
      <c r="AM79" s="6"/>
      <c r="AN79" s="7"/>
      <c r="AO79" s="47"/>
      <c r="AP79" s="47"/>
      <c r="AR79" s="7"/>
      <c r="AT79" s="48"/>
      <c r="AU79" s="48"/>
      <c r="AV79" s="47"/>
      <c r="AW79" s="47"/>
    </row>
    <row r="80" spans="1:49" x14ac:dyDescent="0.25">
      <c r="B80" s="27"/>
      <c r="G80" s="3"/>
      <c r="H80" s="4"/>
      <c r="I80" s="20">
        <v>-7.1499999999999994E-2</v>
      </c>
      <c r="W80" s="5"/>
      <c r="X80" s="6"/>
      <c r="Y80" s="7"/>
      <c r="AA80" s="48"/>
      <c r="AF80" s="47"/>
      <c r="AI80" s="7"/>
      <c r="AJ80" s="7"/>
      <c r="AK80" s="47"/>
      <c r="AL80" s="5"/>
      <c r="AM80" s="6"/>
      <c r="AN80" s="7"/>
      <c r="AO80" s="47"/>
      <c r="AP80" s="47"/>
      <c r="AR80" s="7"/>
      <c r="AT80" s="48"/>
      <c r="AU80" s="48"/>
      <c r="AV80" s="47"/>
      <c r="AW80" s="47"/>
    </row>
    <row r="81" spans="2:49" x14ac:dyDescent="0.25">
      <c r="B81" s="27"/>
      <c r="G81" s="3"/>
      <c r="H81" s="4"/>
      <c r="I81" s="9"/>
      <c r="W81" s="5"/>
      <c r="X81" s="6"/>
      <c r="Y81" s="7"/>
      <c r="AA81" s="48"/>
      <c r="AF81" s="47"/>
      <c r="AI81" s="7"/>
      <c r="AJ81" s="7"/>
      <c r="AK81" s="47"/>
      <c r="AL81" s="5"/>
      <c r="AM81" s="6"/>
      <c r="AN81" s="7"/>
      <c r="AO81" s="47"/>
      <c r="AP81" s="47"/>
      <c r="AR81" s="7"/>
      <c r="AT81" s="48"/>
      <c r="AU81" s="48"/>
      <c r="AV81" s="47"/>
      <c r="AW81" s="47"/>
    </row>
    <row r="82" spans="2:49" x14ac:dyDescent="0.25">
      <c r="B82" s="27"/>
      <c r="G82" s="2"/>
      <c r="W82" s="5"/>
      <c r="X82" s="6"/>
      <c r="Y82" s="7"/>
      <c r="AA82" s="48"/>
      <c r="AF82" s="47"/>
      <c r="AI82" s="7"/>
      <c r="AJ82" s="7"/>
      <c r="AK82" s="47"/>
      <c r="AL82" s="5"/>
      <c r="AM82" s="6"/>
      <c r="AN82" s="7"/>
      <c r="AO82" s="47"/>
      <c r="AP82" s="47"/>
      <c r="AR82" s="7"/>
      <c r="AT82" s="48"/>
      <c r="AU82" s="48"/>
      <c r="AV82" s="47"/>
      <c r="AW82" s="47"/>
    </row>
    <row r="83" spans="2:49" x14ac:dyDescent="0.25">
      <c r="B83" s="27"/>
      <c r="G83" s="2"/>
      <c r="K83" s="5"/>
      <c r="L83" s="5"/>
      <c r="M83" s="5"/>
      <c r="N83" s="5"/>
      <c r="O83" s="5"/>
      <c r="P83" s="5"/>
      <c r="Q83" s="5"/>
      <c r="W83" s="5"/>
      <c r="X83" s="6"/>
      <c r="Y83" s="7"/>
      <c r="AA83" s="48"/>
      <c r="AF83" s="47"/>
      <c r="AI83" s="7"/>
      <c r="AJ83" s="7"/>
      <c r="AK83" s="47"/>
      <c r="AL83" s="5"/>
      <c r="AM83" s="6"/>
      <c r="AN83" s="7"/>
      <c r="AO83" s="47"/>
      <c r="AP83" s="47"/>
      <c r="AR83" s="7"/>
      <c r="AT83" s="48"/>
      <c r="AU83" s="48"/>
      <c r="AV83" s="47"/>
      <c r="AW83" s="47"/>
    </row>
    <row r="84" spans="2:49" x14ac:dyDescent="0.25">
      <c r="B84" s="27"/>
      <c r="W84" s="5"/>
      <c r="X84" s="6"/>
      <c r="Y84" s="7"/>
      <c r="AA84" s="48"/>
      <c r="AF84" s="47"/>
      <c r="AI84" s="7"/>
      <c r="AJ84" s="7"/>
      <c r="AK84" s="47"/>
      <c r="AL84" s="5"/>
      <c r="AM84" s="6"/>
      <c r="AN84" s="7"/>
      <c r="AO84" s="47"/>
      <c r="AP84" s="47"/>
      <c r="AR84" s="7"/>
      <c r="AT84" s="48"/>
      <c r="AU84" s="48"/>
      <c r="AV84" s="47"/>
      <c r="AW84" s="47"/>
    </row>
    <row r="85" spans="2:49" x14ac:dyDescent="0.25">
      <c r="B85" s="27"/>
      <c r="W85" s="79"/>
      <c r="X85" s="6"/>
      <c r="Y85" s="7"/>
      <c r="AA85" s="48"/>
      <c r="AF85" s="47"/>
      <c r="AI85" s="7"/>
      <c r="AJ85" s="7"/>
      <c r="AK85" s="47"/>
      <c r="AL85" s="79"/>
      <c r="AM85" s="6"/>
      <c r="AN85" s="7"/>
      <c r="AO85" s="47"/>
      <c r="AP85" s="47"/>
      <c r="AR85" s="7"/>
      <c r="AT85" s="48"/>
      <c r="AU85" s="48"/>
      <c r="AV85" s="47"/>
      <c r="AW85" s="47"/>
    </row>
    <row r="86" spans="2:49" x14ac:dyDescent="0.25">
      <c r="B86" s="27"/>
      <c r="W86" s="79"/>
      <c r="X86" s="6"/>
      <c r="Y86" s="7"/>
      <c r="AA86" s="48"/>
      <c r="AF86" s="47"/>
      <c r="AI86" s="7"/>
      <c r="AJ86" s="7"/>
      <c r="AK86" s="47"/>
      <c r="AL86" s="79"/>
      <c r="AM86" s="6"/>
      <c r="AN86" s="7"/>
      <c r="AO86" s="47"/>
      <c r="AP86" s="47"/>
      <c r="AR86" s="7"/>
      <c r="AT86" s="48"/>
      <c r="AU86" s="48"/>
      <c r="AV86" s="47"/>
      <c r="AW86" s="47"/>
    </row>
    <row r="87" spans="2:49" x14ac:dyDescent="0.25">
      <c r="B87" s="27"/>
      <c r="W87" s="7"/>
      <c r="Y87" s="7"/>
      <c r="AA87"/>
      <c r="AF87" s="47"/>
      <c r="AG87" s="7"/>
      <c r="AH87" s="7"/>
      <c r="AJ87" s="22"/>
      <c r="AK87" s="48"/>
      <c r="AL87" s="7"/>
      <c r="AN87" s="7"/>
      <c r="AO87" s="48"/>
      <c r="AP87" s="48"/>
      <c r="AQ87" s="96"/>
      <c r="AR87" s="7"/>
      <c r="AS87" s="7"/>
      <c r="AT87" s="47"/>
      <c r="AU87" s="47"/>
    </row>
    <row r="88" spans="2:49" x14ac:dyDescent="0.25">
      <c r="B88" s="27"/>
      <c r="W88" s="79"/>
      <c r="X88" s="6"/>
      <c r="Y88" s="7"/>
      <c r="AA88" s="48"/>
      <c r="AF88" s="47"/>
      <c r="AI88" s="7"/>
      <c r="AJ88" s="7"/>
      <c r="AK88" s="47"/>
      <c r="AL88" s="79"/>
      <c r="AM88" s="6"/>
      <c r="AN88" s="7"/>
      <c r="AO88" s="47"/>
      <c r="AP88" s="47"/>
      <c r="AR88" s="7"/>
      <c r="AT88" s="48"/>
      <c r="AU88" s="48"/>
      <c r="AV88" s="47"/>
      <c r="AW88" s="47"/>
    </row>
    <row r="89" spans="2:49" x14ac:dyDescent="0.25">
      <c r="W89" s="79"/>
      <c r="X89" s="6"/>
      <c r="Y89" s="7"/>
      <c r="AA89" s="48"/>
      <c r="AF89" s="47"/>
      <c r="AI89" s="7"/>
      <c r="AJ89" s="7"/>
      <c r="AK89" s="47"/>
      <c r="AL89" s="79"/>
      <c r="AM89" s="6"/>
      <c r="AN89" s="7"/>
      <c r="AO89" s="47"/>
      <c r="AP89" s="47"/>
      <c r="AR89" s="7"/>
      <c r="AT89" s="48"/>
      <c r="AU89" s="48"/>
      <c r="AV89" s="47"/>
      <c r="AW89" s="47"/>
    </row>
    <row r="90" spans="2:49" x14ac:dyDescent="0.25">
      <c r="AA90" s="48"/>
      <c r="AF90" s="47"/>
      <c r="AI90" s="7"/>
      <c r="AJ90" s="7"/>
      <c r="AK90" s="47"/>
      <c r="AL90" s="79"/>
      <c r="AM90" s="6"/>
      <c r="AN90" s="7"/>
      <c r="AO90" s="47"/>
      <c r="AP90" s="47"/>
      <c r="AR90" s="7"/>
      <c r="AT90" s="48"/>
      <c r="AU90" s="48"/>
      <c r="AV90" s="47"/>
      <c r="AW90" s="47"/>
    </row>
    <row r="91" spans="2:49" x14ac:dyDescent="0.25">
      <c r="AA91" s="48"/>
      <c r="AF91" s="47"/>
      <c r="AK91" s="47"/>
      <c r="AL91" s="5"/>
      <c r="AM91" s="6"/>
      <c r="AN91" s="7"/>
      <c r="AO91" s="47"/>
      <c r="AP91" s="47"/>
      <c r="AR91" s="7"/>
      <c r="AV91" s="7"/>
      <c r="AW91" s="7"/>
    </row>
    <row r="92" spans="2:49" x14ac:dyDescent="0.25">
      <c r="AA92" s="48"/>
      <c r="AF92" s="47"/>
      <c r="AK92" s="47"/>
      <c r="AL92" s="5"/>
      <c r="AM92" s="6"/>
      <c r="AN92" s="7"/>
      <c r="AO92" s="47"/>
      <c r="AP92" s="47"/>
      <c r="AR92" s="7"/>
      <c r="AV92" s="7"/>
      <c r="AW92" s="7"/>
    </row>
    <row r="93" spans="2:49" x14ac:dyDescent="0.25">
      <c r="AA93" s="48"/>
      <c r="AF93" s="47"/>
      <c r="AK93" s="47"/>
      <c r="AL93" s="5"/>
      <c r="AM93" s="6"/>
      <c r="AN93" s="7"/>
      <c r="AO93" s="47"/>
      <c r="AP93" s="47"/>
      <c r="AR93" s="7"/>
      <c r="AV93" s="7"/>
      <c r="AW93" s="7"/>
    </row>
    <row r="94" spans="2:49" x14ac:dyDescent="0.25">
      <c r="AA94" s="48"/>
      <c r="AF94" s="47"/>
      <c r="AK94" s="47"/>
      <c r="AL94" s="5"/>
      <c r="AM94" s="6"/>
      <c r="AN94" s="7"/>
      <c r="AO94" s="47"/>
      <c r="AP94" s="47"/>
      <c r="AR94" s="7"/>
      <c r="AV94" s="7"/>
      <c r="AW94" s="7"/>
    </row>
    <row r="95" spans="2:49" x14ac:dyDescent="0.25">
      <c r="AA95" s="48"/>
      <c r="AF95" s="47"/>
      <c r="AK95" s="47"/>
      <c r="AL95" s="5"/>
      <c r="AM95" s="6"/>
      <c r="AN95" s="7"/>
      <c r="AO95" s="47"/>
      <c r="AP95" s="47"/>
      <c r="AR95" s="7"/>
      <c r="AV95" s="7"/>
      <c r="AW95" s="7"/>
    </row>
    <row r="96" spans="2:49" x14ac:dyDescent="0.25">
      <c r="AA96" s="48"/>
      <c r="AF96" s="47"/>
      <c r="AK96" s="47"/>
      <c r="AL96" s="5"/>
      <c r="AM96" s="6"/>
      <c r="AN96" s="7"/>
      <c r="AO96" s="47"/>
      <c r="AP96" s="47"/>
      <c r="AR96" s="7"/>
      <c r="AV96" s="7"/>
      <c r="AW96" s="7"/>
    </row>
    <row r="97" spans="23:49" x14ac:dyDescent="0.25">
      <c r="AA97" s="48"/>
      <c r="AF97" s="47"/>
      <c r="AK97" s="47"/>
      <c r="AL97" s="5"/>
      <c r="AM97" s="6"/>
      <c r="AN97" s="7"/>
      <c r="AO97" s="47"/>
      <c r="AP97" s="47"/>
      <c r="AR97" s="7"/>
      <c r="AV97" s="7"/>
      <c r="AW97" s="7"/>
    </row>
    <row r="98" spans="23:49" x14ac:dyDescent="0.25">
      <c r="AA98" s="48"/>
      <c r="AF98" s="47"/>
      <c r="AK98" s="47"/>
      <c r="AL98" s="5"/>
      <c r="AM98" s="6"/>
      <c r="AN98" s="7"/>
      <c r="AO98" s="47"/>
      <c r="AP98" s="47"/>
      <c r="AR98" s="7"/>
      <c r="AV98" s="7"/>
      <c r="AW98" s="7"/>
    </row>
    <row r="99" spans="23:49" x14ac:dyDescent="0.25">
      <c r="AA99" s="48"/>
      <c r="AF99" s="47"/>
      <c r="AK99" s="47"/>
      <c r="AL99" s="5"/>
      <c r="AM99" s="6"/>
      <c r="AN99" s="7"/>
      <c r="AO99" s="47"/>
      <c r="AP99" s="47"/>
      <c r="AR99" s="7"/>
      <c r="AV99" s="7"/>
      <c r="AW99" s="7"/>
    </row>
    <row r="100" spans="23:49" x14ac:dyDescent="0.25">
      <c r="AA100" s="48"/>
      <c r="AF100" s="47"/>
      <c r="AK100" s="47"/>
      <c r="AL100" s="5"/>
      <c r="AM100" s="6"/>
      <c r="AN100" s="7"/>
      <c r="AO100" s="47"/>
      <c r="AP100" s="47"/>
      <c r="AR100" s="7"/>
      <c r="AV100" s="7"/>
      <c r="AW100" s="7"/>
    </row>
    <row r="101" spans="23:49" x14ac:dyDescent="0.25">
      <c r="AA101" s="48"/>
      <c r="AF101" s="47"/>
      <c r="AK101" s="47"/>
      <c r="AL101" s="5"/>
      <c r="AM101" s="6"/>
      <c r="AN101" s="7"/>
      <c r="AO101" s="47"/>
      <c r="AP101" s="47"/>
      <c r="AR101" s="7"/>
      <c r="AV101" s="7"/>
      <c r="AW101" s="7"/>
    </row>
    <row r="102" spans="23:49" x14ac:dyDescent="0.25">
      <c r="AA102" s="48"/>
      <c r="AF102" s="47"/>
      <c r="AK102" s="47"/>
      <c r="AL102" s="5"/>
      <c r="AM102" s="6"/>
      <c r="AN102" s="7"/>
      <c r="AO102" s="47"/>
      <c r="AP102" s="47"/>
      <c r="AR102" s="7"/>
      <c r="AV102" s="7"/>
      <c r="AW102" s="7"/>
    </row>
    <row r="103" spans="23:49" x14ac:dyDescent="0.25">
      <c r="AA103" s="48"/>
      <c r="AF103" s="47"/>
      <c r="AK103" s="47"/>
      <c r="AL103" s="5"/>
      <c r="AM103" s="6"/>
      <c r="AN103" s="7"/>
      <c r="AO103" s="47"/>
      <c r="AP103" s="47"/>
      <c r="AR103" s="7"/>
      <c r="AV103" s="7"/>
      <c r="AW103" s="7"/>
    </row>
    <row r="104" spans="23:49" ht="15.75" customHeight="1" x14ac:dyDescent="0.25">
      <c r="AA104" s="48"/>
      <c r="AF104" s="47"/>
      <c r="AK104" s="47"/>
      <c r="AL104" s="5"/>
      <c r="AM104" s="6"/>
      <c r="AN104" s="7"/>
      <c r="AO104" s="47"/>
      <c r="AP104" s="47"/>
      <c r="AR104" s="7"/>
      <c r="AV104" s="7"/>
      <c r="AW104" s="7"/>
    </row>
    <row r="105" spans="23:49" ht="15.75" customHeight="1" x14ac:dyDescent="0.25">
      <c r="AA105" s="48"/>
      <c r="AF105" s="47"/>
      <c r="AK105" s="47"/>
      <c r="AL105" s="5"/>
      <c r="AM105" s="6"/>
      <c r="AN105" s="7"/>
      <c r="AO105" s="47"/>
      <c r="AP105" s="47"/>
      <c r="AR105" s="7"/>
      <c r="AV105" s="7"/>
      <c r="AW105" s="7"/>
    </row>
    <row r="106" spans="23:49" ht="15.75" customHeight="1" x14ac:dyDescent="0.25">
      <c r="AA106" s="48"/>
      <c r="AF106" s="47"/>
      <c r="AK106" s="47"/>
      <c r="AL106" s="5"/>
      <c r="AM106" s="6"/>
      <c r="AN106" s="7"/>
      <c r="AO106" s="47"/>
      <c r="AP106" s="47"/>
      <c r="AR106" s="7"/>
      <c r="AV106" s="7"/>
      <c r="AW106" s="7"/>
    </row>
    <row r="107" spans="23:49" ht="15.75" customHeight="1" x14ac:dyDescent="0.25">
      <c r="AA107" s="48"/>
      <c r="AF107" s="47"/>
      <c r="AK107" s="47"/>
      <c r="AL107" s="5"/>
      <c r="AM107" s="6"/>
      <c r="AN107" s="7"/>
      <c r="AO107" s="47"/>
      <c r="AP107" s="47"/>
      <c r="AR107" s="7"/>
      <c r="AV107" s="7"/>
      <c r="AW107" s="7"/>
    </row>
    <row r="108" spans="23:49" ht="15.75" customHeight="1" x14ac:dyDescent="0.25">
      <c r="AA108" s="48"/>
      <c r="AF108" s="47"/>
      <c r="AK108" s="47"/>
      <c r="AL108" s="5"/>
      <c r="AM108" s="6"/>
      <c r="AN108" s="7"/>
      <c r="AO108" s="47"/>
      <c r="AP108" s="47"/>
      <c r="AR108" s="7"/>
      <c r="AV108" s="7"/>
      <c r="AW108" s="7"/>
    </row>
    <row r="109" spans="23:49" ht="15.75" customHeight="1" x14ac:dyDescent="0.25">
      <c r="AA109" s="48"/>
      <c r="AF109" s="47"/>
      <c r="AK109" s="47"/>
      <c r="AL109" s="5"/>
      <c r="AM109" s="6"/>
      <c r="AN109" s="7"/>
      <c r="AO109" s="47"/>
      <c r="AP109" s="47"/>
      <c r="AR109" s="7"/>
      <c r="AV109" s="7"/>
      <c r="AW109" s="7"/>
    </row>
    <row r="110" spans="23:49" x14ac:dyDescent="0.25">
      <c r="W110" s="5"/>
      <c r="X110" s="6"/>
      <c r="Y110" s="7"/>
      <c r="AA110" s="48"/>
      <c r="AF110" s="47"/>
      <c r="AK110" s="47"/>
      <c r="AL110" s="5"/>
      <c r="AM110" s="6"/>
      <c r="AN110" s="7"/>
      <c r="AO110" s="47"/>
      <c r="AP110" s="47"/>
      <c r="AR110" s="7"/>
      <c r="AV110" s="7"/>
      <c r="AW110" s="7"/>
    </row>
    <row r="111" spans="23:49" x14ac:dyDescent="0.25">
      <c r="W111" s="5"/>
      <c r="X111" s="6"/>
      <c r="Y111" s="7"/>
      <c r="AA111" s="48"/>
      <c r="AF111" s="47"/>
      <c r="AK111" s="47"/>
      <c r="AL111" s="5"/>
      <c r="AM111" s="6"/>
      <c r="AN111" s="7"/>
      <c r="AO111" s="47"/>
      <c r="AP111" s="47"/>
      <c r="AR111" s="7"/>
      <c r="AV111" s="7"/>
      <c r="AW111" s="7"/>
    </row>
    <row r="112" spans="23:49" x14ac:dyDescent="0.25">
      <c r="W112" s="5"/>
      <c r="X112" s="6"/>
      <c r="Y112" s="7"/>
      <c r="AA112" s="48"/>
      <c r="AF112" s="47"/>
      <c r="AK112" s="47"/>
      <c r="AL112" s="5"/>
      <c r="AM112" s="6"/>
      <c r="AN112" s="7"/>
      <c r="AO112" s="47"/>
      <c r="AP112" s="47"/>
      <c r="AR112" s="7"/>
      <c r="AV112" s="7"/>
      <c r="AW112" s="7"/>
    </row>
    <row r="113" spans="15:49" x14ac:dyDescent="0.25">
      <c r="W113" s="5"/>
      <c r="X113" s="6"/>
      <c r="Y113" s="7"/>
      <c r="AA113" s="48"/>
      <c r="AF113" s="47"/>
      <c r="AK113" s="47"/>
      <c r="AL113" s="5"/>
      <c r="AM113" s="6"/>
      <c r="AN113" s="7"/>
      <c r="AO113" s="47"/>
      <c r="AP113" s="47"/>
      <c r="AR113" s="7"/>
      <c r="AV113" s="7"/>
      <c r="AW113" s="7"/>
    </row>
    <row r="114" spans="15:49" x14ac:dyDescent="0.25">
      <c r="W114" s="5"/>
      <c r="X114" s="6"/>
      <c r="Y114" s="7"/>
      <c r="AA114" s="48"/>
      <c r="AF114" s="47"/>
      <c r="AK114" s="47"/>
      <c r="AL114" s="5"/>
      <c r="AM114" s="6"/>
      <c r="AN114" s="7"/>
      <c r="AO114" s="47"/>
      <c r="AP114" s="47"/>
      <c r="AR114" s="7"/>
      <c r="AV114" s="7"/>
      <c r="AW114" s="7"/>
    </row>
    <row r="115" spans="15:49" x14ac:dyDescent="0.25">
      <c r="W115" s="7"/>
      <c r="X115" s="7"/>
      <c r="Y115" s="7"/>
      <c r="AA115" s="48"/>
      <c r="AF115" s="47"/>
      <c r="AK115" s="47"/>
      <c r="AL115" s="7"/>
      <c r="AM115" s="7"/>
      <c r="AN115" s="7"/>
      <c r="AO115" s="47"/>
      <c r="AP115" s="47"/>
      <c r="AR115" s="7"/>
      <c r="AV115" s="7"/>
      <c r="AW115" s="7"/>
    </row>
    <row r="116" spans="15:49" x14ac:dyDescent="0.25">
      <c r="W116" s="7"/>
      <c r="X116" s="7"/>
      <c r="Y116" s="7"/>
      <c r="AA116" s="48"/>
      <c r="AF116" s="47"/>
      <c r="AK116" s="47"/>
      <c r="AL116" s="7"/>
      <c r="AM116" s="7"/>
      <c r="AN116" s="7"/>
      <c r="AO116" s="47"/>
      <c r="AP116" s="47"/>
      <c r="AR116" s="7"/>
      <c r="AV116" s="7"/>
      <c r="AW116" s="7"/>
    </row>
    <row r="117" spans="15:49" x14ac:dyDescent="0.25">
      <c r="W117" s="7"/>
      <c r="X117" s="7"/>
      <c r="Y117" s="7"/>
      <c r="AA117" s="48"/>
      <c r="AF117" s="47"/>
      <c r="AK117" s="47"/>
      <c r="AL117" s="7"/>
      <c r="AM117" s="7"/>
      <c r="AN117" s="7"/>
      <c r="AO117" s="47"/>
      <c r="AP117" s="47"/>
      <c r="AV117" s="7"/>
      <c r="AW117" s="7"/>
    </row>
    <row r="118" spans="15:49" x14ac:dyDescent="0.25">
      <c r="AF118" s="47"/>
      <c r="AK118" s="47"/>
      <c r="AO118" s="47"/>
      <c r="AP118" s="47"/>
    </row>
    <row r="119" spans="15:49" x14ac:dyDescent="0.25">
      <c r="AF119" s="47"/>
      <c r="AK119" s="47"/>
      <c r="AO119" s="47"/>
      <c r="AP119" s="47"/>
    </row>
    <row r="120" spans="15:49" x14ac:dyDescent="0.25">
      <c r="AF120" s="47"/>
      <c r="AK120" s="47"/>
      <c r="AO120" s="47"/>
      <c r="AP120" s="47"/>
    </row>
    <row r="121" spans="15:49" x14ac:dyDescent="0.25">
      <c r="AF121" s="47"/>
      <c r="AK121" s="47"/>
      <c r="AO121" s="47"/>
      <c r="AP121" s="47"/>
    </row>
    <row r="122" spans="15:49" x14ac:dyDescent="0.25">
      <c r="AF122" s="47"/>
      <c r="AK122" s="47"/>
      <c r="AO122" s="47"/>
      <c r="AP122" s="47"/>
    </row>
    <row r="123" spans="15:49" x14ac:dyDescent="0.25">
      <c r="AF123" s="47"/>
    </row>
    <row r="126" spans="15:49" x14ac:dyDescent="0.25">
      <c r="O126" s="77"/>
      <c r="P126" s="77"/>
      <c r="Q126" s="77"/>
    </row>
    <row r="127" spans="15:49" x14ac:dyDescent="0.25">
      <c r="O127" s="77"/>
      <c r="P127" s="77"/>
      <c r="Q127" s="77"/>
    </row>
    <row r="128" spans="15:49" x14ac:dyDescent="0.25">
      <c r="O128" s="77"/>
      <c r="P128" s="77"/>
      <c r="Q128" s="77"/>
    </row>
    <row r="129" spans="15:17" x14ac:dyDescent="0.25">
      <c r="O129" s="77"/>
      <c r="P129" s="77"/>
      <c r="Q129" s="77"/>
    </row>
    <row r="130" spans="15:17" x14ac:dyDescent="0.25">
      <c r="O130" s="77"/>
      <c r="P130" s="77"/>
      <c r="Q130" s="77"/>
    </row>
    <row r="131" spans="15:17" x14ac:dyDescent="0.25">
      <c r="O131" s="77"/>
      <c r="P131" s="77"/>
      <c r="Q131" s="77"/>
    </row>
    <row r="132" spans="15:17" x14ac:dyDescent="0.25">
      <c r="O132" s="77"/>
      <c r="P132" s="77"/>
      <c r="Q132" s="77"/>
    </row>
    <row r="133" spans="15:17" x14ac:dyDescent="0.25">
      <c r="O133" s="77"/>
      <c r="P133" s="77"/>
      <c r="Q133" s="77"/>
    </row>
    <row r="134" spans="15:17" x14ac:dyDescent="0.25">
      <c r="O134" s="77"/>
      <c r="P134" s="77"/>
      <c r="Q134" s="77"/>
    </row>
    <row r="135" spans="15:17" x14ac:dyDescent="0.25">
      <c r="O135" s="77"/>
      <c r="P135" s="77"/>
      <c r="Q135" s="77"/>
    </row>
    <row r="136" spans="15:17" x14ac:dyDescent="0.25">
      <c r="O136" s="77"/>
      <c r="P136" s="77"/>
      <c r="Q136" s="77"/>
    </row>
    <row r="137" spans="15:17" x14ac:dyDescent="0.25">
      <c r="O137" s="77"/>
      <c r="P137" s="77"/>
      <c r="Q137" s="77"/>
    </row>
    <row r="138" spans="15:17" x14ac:dyDescent="0.25">
      <c r="O138" s="77"/>
      <c r="P138" s="77"/>
      <c r="Q138" s="77"/>
    </row>
    <row r="139" spans="15:17" x14ac:dyDescent="0.25">
      <c r="O139" s="77"/>
      <c r="P139" s="77"/>
      <c r="Q139" s="77"/>
    </row>
    <row r="140" spans="15:17" x14ac:dyDescent="0.25">
      <c r="O140" s="77"/>
      <c r="P140" s="77"/>
      <c r="Q140" s="77"/>
    </row>
    <row r="141" spans="15:17" x14ac:dyDescent="0.25">
      <c r="O141" s="77"/>
      <c r="P141" s="77"/>
      <c r="Q141" s="77"/>
    </row>
    <row r="142" spans="15:17" x14ac:dyDescent="0.25">
      <c r="O142" s="77"/>
      <c r="P142" s="77"/>
      <c r="Q142" s="77"/>
    </row>
    <row r="143" spans="15:17" x14ac:dyDescent="0.25">
      <c r="O143" s="77"/>
      <c r="P143" s="77"/>
      <c r="Q143" s="77"/>
    </row>
    <row r="144" spans="15:17" x14ac:dyDescent="0.25">
      <c r="O144" s="77"/>
      <c r="P144" s="77"/>
      <c r="Q144" s="77"/>
    </row>
    <row r="145" spans="15:17" x14ac:dyDescent="0.25">
      <c r="O145" s="77"/>
      <c r="P145" s="77"/>
      <c r="Q145" s="77"/>
    </row>
    <row r="146" spans="15:17" x14ac:dyDescent="0.25">
      <c r="O146" s="77"/>
      <c r="P146" s="77"/>
      <c r="Q146" s="77"/>
    </row>
    <row r="147" spans="15:17" x14ac:dyDescent="0.25">
      <c r="O147" s="77"/>
      <c r="P147" s="77"/>
      <c r="Q147" s="77"/>
    </row>
    <row r="148" spans="15:17" x14ac:dyDescent="0.25">
      <c r="O148" s="77"/>
      <c r="P148" s="77"/>
      <c r="Q148" s="77"/>
    </row>
    <row r="149" spans="15:17" x14ac:dyDescent="0.25">
      <c r="O149" s="77"/>
      <c r="P149" s="77"/>
      <c r="Q149" s="77"/>
    </row>
    <row r="150" spans="15:17" x14ac:dyDescent="0.25">
      <c r="O150" s="77"/>
      <c r="P150" s="77"/>
      <c r="Q150" s="77"/>
    </row>
    <row r="151" spans="15:17" x14ac:dyDescent="0.25">
      <c r="O151" s="77"/>
      <c r="P151" s="77"/>
      <c r="Q151" s="77"/>
    </row>
    <row r="152" spans="15:17" x14ac:dyDescent="0.25">
      <c r="O152" s="77"/>
      <c r="P152" s="77"/>
      <c r="Q152" s="77"/>
    </row>
    <row r="153" spans="15:17" x14ac:dyDescent="0.25">
      <c r="O153" s="77"/>
      <c r="P153" s="77"/>
      <c r="Q153" s="77"/>
    </row>
    <row r="154" spans="15:17" x14ac:dyDescent="0.25">
      <c r="O154" s="77"/>
      <c r="P154" s="77"/>
      <c r="Q154" s="77"/>
    </row>
    <row r="155" spans="15:17" x14ac:dyDescent="0.25">
      <c r="O155" s="77"/>
      <c r="P155" s="77"/>
      <c r="Q155" s="77"/>
    </row>
    <row r="156" spans="15:17" x14ac:dyDescent="0.25">
      <c r="O156" s="77"/>
      <c r="P156" s="77"/>
      <c r="Q156" s="77"/>
    </row>
    <row r="157" spans="15:17" x14ac:dyDescent="0.25">
      <c r="O157" s="84"/>
      <c r="P157" s="84"/>
      <c r="Q157" s="84"/>
    </row>
    <row r="158" spans="15:17" x14ac:dyDescent="0.25">
      <c r="O158" s="77"/>
      <c r="P158" s="77"/>
      <c r="Q158" s="77"/>
    </row>
    <row r="159" spans="15:17" x14ac:dyDescent="0.25">
      <c r="O159" s="77"/>
      <c r="P159" s="77"/>
      <c r="Q159" s="77"/>
    </row>
    <row r="160" spans="15:17" x14ac:dyDescent="0.25">
      <c r="O160" s="77"/>
      <c r="P160" s="77"/>
      <c r="Q160" s="77"/>
    </row>
    <row r="161" spans="15:17" x14ac:dyDescent="0.25">
      <c r="O161" s="77"/>
      <c r="P161" s="77"/>
      <c r="Q161" s="77"/>
    </row>
    <row r="162" spans="15:17" x14ac:dyDescent="0.25">
      <c r="O162" s="77"/>
      <c r="P162" s="77"/>
      <c r="Q162" s="77"/>
    </row>
    <row r="163" spans="15:17" x14ac:dyDescent="0.25">
      <c r="O163" s="77"/>
      <c r="P163" s="77"/>
      <c r="Q163" s="77"/>
    </row>
    <row r="164" spans="15:17" x14ac:dyDescent="0.25">
      <c r="O164" s="77"/>
      <c r="P164" s="77"/>
      <c r="Q164" s="77"/>
    </row>
    <row r="165" spans="15:17" x14ac:dyDescent="0.25">
      <c r="O165" s="77"/>
      <c r="P165" s="77"/>
      <c r="Q165" s="77"/>
    </row>
    <row r="166" spans="15:17" x14ac:dyDescent="0.25">
      <c r="O166" s="77"/>
      <c r="P166" s="77"/>
      <c r="Q166" s="77"/>
    </row>
    <row r="167" spans="15:17" x14ac:dyDescent="0.25">
      <c r="O167" s="77"/>
      <c r="P167" s="77"/>
      <c r="Q167" s="77"/>
    </row>
    <row r="168" spans="15:17" x14ac:dyDescent="0.25">
      <c r="O168" s="77"/>
      <c r="P168" s="77"/>
      <c r="Q168" s="77"/>
    </row>
    <row r="169" spans="15:17" x14ac:dyDescent="0.25">
      <c r="O169" s="77"/>
      <c r="P169" s="77"/>
      <c r="Q169" s="77"/>
    </row>
    <row r="170" spans="15:17" x14ac:dyDescent="0.25">
      <c r="O170" s="77"/>
      <c r="P170" s="77"/>
      <c r="Q170" s="77"/>
    </row>
    <row r="171" spans="15:17" x14ac:dyDescent="0.25">
      <c r="O171" s="77"/>
      <c r="P171" s="77"/>
      <c r="Q171" s="77"/>
    </row>
    <row r="172" spans="15:17" x14ac:dyDescent="0.25">
      <c r="O172" s="77"/>
      <c r="P172" s="77"/>
      <c r="Q172" s="77"/>
    </row>
    <row r="173" spans="15:17" x14ac:dyDescent="0.25">
      <c r="O173" s="77"/>
      <c r="P173" s="77"/>
      <c r="Q173" s="77"/>
    </row>
    <row r="174" spans="15:17" x14ac:dyDescent="0.25">
      <c r="O174" s="77"/>
      <c r="P174" s="77"/>
      <c r="Q174" s="77"/>
    </row>
    <row r="175" spans="15:17" x14ac:dyDescent="0.25">
      <c r="O175" s="77"/>
      <c r="P175" s="77"/>
      <c r="Q175" s="77"/>
    </row>
    <row r="176" spans="15:17" x14ac:dyDescent="0.25">
      <c r="O176" s="77"/>
      <c r="P176" s="77"/>
      <c r="Q176" s="77"/>
    </row>
    <row r="177" spans="15:17" x14ac:dyDescent="0.25">
      <c r="O177" s="77"/>
      <c r="P177" s="77"/>
      <c r="Q177" s="77"/>
    </row>
    <row r="179" spans="15:17" x14ac:dyDescent="0.25">
      <c r="O179" s="11"/>
      <c r="P179" s="11"/>
      <c r="Q179" s="11"/>
    </row>
    <row r="183" spans="15:17" x14ac:dyDescent="0.25">
      <c r="O183" s="77"/>
      <c r="P183" s="77"/>
      <c r="Q183" s="77"/>
    </row>
    <row r="184" spans="15:17" x14ac:dyDescent="0.25">
      <c r="O184" s="77"/>
      <c r="P184" s="77"/>
      <c r="Q184" s="77"/>
    </row>
    <row r="185" spans="15:17" x14ac:dyDescent="0.25">
      <c r="O185" s="77"/>
      <c r="P185" s="77"/>
      <c r="Q185" s="77"/>
    </row>
    <row r="186" spans="15:17" x14ac:dyDescent="0.25">
      <c r="O186" s="84"/>
      <c r="P186" s="84"/>
      <c r="Q186" s="84"/>
    </row>
    <row r="187" spans="15:17" x14ac:dyDescent="0.25">
      <c r="O187" s="77"/>
      <c r="P187" s="77"/>
      <c r="Q187" s="77"/>
    </row>
    <row r="188" spans="15:17" x14ac:dyDescent="0.25">
      <c r="O188" s="77"/>
      <c r="P188" s="77"/>
      <c r="Q188" s="77"/>
    </row>
    <row r="189" spans="15:17" x14ac:dyDescent="0.25">
      <c r="O189" s="77"/>
      <c r="P189" s="77"/>
      <c r="Q189" s="77"/>
    </row>
    <row r="190" spans="15:17" x14ac:dyDescent="0.25">
      <c r="O190" s="77"/>
      <c r="P190" s="77"/>
      <c r="Q190" s="77"/>
    </row>
    <row r="191" spans="15:17" x14ac:dyDescent="0.25">
      <c r="O191" s="77"/>
      <c r="P191" s="77"/>
      <c r="Q191" s="77"/>
    </row>
    <row r="192" spans="15:17" x14ac:dyDescent="0.25">
      <c r="O192" s="77"/>
      <c r="P192" s="77"/>
      <c r="Q192" s="77"/>
    </row>
    <row r="194" spans="7:17" x14ac:dyDescent="0.25">
      <c r="O194" s="10"/>
      <c r="P194" s="10"/>
      <c r="Q194" s="10"/>
    </row>
    <row r="197" spans="7:17" x14ac:dyDescent="0.25">
      <c r="O197" s="190"/>
      <c r="P197" s="190"/>
      <c r="Q197" s="190"/>
    </row>
    <row r="200" spans="7:17" x14ac:dyDescent="0.25">
      <c r="O200" s="60"/>
      <c r="P200" s="60"/>
      <c r="Q200" s="60"/>
    </row>
    <row r="203" spans="7:17" x14ac:dyDescent="0.25">
      <c r="O203" s="5"/>
      <c r="P203" s="5"/>
      <c r="Q203" s="5"/>
    </row>
    <row r="204" spans="7:17" x14ac:dyDescent="0.25">
      <c r="O204" s="5"/>
      <c r="P204" s="5"/>
      <c r="Q204" s="5"/>
    </row>
    <row r="205" spans="7:17" x14ac:dyDescent="0.25">
      <c r="G205" s="3"/>
      <c r="H205" s="4"/>
      <c r="I205" s="9"/>
      <c r="L205" s="5"/>
      <c r="M205" s="5"/>
      <c r="N205" s="5"/>
      <c r="O205" s="5"/>
      <c r="P205" s="5"/>
      <c r="Q205" s="5"/>
    </row>
    <row r="206" spans="7:17" x14ac:dyDescent="0.25">
      <c r="G206" s="3"/>
      <c r="H206" s="4"/>
      <c r="I206" s="9"/>
    </row>
  </sheetData>
  <sortState xmlns:xlrd2="http://schemas.microsoft.com/office/spreadsheetml/2017/richdata2" ref="F59:AD69">
    <sortCondition descending="1" ref="N59:N69"/>
  </sortState>
  <mergeCells count="5">
    <mergeCell ref="B1:F1"/>
    <mergeCell ref="G1:H1"/>
    <mergeCell ref="M1:N1"/>
    <mergeCell ref="M74:O74"/>
    <mergeCell ref="AB74:AD7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current sector weights</vt:lpstr>
      <vt:lpstr>Dvd Holdings</vt:lpstr>
      <vt:lpstr>Dvd Perf ranked 24</vt:lpstr>
      <vt:lpstr>Dvd MV-BV</vt:lpstr>
      <vt:lpstr>Dvd Final 23</vt:lpstr>
      <vt:lpstr>DVD Holdings Metrics</vt:lpstr>
      <vt:lpstr>Options 24</vt:lpstr>
      <vt:lpstr>Core Holdings</vt:lpstr>
      <vt:lpstr>Core perf ranked</vt:lpstr>
      <vt:lpstr>Core MV-BV</vt:lpstr>
      <vt:lpstr>Invesco</vt:lpstr>
      <vt:lpstr>Options 23</vt:lpstr>
      <vt:lpstr>IPS</vt:lpstr>
      <vt:lpstr>DVD ETFS</vt:lpstr>
      <vt:lpstr>23' project</vt:lpstr>
      <vt:lpstr>2022 Final</vt:lpstr>
      <vt:lpstr>22' perf ranked</vt:lpstr>
    </vt:vector>
  </TitlesOfParts>
  <Company>Modern Woodmen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Keith</dc:creator>
  <cp:lastModifiedBy>Peterson, Keith</cp:lastModifiedBy>
  <cp:lastPrinted>2023-11-06T18:52:51Z</cp:lastPrinted>
  <dcterms:created xsi:type="dcterms:W3CDTF">2020-03-23T13:18:34Z</dcterms:created>
  <dcterms:modified xsi:type="dcterms:W3CDTF">2024-06-25T16:49:16Z</dcterms:modified>
</cp:coreProperties>
</file>