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05\AC\Temp\"/>
    </mc:Choice>
  </mc:AlternateContent>
  <xr:revisionPtr revIDLastSave="1083" documentId="11_E60897F41BE170836B02CE998F75CCDC64E183C8" xr6:coauthVersionLast="45" xr6:coauthVersionMax="45" xr10:uidLastSave="{AAEE99DB-766C-4868-A376-588AA8695ED4}"/>
  <bookViews>
    <workbookView xWindow="240" yWindow="105" windowWidth="14805" windowHeight="8010" firstSheet="3" xr2:uid="{00000000-000D-0000-FFFF-FFFF00000000}"/>
  </bookViews>
  <sheets>
    <sheet name="General Parameters" sheetId="9" r:id="rId1"/>
    <sheet name="FOLFIRINOX" sheetId="11" r:id="rId2"/>
    <sheet name="GemAbx" sheetId="10" r:id="rId3"/>
    <sheet name="Adj chemo (GEM)" sheetId="2" r:id="rId4"/>
    <sheet name="References" sheetId="8" r:id="rId5"/>
    <sheet name="PAXG" sheetId="12" r:id="rId6"/>
    <sheet name="PEXG" sheetId="13" r:id="rId7"/>
    <sheet name="Adj chemo (GEMCAP)" sheetId="3" r:id="rId8"/>
    <sheet name="Costs" sheetId="6" r:id="rId9"/>
    <sheet name="Utilities" sheetId="7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0" l="1"/>
  <c r="B24" i="2"/>
  <c r="B23" i="2"/>
  <c r="B24" i="10"/>
  <c r="B24" i="11"/>
  <c r="B23" i="10"/>
  <c r="B23" i="11"/>
  <c r="J2" i="2"/>
  <c r="N2" i="2" s="1"/>
  <c r="B20" i="2" s="1"/>
  <c r="B20" i="11" l="1"/>
  <c r="B22" i="2" l="1"/>
  <c r="B21" i="2"/>
  <c r="B21" i="13"/>
  <c r="B22" i="13"/>
  <c r="B20" i="13"/>
  <c r="B22" i="12"/>
  <c r="B21" i="12"/>
  <c r="B20" i="12"/>
  <c r="B12" i="9"/>
  <c r="B13" i="9"/>
  <c r="B11" i="9"/>
  <c r="B10" i="9"/>
  <c r="B9" i="9"/>
  <c r="B8" i="9"/>
  <c r="B21" i="10"/>
  <c r="B22" i="11"/>
  <c r="B21" i="11"/>
  <c r="I3" i="13" l="1"/>
  <c r="I28" i="13"/>
  <c r="H28" i="13"/>
  <c r="L27" i="13"/>
  <c r="K27" i="13"/>
  <c r="M27" i="13" s="1"/>
  <c r="L26" i="13"/>
  <c r="K26" i="13"/>
  <c r="M26" i="13" s="1"/>
  <c r="L25" i="13"/>
  <c r="K25" i="13"/>
  <c r="M25" i="13" s="1"/>
  <c r="L24" i="13"/>
  <c r="K24" i="13"/>
  <c r="M24" i="13" s="1"/>
  <c r="L23" i="13"/>
  <c r="K23" i="13"/>
  <c r="M23" i="13" s="1"/>
  <c r="L22" i="13"/>
  <c r="K22" i="13"/>
  <c r="M22" i="13" s="1"/>
  <c r="L21" i="13"/>
  <c r="K21" i="13"/>
  <c r="M21" i="13" s="1"/>
  <c r="L20" i="13"/>
  <c r="K20" i="13"/>
  <c r="M20" i="13" s="1"/>
  <c r="L19" i="13"/>
  <c r="K19" i="13"/>
  <c r="M19" i="13" s="1"/>
  <c r="L18" i="13"/>
  <c r="K18" i="13"/>
  <c r="M18" i="13" s="1"/>
  <c r="L17" i="13"/>
  <c r="K17" i="13"/>
  <c r="M17" i="13" s="1"/>
  <c r="L16" i="13"/>
  <c r="K16" i="13"/>
  <c r="M16" i="13" s="1"/>
  <c r="L15" i="13"/>
  <c r="K15" i="13"/>
  <c r="M15" i="13" s="1"/>
  <c r="L14" i="13"/>
  <c r="K14" i="13"/>
  <c r="M14" i="13" s="1"/>
  <c r="L13" i="13"/>
  <c r="K13" i="13"/>
  <c r="M13" i="13" s="1"/>
  <c r="L12" i="13"/>
  <c r="K12" i="13"/>
  <c r="M12" i="13" s="1"/>
  <c r="L11" i="13"/>
  <c r="K11" i="13"/>
  <c r="M11" i="13" s="1"/>
  <c r="L10" i="13"/>
  <c r="K10" i="13"/>
  <c r="M10" i="13" s="1"/>
  <c r="L9" i="13"/>
  <c r="L28" i="13" s="1"/>
  <c r="K9" i="13"/>
  <c r="I5" i="13"/>
  <c r="I4" i="13"/>
  <c r="I2" i="13"/>
  <c r="M2" i="13" s="1"/>
  <c r="M2" i="12"/>
  <c r="I5" i="12"/>
  <c r="I4" i="12"/>
  <c r="I28" i="12"/>
  <c r="H28" i="12"/>
  <c r="L27" i="12"/>
  <c r="K27" i="12"/>
  <c r="M27" i="12" s="1"/>
  <c r="L26" i="12"/>
  <c r="K26" i="12"/>
  <c r="M26" i="12" s="1"/>
  <c r="L25" i="12"/>
  <c r="K25" i="12"/>
  <c r="M25" i="12" s="1"/>
  <c r="L24" i="12"/>
  <c r="K24" i="12"/>
  <c r="M24" i="12" s="1"/>
  <c r="L23" i="12"/>
  <c r="K23" i="12"/>
  <c r="M23" i="12" s="1"/>
  <c r="L22" i="12"/>
  <c r="K22" i="12"/>
  <c r="M22" i="12" s="1"/>
  <c r="L21" i="12"/>
  <c r="K21" i="12"/>
  <c r="M21" i="12" s="1"/>
  <c r="L20" i="12"/>
  <c r="K20" i="12"/>
  <c r="M20" i="12" s="1"/>
  <c r="L19" i="12"/>
  <c r="K19" i="12"/>
  <c r="M19" i="12" s="1"/>
  <c r="L18" i="12"/>
  <c r="K18" i="12"/>
  <c r="M18" i="12" s="1"/>
  <c r="L17" i="12"/>
  <c r="K17" i="12"/>
  <c r="M17" i="12" s="1"/>
  <c r="L16" i="12"/>
  <c r="K16" i="12"/>
  <c r="M16" i="12" s="1"/>
  <c r="L15" i="12"/>
  <c r="K15" i="12"/>
  <c r="M15" i="12" s="1"/>
  <c r="L14" i="12"/>
  <c r="K14" i="12"/>
  <c r="M14" i="12" s="1"/>
  <c r="L13" i="12"/>
  <c r="K13" i="12"/>
  <c r="M13" i="12" s="1"/>
  <c r="L12" i="12"/>
  <c r="K12" i="12"/>
  <c r="M12" i="12" s="1"/>
  <c r="L11" i="12"/>
  <c r="K11" i="12"/>
  <c r="M11" i="12" s="1"/>
  <c r="L10" i="12"/>
  <c r="K10" i="12"/>
  <c r="M10" i="12" s="1"/>
  <c r="L9" i="12"/>
  <c r="L28" i="12" s="1"/>
  <c r="K9" i="12"/>
  <c r="I2" i="12"/>
  <c r="K27" i="10"/>
  <c r="K28" i="13" l="1"/>
  <c r="M9" i="13"/>
  <c r="M28" i="13" s="1"/>
  <c r="K28" i="12"/>
  <c r="M9" i="12"/>
  <c r="M28" i="12" s="1"/>
  <c r="M27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5" i="10"/>
  <c r="M26" i="10"/>
  <c r="M6" i="10"/>
  <c r="I27" i="10"/>
  <c r="H27" i="10"/>
  <c r="L27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5" i="10"/>
  <c r="L26" i="10"/>
  <c r="L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5" i="10"/>
  <c r="K26" i="10"/>
  <c r="K6" i="10"/>
  <c r="I2" i="10" l="1"/>
  <c r="M2" i="10"/>
  <c r="I5" i="11"/>
  <c r="I4" i="11"/>
  <c r="I3" i="11"/>
  <c r="I2" i="11"/>
  <c r="M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tc={1B7DF19D-DB41-431F-B40D-3067C90DC7CB}</author>
    <author>tc={3B76221B-EF56-4AE7-BCC9-16504398249F}</author>
    <author>tc={A5A569C0-69D2-4DCB-94F8-7130A64EE736}</author>
    <author>tc={85246E06-DE73-4B12-ADE2-8B6CC8C551F5}</author>
  </authors>
  <commentList>
    <comment ref="C1" authorId="0" shapeId="0" xr:uid="{1B7DF19D-DB41-431F-B40D-3067C90DC7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Dhir if info not in Dhir taken from Jin's model
</t>
      </text>
    </comment>
    <comment ref="I2" authorId="1" shapeId="0" xr:uid="{3B76221B-EF56-4AE7-BCC9-1650439824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ASP Drug Pricing 2020
</t>
      </text>
    </comment>
    <comment ref="J2" authorId="2" shapeId="0" xr:uid="{A5A569C0-69D2-4DCB-94F8-7130A64EE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is standard folfirinox regimen
</t>
      </text>
    </comment>
    <comment ref="K2" authorId="3" shapeId="0" xr:uid="{85246E06-DE73-4B12-ADE2-8B6CC8C551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Gharaibeh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tc={0E9D65B4-A10E-43B0-848E-E9D57DB6612F}</author>
    <author>tc={0DEE539E-C193-4D71-8BF1-EB8FD46F283B}</author>
    <author>tc={338B0AB3-59A0-430F-9645-2B78F5C6CEF3}</author>
    <author>tc={F57E508F-0192-43EE-A57F-27229503B7E3}</author>
    <author>tc={5B5ADD9C-A06E-48C4-BD6A-E48CF3EF6FDC}</author>
  </authors>
  <commentList>
    <comment ref="I2" authorId="0" shapeId="0" xr:uid="{0E9D65B4-A10E-43B0-848E-E9D57DB661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ASP Pricing File 2020
</t>
      </text>
    </comment>
    <comment ref="J2" authorId="1" shapeId="0" xr:uid="{0DEE539E-C193-4D71-8BF1-EB8FD46F28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K2" authorId="2" shapeId="0" xr:uid="{338B0AB3-59A0-430F-9645-2B78F5C6CE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L2" authorId="3" shapeId="0" xr:uid="{F57E508F-0192-43EE-A57F-27229503B7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Gharaibeh
</t>
      </text>
    </comment>
    <comment ref="C26" authorId="4" shapeId="0" xr:uid="{5B5ADD9C-A06E-48C4-BD6A-E48CF3EF6F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Median disutility value based on TRAEs 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tc={3892855E-1D2F-4E33-A5DB-894D968DB77A}</author>
    <author>tc={A3E2FCCE-264D-4D10-87BD-43384E35BB04}</author>
    <author>tc={0E2E3FB0-53B8-4040-A426-CBE1FA95FE20}</author>
    <author>tc={0096D8C7-BDE9-4EA7-944F-ABB53F859EB3}</author>
  </authors>
  <commentList>
    <comment ref="J2" authorId="0" shapeId="0" xr:uid="{3892855E-1D2F-4E33-A5DB-894D968DB7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ASP Pricing File 2020
</t>
      </text>
    </comment>
    <comment ref="K2" authorId="1" shapeId="0" xr:uid="{A3E2FCCE-264D-4D10-87BD-43384E35BB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L2" authorId="2" shapeId="0" xr:uid="{0E2E3FB0-53B8-4040-A426-CBE1FA95FE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M2" authorId="3" shapeId="0" xr:uid="{0096D8C7-BDE9-4EA7-944F-ABB53F859E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Gharaibeh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tc={4F6F110E-DF81-4F10-B311-39699AAD14AE}</author>
    <author>tc={73E54D1A-6A7F-4472-8036-B62ED970D9B9}</author>
    <author>tc={AB7B8BB2-7534-4451-88A9-DCD3C92F1A72}</author>
    <author>tc={7410B126-E3BB-48DA-A814-4AA853080790}</author>
  </authors>
  <commentList>
    <comment ref="I2" authorId="0" shapeId="0" xr:uid="{4F6F110E-DF81-4F10-B311-39699AAD14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ASP Pricing File 2020
</t>
      </text>
    </comment>
    <comment ref="J2" authorId="1" shapeId="0" xr:uid="{73E54D1A-6A7F-4472-8036-B62ED970D9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K2" authorId="2" shapeId="0" xr:uid="{AB7B8BB2-7534-4451-88A9-DCD3C92F1A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L2" authorId="3" shapeId="0" xr:uid="{7410B126-E3BB-48DA-A814-4AA8530807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Gharaibeh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tc={D6D4C442-B89F-45C5-94CA-B0A414530B4B}</author>
    <author>tc={CFCEF957-33D1-450E-B9FA-2CB36BE68CD7}</author>
    <author>tc={7D88FD27-432D-4B86-AD94-00132AC97A42}</author>
    <author>tc={1E1C276B-CA51-4D61-9000-DE5090F0E1BA}</author>
  </authors>
  <commentList>
    <comment ref="I2" authorId="0" shapeId="0" xr:uid="{D6D4C442-B89F-45C5-94CA-B0A414530B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ASP Pricing File 2020
</t>
      </text>
    </comment>
    <comment ref="J2" authorId="1" shapeId="0" xr:uid="{CFCEF957-33D1-450E-B9FA-2CB36BE68C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K2" authorId="2" shapeId="0" xr:uid="{7D88FD27-432D-4B86-AD94-00132AC97A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Chapman but standard GemAbx regimen
</t>
      </text>
    </comment>
    <comment ref="L2" authorId="3" shapeId="0" xr:uid="{1E1C276B-CA51-4D61-9000-DE5090F0E1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Gharaibeh
</t>
      </text>
    </comment>
  </commentList>
</comments>
</file>

<file path=xl/sharedStrings.xml><?xml version="1.0" encoding="utf-8"?>
<sst xmlns="http://schemas.openxmlformats.org/spreadsheetml/2006/main" count="536" uniqueCount="196">
  <si>
    <t>Parameters</t>
  </si>
  <si>
    <t>Value</t>
  </si>
  <si>
    <t>Source</t>
  </si>
  <si>
    <t>Age, years</t>
  </si>
  <si>
    <t>4, 25, 31</t>
  </si>
  <si>
    <t>PDAC mortality</t>
  </si>
  <si>
    <t>4, 50, 57</t>
  </si>
  <si>
    <t>Surgical mortality</t>
  </si>
  <si>
    <t>30, 38</t>
  </si>
  <si>
    <t>Pancreatic fistula</t>
  </si>
  <si>
    <t>38, 43, 58-61</t>
  </si>
  <si>
    <t>Progression-free PDAC</t>
  </si>
  <si>
    <t>50, 51, 65-67</t>
  </si>
  <si>
    <t>Costs</t>
  </si>
  <si>
    <t>Resection surgery cost</t>
  </si>
  <si>
    <t>Palliative care cost</t>
  </si>
  <si>
    <t>CAP and radiation per month</t>
  </si>
  <si>
    <t>Chemoradiation hospitalization costs</t>
  </si>
  <si>
    <t>Endoscopic Ultrasound</t>
  </si>
  <si>
    <t>Corral</t>
  </si>
  <si>
    <t>PDAC costs per month (inpatient)</t>
  </si>
  <si>
    <t>Utilities</t>
  </si>
  <si>
    <t>Progressive disease</t>
  </si>
  <si>
    <t>Palliative care</t>
  </si>
  <si>
    <t>Recovery from surgery</t>
  </si>
  <si>
    <t>HCPCS code</t>
  </si>
  <si>
    <t>Cost per mg</t>
  </si>
  <si>
    <t>Dose (mg)</t>
  </si>
  <si>
    <t>Body Weight (m^2)</t>
  </si>
  <si>
    <t>Doses per cycle</t>
  </si>
  <si>
    <t>Total</t>
  </si>
  <si>
    <t>Chemo Name</t>
  </si>
  <si>
    <t>FOLF</t>
  </si>
  <si>
    <t>Oxaliplatin</t>
  </si>
  <si>
    <t>J9263</t>
  </si>
  <si>
    <t>Chemo Type</t>
  </si>
  <si>
    <t>Neoadjuvant</t>
  </si>
  <si>
    <t>Irinotecan</t>
  </si>
  <si>
    <t>J9206</t>
  </si>
  <si>
    <t>Chemotherapy cycle length (months)</t>
  </si>
  <si>
    <t>dhir</t>
  </si>
  <si>
    <t>Leucovorin</t>
  </si>
  <si>
    <t>J0640</t>
  </si>
  <si>
    <t>Dropout rate</t>
  </si>
  <si>
    <t>23, 30</t>
  </si>
  <si>
    <t>5-FU</t>
  </si>
  <si>
    <t>J9190</t>
  </si>
  <si>
    <t>Toxicity rate</t>
  </si>
  <si>
    <t>18, 25, 30-32</t>
  </si>
  <si>
    <t>Complete cycles</t>
  </si>
  <si>
    <t>Surgical complication rate</t>
  </si>
  <si>
    <t>Pancreatic fistula rate</t>
  </si>
  <si>
    <t>R0 rate</t>
  </si>
  <si>
    <t>PDAC recurrence</t>
  </si>
  <si>
    <t>Hospitalization for toxicity</t>
  </si>
  <si>
    <t>Lymph node positivity</t>
  </si>
  <si>
    <t>R0 recurrence survival</t>
  </si>
  <si>
    <t>4, 21</t>
  </si>
  <si>
    <t>R1 recurrence survival</t>
  </si>
  <si>
    <t>N0 recurrence survival</t>
  </si>
  <si>
    <t>N1 recurrence survival</t>
  </si>
  <si>
    <t>Second-line survival, months</t>
  </si>
  <si>
    <t>16, 24</t>
  </si>
  <si>
    <t>Chemo cost per cycle</t>
  </si>
  <si>
    <t>Toxicity cost per cycle</t>
  </si>
  <si>
    <t>47-50</t>
  </si>
  <si>
    <t>Second line cost per month</t>
  </si>
  <si>
    <t>Toxicity cost per month</t>
  </si>
  <si>
    <t>Kim et al 2017</t>
  </si>
  <si>
    <t>Administration cost per month</t>
  </si>
  <si>
    <t>ACCORD</t>
  </si>
  <si>
    <t>Chemo_disutility</t>
  </si>
  <si>
    <t>Chemo toxicity disutility</t>
  </si>
  <si>
    <t>50, 51, 66, 69-71</t>
  </si>
  <si>
    <t>HCPCS</t>
  </si>
  <si>
    <t>Cost</t>
  </si>
  <si>
    <t>Dosage</t>
  </si>
  <si>
    <t>Dose per cycle</t>
  </si>
  <si>
    <t>Body Weight</t>
  </si>
  <si>
    <t>AG</t>
  </si>
  <si>
    <t>Gemcitabine</t>
  </si>
  <si>
    <t>J9201</t>
  </si>
  <si>
    <t>Abraxane</t>
  </si>
  <si>
    <t>J9264</t>
  </si>
  <si>
    <t>Dhir</t>
  </si>
  <si>
    <t>Reni</t>
  </si>
  <si>
    <t>Probability per cycle</t>
  </si>
  <si>
    <t>Disutility</t>
  </si>
  <si>
    <t>Cost USD</t>
  </si>
  <si>
    <t>Disutil per cycle</t>
  </si>
  <si>
    <t>Cost per Cycle</t>
  </si>
  <si>
    <t>Abd pain</t>
  </si>
  <si>
    <t>Anemia</t>
  </si>
  <si>
    <t>Asthenia</t>
  </si>
  <si>
    <t>Cholangitis</t>
  </si>
  <si>
    <t>Diarrhea</t>
  </si>
  <si>
    <t>Dehydration</t>
  </si>
  <si>
    <t>Fatigue</t>
  </si>
  <si>
    <t>Faebrile neutropenia</t>
  </si>
  <si>
    <t>Hyperbil</t>
  </si>
  <si>
    <t>LoA</t>
  </si>
  <si>
    <t>Leuk</t>
  </si>
  <si>
    <t>Nausea</t>
  </si>
  <si>
    <t>Neut</t>
  </si>
  <si>
    <t>PerNeut</t>
  </si>
  <si>
    <t xml:space="preserve">2020 ASAP </t>
  </si>
  <si>
    <t>PerSenNeut</t>
  </si>
  <si>
    <t>Lazzaro</t>
  </si>
  <si>
    <t>Pneum</t>
  </si>
  <si>
    <t>Pulmem</t>
  </si>
  <si>
    <t>MPACT</t>
  </si>
  <si>
    <t>Thromb</t>
  </si>
  <si>
    <t>Vom</t>
  </si>
  <si>
    <t>Totals</t>
  </si>
  <si>
    <t>GEM</t>
  </si>
  <si>
    <t>Adjuvant</t>
  </si>
  <si>
    <t>12, 45</t>
  </si>
  <si>
    <t>12, 15</t>
  </si>
  <si>
    <t>12, 14, 50</t>
  </si>
  <si>
    <t>4, 43</t>
  </si>
  <si>
    <t>4, 12, 14, 15, 21, 45</t>
  </si>
  <si>
    <t>4, 12, 14, 15, 44, 45</t>
  </si>
  <si>
    <t>21, 45</t>
  </si>
  <si>
    <t>17, 56</t>
  </si>
  <si>
    <t>50, 66, 69-71</t>
  </si>
  <si>
    <t>Source #</t>
  </si>
  <si>
    <t>Citation</t>
  </si>
  <si>
    <t>Ferrone CR, Marchegiani G, Hong TS et al.Radiological and surgical implications of neoad-juvant treatment with FOLFIRINOX for locallyadvanced and borderline resectable pancreaticcancer. Ann Surg 2015;261:12–17</t>
  </si>
  <si>
    <t>Neoptolemos JP, Stocken DD, Bassi C et al.Adjuvant chemotherapy withfluorouracil plusfolinic acid vs gemcitabine following pancreaticcancer resection: A randomized controlled trial.JAMA 2010;304:1073–1081.</t>
  </si>
  <si>
    <t>Oettle H, Neuhaus P, Hochhaus A et al.Adjuvant chemotherapy with gemcitabine andlong-term  outcomes  among  patients  withresected pancreatic cancer: The CONKO-001 ran-domized trial. JAMA 2013;310:1473–1481.</t>
  </si>
  <si>
    <t>Oettle H, Post S, Neuhaus P et al. Ajuvantchemotherapy with gemcitabine vs observationin patients undergoing curative-intent resection ofpancreatic cancer. JAMA 2007;297:267–277</t>
  </si>
  <si>
    <t>Conroy T, Desseigne F, Ychou M et al. FOL-FIRINOX versus gemcitabine for metastatic pan-creatic cancer. N Engl J Med 2011;364:1817–1825</t>
  </si>
  <si>
    <t>Faris JE, Blaszkowsky LS, McDermott Set al. FOLFIRINOX in locally advanced pancreaticcancer:  The  Massachusetts  General  HospitalCancer Center experience.The Oncologist2013;18:543–548.</t>
  </si>
  <si>
    <t>Nipp R, Zanconato A, Zheng H et al. Predic-tors of early mortality following surgical re-section of pancreatic adenocarcinoma in the eraof neoadjuvant treatment. Pancreas 2017;46:183–189.</t>
  </si>
  <si>
    <t>Paniccia A, Edil BH, Schulick RD et al.Neoadjuvant FOLFIRINOX application in border-line resectable pancreatic adenocarcinoma: Aretrospective cohort study. Medicine (Baltimore)2014;93:e198.</t>
  </si>
  <si>
    <t>Blazer M, Wu C, Goldberg RM et al. Neoad-juvant  modified  (m)  FOLFIRINOX  for  locallyadvanced unresectable (LAPC) and borderlineresectable (BRPC) adenocarcinoma of the pan-creas. Ann Surg Oncol 2015;22:1153–1159.</t>
  </si>
  <si>
    <t>Sadot E, Doussot A, O’Reilly EM et al. FOL-FIRINOX induction therapy for stage 3 pancreaticadenocarcinoma. Ann Surg Oncol 2015;22:3512–3521</t>
  </si>
  <si>
    <t>Hosein PJ, Macintyre J, Kawamura C et al.A retrospective study of neoadjuvant FOLFIRI-NOX in unresectable or borderline-resectablelocally  advanced  pancreatic  adenocarcinoma.BMC Cancer 2012;12:199.</t>
  </si>
  <si>
    <t>Gillen  S,  Schuster  T,  Meyer  ZumBuschenfelde C et al. Preoperative/neoadjuvanttherapy in pancreatic cancer: A systematic reviewand  meta-analysis  of  response  and  re-section percentages. PLoS Med 2010;7:e1000267.</t>
  </si>
  <si>
    <t>Christians KK, Tsai S, Mahmoud A et al.Neoadjuvant FOLFIRINOX for borderline resect-able pancreas cancer: A new treatment para-digm?The Oncologist2014;19:266–274.</t>
  </si>
  <si>
    <t>Petrelli F, Coinu A, Borgonovo K et al. FOL-FIRINOX-based neoadjuvant therapy in border-line  resectable  or  unresectable  pancreaticcancer: A meta-analytical review of publishedstudies. Pancreas 2015;44:515–521.</t>
  </si>
  <si>
    <t>Veillette G, Dominguez I, Ferrone C et al.Implications and management of pancreaticfis-tulas following pancreaticoduodenectomy: TheMassachusetts  General  Hospital  experience.Arch Surg 2008;143:476–481</t>
  </si>
  <si>
    <t>Yeo CJ, Cameron JL, Lillemoe KD et al. Doesprophylactic octreotide decrease the rates ofpancreaticfistula and other complications afterpancreaticoduodenectomy? Results of a pro-spective  randomized  placebo-controlled  trial.Ann Surg 2000;232:419–429.</t>
  </si>
  <si>
    <t>Regine WF, Winter KA, Abrams RA et al.Fluorouracil  vs  gemcitabine  chemotherapybefore and afterfluorouracil-based chemoradia-tion following resection of pancreatic adenocar-cinoma: A randomized controlled trial. JAMA2008;299:1019–1026.</t>
  </si>
  <si>
    <t>Neoptolemos JP, Palmer DH, Ghaneh P et al.Comparison of adjuvant gemcitabine and capeci-tabine with gemcitabine monotherapy in patientswith resected pancreatic cancer (ESPAC-4): Amulticentre, open-label, randomised, phase 3 trial.Lancet 2017;389:1011–1024.</t>
  </si>
  <si>
    <t>Caggiano V, Weiss RV, Rickert TS et al. Inci-dence, cost, and mortality of neutropenia hospi-talization associated with chemotherapy. Cancer2005;103:1916–1924.</t>
  </si>
  <si>
    <t>Goldstein DA, Chen Q, Ayer T et al. First-and second-line bevacizumab in addition to che-motherapy for metastatic colorectal cancer: AUnited States-based cost-effectiveness analysis.J Clin Oncol 2015;33:1112–1118.</t>
  </si>
  <si>
    <t>Bilir SP, Ma Q, Zhao Z et al. Economic bur-den of toxicities associated with treating meta-static  melanoma  in  the  United  States.  AmHealth Drug Benefits 2016;9:203–213.</t>
  </si>
  <si>
    <t>Attard CL, Brown S, Alloul K et al. Cost-effectiveness of folfirinox forfirst-line treatmentof  metastatic  pancreatic  cancer.  Curr  Oncol2014;21:e41–e51.</t>
  </si>
  <si>
    <t>Tam VC, Ko YJ, Mittmann N et al. Cost-effectiveness of systemic therapies for meta-static pancreatic cancer. Curr Oncol 2013;20:e90–e106.</t>
  </si>
  <si>
    <t>Cerullo M, Gani F, Chen SY et al. Assessingthefinancial burden associated with treatmentoptions for resectable pancreatic cancer. AnnSurg 2018;267:544–551.</t>
  </si>
  <si>
    <t>O’Neill CB, Atoria CL, O’Reilly EM et al.Costs and trends in pancreatic cancer treatment.Cancer 2012;118:5132–5139.</t>
  </si>
  <si>
    <t>Holbrook RF, Hargrave K, Traverso LW. Aprospective cost analysis of pancreatoduode-nectomy. Am J Surg 1996;171:508–511.</t>
  </si>
  <si>
    <t>Sener SF, Fremgen A, Menck HR et al. Pan-creatic cancer: A report of treatment and sur-vival trends for 100,313 patients diagnosed from1985-1995, using the National Cancer Database.J Am Coll Surg 1999;189:1–7.</t>
  </si>
  <si>
    <t>Alexakis N, Sutton R, Neoptolemos JP. Sur-gical treatment of pancreaticfistula. Dig Surg2004;21:262–274.</t>
  </si>
  <si>
    <t>Bassi C, Butturini G, Molinari E et al. Pan-creaticfistula rate after pancreatic resection.The importance of definitions. Dig Surg 2004;21:54–59.</t>
  </si>
  <si>
    <t>HoHS, Frey CF. Gastrointestinal and pan-creatic  complications  associated  with  severepancreatitis. Arch Surg 1995;130:817–823.</t>
  </si>
  <si>
    <t>Tsiotos GG, Smith CD, Sarr MG. Incidenceand management of pancreatic and entericfistu-las after surgical management of severe necro-tizing pancreatitis. Arch Surg 1995;130:48–52.</t>
  </si>
  <si>
    <t>Centers for Medicare and Medicaid Ser-vices. 2018 ASP Drug Pricing Files. Available athttps://www.cms.gov/Medicare/Medicare-Fee-for-Service-Part-B-Drugs/McrPartBDrugAvgSalesPrice/2018ASPFiles.html. Accessed July 2, 2018.</t>
  </si>
  <si>
    <t>Patnaik A, Doyle C, Oza AM. Palliative ther-apy  in  advanced  ovarian  cancer:  Balancingpatient expectations, quality of life and cost.Anticancer Drugs 1998;9:869–878.</t>
  </si>
  <si>
    <t>Goldstein DA, Krishna K, Flowers C et al.Cost description of chemotherapy regimens forthe treatment of metastatic pancreas cancer(mPC). Abstract presented at: GastrointestinalCancers Symposium; January 15–17, 2015; SanFrancisco.</t>
  </si>
  <si>
    <t>Leung  HW,  Chan  AL,  Muo  CH.  Cost-effectiveness of gemcitabine plus modern radio-therapy in locally advanced pancreatic cancer.Clin Ther 2016;38:1174–1183.</t>
  </si>
  <si>
    <t>Aballea S, Chancellor JV, Raikou M et al.Cost-effectiveness analysis of oxaliplatin comparedwith   5-fluorouracil/leucovorin   in   adjuvanttreatment of stage III colon cancer in the US. Can-cer 2007;109:1082–1089.</t>
  </si>
  <si>
    <t>Romanus D, Kindler HL, Archer L et al. Doeshealth-related  quality  of  life  improve  foradvanced  pancreatic  cancer  patients  whorespond to gemcitabine? Analysis of a random-ized phase III trial of the cancer and leukemiagroup B (CALGB 80303). J Pain Symptom Man-age 2012;43:205–217.</t>
  </si>
  <si>
    <t>Huang JJ, Yeo CJ, Sohn TA et al. Quality oflife and outcomes after pancreaticoduodenect-omy. Ann Surg 2000;231:890–898.</t>
  </si>
  <si>
    <t>Lloyd A, Nafees B, Narewska J et al. Healthstate utilities for metastatic breast cancer. Br JCancer 2006;95:683–690.</t>
  </si>
  <si>
    <t>Lenert  LA,  Soetikno  RM.  Automatedcomputer interviews to elicit utilities: Potentialapplications in the treatment of deep venousthrombosis. J Am Med Inform Assoc 1997;4:49–56.</t>
  </si>
  <si>
    <t>Gould MK, Dembitzer AD, Sanders GD et al.Low-molecular-weight heparins compared withunfractionated heparin for treatment of acutedeep venous thrombosis. A  cost-effectivenessanalysis. Ann Intern Med 1999;130:789–799.</t>
  </si>
  <si>
    <t>PAXG</t>
  </si>
  <si>
    <t>Cisplatin</t>
  </si>
  <si>
    <t>J9060</t>
  </si>
  <si>
    <t>Capecitabine</t>
  </si>
  <si>
    <t>J8521</t>
  </si>
  <si>
    <t>Italian Study</t>
  </si>
  <si>
    <t>PerNeur</t>
  </si>
  <si>
    <t>PerSenNeur</t>
  </si>
  <si>
    <t>PEXG</t>
  </si>
  <si>
    <t>Epirunicin</t>
  </si>
  <si>
    <t>GEMCAP</t>
  </si>
  <si>
    <t>12, 25</t>
  </si>
  <si>
    <t>45, 47-50</t>
  </si>
  <si>
    <t>45, 50</t>
  </si>
  <si>
    <t>45, 50, 51, 66, 69-71</t>
  </si>
  <si>
    <t>FOLFIRINOX per cycle</t>
  </si>
  <si>
    <t>Gemcitabine per cycle</t>
  </si>
  <si>
    <t>GEMCAP per cycle</t>
  </si>
  <si>
    <t xml:space="preserve">Resection surgery </t>
  </si>
  <si>
    <t>FOLFIRINOX toxicity hospitalization per cycle</t>
  </si>
  <si>
    <t>GEM toxicity per cycle</t>
  </si>
  <si>
    <t>GEMCAP toxicity hospitalization per cycle</t>
  </si>
  <si>
    <t>FOLFIRINOX second line per month</t>
  </si>
  <si>
    <t>GEMNABPAC per month</t>
  </si>
  <si>
    <t>FOLFIRINOX</t>
  </si>
  <si>
    <t>FOLFIRINOX toxicity</t>
  </si>
  <si>
    <t>GEM toxicity</t>
  </si>
  <si>
    <t>GEMCAP 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</si>
</sst>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am, Myles A." id="{4861D222-902F-4BAB-B386-C4B7D6DCEAA4}" userId="S::mai2125@cumc.columbia.edu::d47acade-2768-4131-ba80-e0e0704157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2-04T06:48:34.31" personId="{4861D222-902F-4BAB-B386-C4B7D6DCEAA4}" id="{1B7DF19D-DB41-431F-B40D-3067C90DC7CB}">
    <text xml:space="preserve">Based on Dhir if info not in Dhir taken from Jin's model
</text>
  </threadedComment>
  <threadedComment ref="I2" dT="2020-02-07T04:58:16.25" personId="{4861D222-902F-4BAB-B386-C4B7D6DCEAA4}" id="{3B76221B-EF56-4AE7-BCC9-16504398249F}">
    <text xml:space="preserve">ASP Drug Pricing 2020
</text>
  </threadedComment>
  <threadedComment ref="J2" dT="2020-02-07T04:55:21.34" personId="{4861D222-902F-4BAB-B386-C4B7D6DCEAA4}" id="{A5A569C0-69D2-4DCB-94F8-7130A64EE736}">
    <text xml:space="preserve">Chapman but is standard folfirinox regimen
</text>
  </threadedComment>
  <threadedComment ref="K2" dT="2020-02-07T04:54:51.12" personId="{4861D222-902F-4BAB-B386-C4B7D6DCEAA4}" id="{85246E06-DE73-4B12-ADE2-8B6CC8C551F5}">
    <text xml:space="preserve">Gharaibeh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0-02-07T05:33:26.89" personId="{4861D222-902F-4BAB-B386-C4B7D6DCEAA4}" id="{0E9D65B4-A10E-43B0-848E-E9D57DB6612F}">
    <text xml:space="preserve">ASP Pricing File 2020
</text>
  </threadedComment>
  <threadedComment ref="J2" dT="2020-02-07T05:33:54.59" personId="{4861D222-902F-4BAB-B386-C4B7D6DCEAA4}" id="{0DEE539E-C193-4D71-8BF1-EB8FD46F283B}">
    <text xml:space="preserve">Chapman but standard GemAbx regimen
</text>
  </threadedComment>
  <threadedComment ref="K2" dT="2020-02-07T05:34:40.53" personId="{4861D222-902F-4BAB-B386-C4B7D6DCEAA4}" id="{338B0AB3-59A0-430F-9645-2B78F5C6CEF3}">
    <text xml:space="preserve">Chapman but standard GemAbx regimen
</text>
  </threadedComment>
  <threadedComment ref="L2" dT="2020-02-07T05:34:17.81" personId="{4861D222-902F-4BAB-B386-C4B7D6DCEAA4}" id="{F57E508F-0192-43EE-A57F-27229503B7E3}">
    <text xml:space="preserve"> Gharaibeh
</text>
  </threadedComment>
  <threadedComment ref="C26" dT="2020-02-14T19:27:17.76" personId="{4861D222-902F-4BAB-B386-C4B7D6DCEAA4}" id="{5B5ADD9C-A06E-48C4-BD6A-E48CF3EF6FDC}">
    <text xml:space="preserve">Median disutility value based on TRAEs 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" dT="2020-02-07T05:33:26.89" personId="{4861D222-902F-4BAB-B386-C4B7D6DCEAA4}" id="{3892855E-1D2F-4E33-A5DB-894D968DB77A}">
    <text xml:space="preserve">ASP Pricing File 2020
</text>
  </threadedComment>
  <threadedComment ref="K2" dT="2020-02-07T05:33:54.59" personId="{4861D222-902F-4BAB-B386-C4B7D6DCEAA4}" id="{A3E2FCCE-264D-4D10-87BD-43384E35BB04}">
    <text xml:space="preserve">Chapman but standard GemAbx regimen
</text>
  </threadedComment>
  <threadedComment ref="L2" dT="2020-02-07T05:34:40.53" personId="{4861D222-902F-4BAB-B386-C4B7D6DCEAA4}" id="{0E2E3FB0-53B8-4040-A426-CBE1FA95FE20}">
    <text xml:space="preserve">Chapman but standard GemAbx regimen
</text>
  </threadedComment>
  <threadedComment ref="M2" dT="2020-02-07T05:34:17.81" personId="{4861D222-902F-4BAB-B386-C4B7D6DCEAA4}" id="{0096D8C7-BDE9-4EA7-944F-ABB53F859EB3}">
    <text xml:space="preserve"> Gharaibeh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2" dT="2020-02-07T05:33:26.89" personId="{4861D222-902F-4BAB-B386-C4B7D6DCEAA4}" id="{4F6F110E-DF81-4F10-B311-39699AAD14AE}">
    <text xml:space="preserve">ASP Pricing File 2020
</text>
  </threadedComment>
  <threadedComment ref="J2" dT="2020-02-07T05:33:54.59" personId="{4861D222-902F-4BAB-B386-C4B7D6DCEAA4}" id="{73E54D1A-6A7F-4472-8036-B62ED970D9B9}">
    <text xml:space="preserve">Chapman but standard GemAbx regimen
</text>
  </threadedComment>
  <threadedComment ref="K2" dT="2020-02-07T05:34:40.53" personId="{4861D222-902F-4BAB-B386-C4B7D6DCEAA4}" id="{AB7B8BB2-7534-4451-88A9-DCD3C92F1A72}">
    <text xml:space="preserve">Chapman but standard GemAbx regimen
</text>
  </threadedComment>
  <threadedComment ref="L2" dT="2020-02-07T05:34:17.81" personId="{4861D222-902F-4BAB-B386-C4B7D6DCEAA4}" id="{7410B126-E3BB-48DA-A814-4AA853080790}">
    <text xml:space="preserve"> Gharaibeh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2" dT="2020-02-07T05:33:26.89" personId="{4861D222-902F-4BAB-B386-C4B7D6DCEAA4}" id="{D6D4C442-B89F-45C5-94CA-B0A414530B4B}">
    <text xml:space="preserve">ASP Pricing File 2020
</text>
  </threadedComment>
  <threadedComment ref="J2" dT="2020-02-07T05:33:54.59" personId="{4861D222-902F-4BAB-B386-C4B7D6DCEAA4}" id="{CFCEF957-33D1-450E-B9FA-2CB36BE68CD7}">
    <text xml:space="preserve">Chapman but standard GemAbx regimen
</text>
  </threadedComment>
  <threadedComment ref="K2" dT="2020-02-07T05:34:40.53" personId="{4861D222-902F-4BAB-B386-C4B7D6DCEAA4}" id="{7D88FD27-432D-4B86-AD94-00132AC97A42}">
    <text xml:space="preserve">Chapman but standard GemAbx regimen
</text>
  </threadedComment>
  <threadedComment ref="L2" dT="2020-02-07T05:34:17.81" personId="{4861D222-902F-4BAB-B386-C4B7D6DCEAA4}" id="{1E1C276B-CA51-4D61-9000-DE5090F0E1BA}">
    <text xml:space="preserve"> Gharaibeh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ABD-D131-4CDD-AE20-E3B7F371BD57}">
  <dimension ref="A1:C18"/>
  <sheetViews>
    <sheetView tabSelected="1" workbookViewId="0">
      <selection activeCell="D11" sqref="D11"/>
    </sheetView>
  </sheetViews>
  <sheetFormatPr defaultRowHeight="15"/>
  <cols>
    <col min="1" max="1" width="44.5703125" customWidth="1"/>
    <col min="3" max="3" width="1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60</v>
      </c>
      <c r="C2" t="s">
        <v>4</v>
      </c>
    </row>
    <row r="3" spans="1:3">
      <c r="A3" t="s">
        <v>5</v>
      </c>
      <c r="B3">
        <v>0.24</v>
      </c>
      <c r="C3" t="s">
        <v>6</v>
      </c>
    </row>
    <row r="4" spans="1:3">
      <c r="A4" t="s">
        <v>7</v>
      </c>
      <c r="B4">
        <v>1.4999999999999999E-2</v>
      </c>
      <c r="C4" t="s">
        <v>8</v>
      </c>
    </row>
    <row r="5" spans="1:3">
      <c r="A5" t="s">
        <v>9</v>
      </c>
      <c r="B5">
        <v>9.2999999999999999E-2</v>
      </c>
      <c r="C5" t="s">
        <v>10</v>
      </c>
    </row>
    <row r="6" spans="1:3">
      <c r="A6" t="s">
        <v>11</v>
      </c>
      <c r="B6">
        <v>0.8</v>
      </c>
      <c r="C6" t="s">
        <v>12</v>
      </c>
    </row>
    <row r="7" spans="1:3">
      <c r="A7" s="3" t="s">
        <v>13</v>
      </c>
      <c r="B7" s="3"/>
      <c r="C7" s="3"/>
    </row>
    <row r="8" spans="1:3">
      <c r="A8" t="s">
        <v>14</v>
      </c>
      <c r="B8">
        <f>29000*1.02</f>
        <v>29580</v>
      </c>
      <c r="C8">
        <v>55</v>
      </c>
    </row>
    <row r="9" spans="1:3">
      <c r="A9" t="s">
        <v>15</v>
      </c>
      <c r="B9">
        <f>99400*1.02</f>
        <v>101388</v>
      </c>
      <c r="C9">
        <v>63</v>
      </c>
    </row>
    <row r="10" spans="1:3">
      <c r="A10" t="s">
        <v>16</v>
      </c>
      <c r="B10">
        <f>1350*1.02</f>
        <v>1377</v>
      </c>
      <c r="C10">
        <v>53</v>
      </c>
    </row>
    <row r="11" spans="1:3">
      <c r="A11" t="s">
        <v>17</v>
      </c>
      <c r="B11">
        <f>2800*1.02</f>
        <v>2856</v>
      </c>
      <c r="C11">
        <v>53</v>
      </c>
    </row>
    <row r="12" spans="1:3">
      <c r="A12" t="s">
        <v>18</v>
      </c>
      <c r="B12">
        <f>1540*1.02</f>
        <v>1570.8</v>
      </c>
      <c r="C12" t="s">
        <v>19</v>
      </c>
    </row>
    <row r="13" spans="1:3">
      <c r="A13" t="s">
        <v>20</v>
      </c>
      <c r="B13">
        <f>5400*1.02</f>
        <v>5508</v>
      </c>
      <c r="C13">
        <v>54</v>
      </c>
    </row>
    <row r="14" spans="1:3">
      <c r="A14" s="3" t="s">
        <v>21</v>
      </c>
      <c r="B14" s="3"/>
      <c r="C14" s="3"/>
    </row>
    <row r="15" spans="1:3">
      <c r="A15" t="s">
        <v>11</v>
      </c>
      <c r="B15">
        <v>0.8</v>
      </c>
      <c r="C15" t="s">
        <v>12</v>
      </c>
    </row>
    <row r="16" spans="1:3">
      <c r="A16" t="s">
        <v>22</v>
      </c>
      <c r="B16">
        <v>0.73</v>
      </c>
      <c r="C16" t="s">
        <v>12</v>
      </c>
    </row>
    <row r="17" spans="1:3">
      <c r="A17" t="s">
        <v>23</v>
      </c>
      <c r="B17">
        <v>0.13600000000000001</v>
      </c>
      <c r="C17">
        <v>51</v>
      </c>
    </row>
    <row r="18" spans="1:3">
      <c r="A18" t="s">
        <v>24</v>
      </c>
      <c r="B18">
        <v>0.78</v>
      </c>
      <c r="C18">
        <v>68</v>
      </c>
    </row>
  </sheetData>
  <mergeCells count="2">
    <mergeCell ref="A7:C7"/>
    <mergeCell ref="A14:C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72A6-CA71-4B76-BF45-B314BCC72D66}">
  <dimension ref="A1:C11"/>
  <sheetViews>
    <sheetView workbookViewId="0">
      <selection activeCell="A6" sqref="A6:C7"/>
    </sheetView>
  </sheetViews>
  <sheetFormatPr defaultRowHeight="15"/>
  <cols>
    <col min="1" max="1" width="23.7109375" customWidth="1"/>
    <col min="3" max="3" width="22.85546875" customWidth="1"/>
  </cols>
  <sheetData>
    <row r="1" spans="1:3">
      <c r="A1" t="s">
        <v>0</v>
      </c>
      <c r="B1" t="s">
        <v>21</v>
      </c>
      <c r="C1" t="s">
        <v>2</v>
      </c>
    </row>
    <row r="2" spans="1:3">
      <c r="A2" t="s">
        <v>11</v>
      </c>
      <c r="B2">
        <v>0.8</v>
      </c>
      <c r="C2" t="s">
        <v>12</v>
      </c>
    </row>
    <row r="3" spans="1:3">
      <c r="A3" t="s">
        <v>22</v>
      </c>
      <c r="B3">
        <v>0.73</v>
      </c>
      <c r="C3" t="s">
        <v>12</v>
      </c>
    </row>
    <row r="4" spans="1:3">
      <c r="A4" t="s">
        <v>23</v>
      </c>
      <c r="B4">
        <v>0.13600000000000001</v>
      </c>
      <c r="C4">
        <v>51</v>
      </c>
    </row>
    <row r="5" spans="1:3">
      <c r="A5" t="s">
        <v>24</v>
      </c>
      <c r="B5">
        <v>0.78</v>
      </c>
      <c r="C5">
        <v>68</v>
      </c>
    </row>
    <row r="6" spans="1:3">
      <c r="A6" t="s">
        <v>192</v>
      </c>
      <c r="B6">
        <v>-0.11990000000000001</v>
      </c>
      <c r="C6">
        <v>50</v>
      </c>
    </row>
    <row r="7" spans="1:3">
      <c r="A7" t="s">
        <v>193</v>
      </c>
      <c r="B7">
        <v>-0.2382</v>
      </c>
      <c r="C7" t="s">
        <v>73</v>
      </c>
    </row>
    <row r="8" spans="1:3">
      <c r="A8" t="s">
        <v>114</v>
      </c>
      <c r="B8">
        <v>-1.6E-2</v>
      </c>
      <c r="C8">
        <v>50</v>
      </c>
    </row>
    <row r="9" spans="1:3">
      <c r="A9" t="s">
        <v>194</v>
      </c>
      <c r="B9">
        <v>-9.4399999999999998E-2</v>
      </c>
      <c r="C9" t="s">
        <v>124</v>
      </c>
    </row>
    <row r="10" spans="1:3">
      <c r="A10" t="s">
        <v>178</v>
      </c>
      <c r="B10">
        <v>-1.6E-2</v>
      </c>
      <c r="C10" t="s">
        <v>181</v>
      </c>
    </row>
    <row r="11" spans="1:3">
      <c r="A11" t="s">
        <v>195</v>
      </c>
      <c r="B11">
        <v>-0.14169999999999999</v>
      </c>
      <c r="C1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E741-F9D7-43FA-BD15-37D8928D2AE5}">
  <dimension ref="A1:M28"/>
  <sheetViews>
    <sheetView workbookViewId="0">
      <selection activeCell="C23" sqref="C23"/>
    </sheetView>
  </sheetViews>
  <sheetFormatPr defaultRowHeight="15"/>
  <cols>
    <col min="1" max="1" width="36.85546875" customWidth="1"/>
    <col min="2" max="2" width="13" customWidth="1"/>
    <col min="3" max="3" width="10.42578125" customWidth="1"/>
    <col min="7" max="8" width="13.140625" customWidth="1"/>
    <col min="9" max="9" width="19" customWidth="1"/>
    <col min="10" max="10" width="15.5703125" customWidth="1"/>
    <col min="11" max="12" width="18.28515625" customWidth="1"/>
    <col min="13" max="13" width="11" customWidth="1"/>
  </cols>
  <sheetData>
    <row r="1" spans="1:13">
      <c r="A1" t="s">
        <v>0</v>
      </c>
      <c r="B1" t="s">
        <v>1</v>
      </c>
      <c r="C1" t="s">
        <v>2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31</v>
      </c>
      <c r="B2" t="s">
        <v>32</v>
      </c>
      <c r="G2" t="s">
        <v>33</v>
      </c>
      <c r="H2" t="s">
        <v>34</v>
      </c>
      <c r="I2" s="2">
        <f>0.153/0.5</f>
        <v>0.30599999999999999</v>
      </c>
      <c r="J2">
        <v>85</v>
      </c>
      <c r="K2">
        <v>1.83</v>
      </c>
      <c r="L2">
        <v>2</v>
      </c>
      <c r="M2">
        <f>((I2*J2) + (I3*J3) + (I4*J4) + (I5*J5))*K2*2</f>
        <v>863.49501600000008</v>
      </c>
    </row>
    <row r="3" spans="1:13">
      <c r="A3" t="s">
        <v>35</v>
      </c>
      <c r="B3" t="s">
        <v>36</v>
      </c>
      <c r="G3" t="s">
        <v>37</v>
      </c>
      <c r="H3" t="s">
        <v>38</v>
      </c>
      <c r="I3" s="2">
        <f>2.476/20</f>
        <v>0.12379999999999999</v>
      </c>
      <c r="J3">
        <v>180</v>
      </c>
    </row>
    <row r="4" spans="1:13">
      <c r="A4" t="s">
        <v>39</v>
      </c>
      <c r="B4">
        <v>6</v>
      </c>
      <c r="C4" t="s">
        <v>40</v>
      </c>
      <c r="G4" t="s">
        <v>41</v>
      </c>
      <c r="H4" t="s">
        <v>42</v>
      </c>
      <c r="I4">
        <f>3.329/50</f>
        <v>6.658E-2</v>
      </c>
      <c r="J4">
        <v>2800</v>
      </c>
    </row>
    <row r="5" spans="1:13">
      <c r="A5" t="s">
        <v>43</v>
      </c>
      <c r="B5">
        <v>0.35</v>
      </c>
      <c r="C5" t="s">
        <v>44</v>
      </c>
      <c r="G5" t="s">
        <v>45</v>
      </c>
      <c r="H5" t="s">
        <v>46</v>
      </c>
      <c r="I5" s="2">
        <f>1.512/500</f>
        <v>3.0240000000000002E-3</v>
      </c>
      <c r="J5">
        <v>400</v>
      </c>
    </row>
    <row r="6" spans="1:13">
      <c r="A6" t="s">
        <v>47</v>
      </c>
      <c r="B6">
        <v>0.75</v>
      </c>
      <c r="C6" t="s">
        <v>48</v>
      </c>
    </row>
    <row r="7" spans="1:13">
      <c r="A7" t="s">
        <v>49</v>
      </c>
      <c r="B7">
        <v>6</v>
      </c>
      <c r="C7" t="s">
        <v>40</v>
      </c>
    </row>
    <row r="8" spans="1:13">
      <c r="A8" t="s">
        <v>50</v>
      </c>
      <c r="B8">
        <v>0.36</v>
      </c>
      <c r="C8">
        <v>4</v>
      </c>
    </row>
    <row r="9" spans="1:13">
      <c r="A9" t="s">
        <v>51</v>
      </c>
      <c r="B9">
        <v>0.05</v>
      </c>
      <c r="C9">
        <v>4</v>
      </c>
    </row>
    <row r="10" spans="1:13">
      <c r="A10" t="s">
        <v>52</v>
      </c>
      <c r="B10">
        <v>0.84899999999999998</v>
      </c>
      <c r="C10" t="s">
        <v>40</v>
      </c>
    </row>
    <row r="11" spans="1:13">
      <c r="A11" t="s">
        <v>53</v>
      </c>
      <c r="B11">
        <v>0.61399999999999999</v>
      </c>
      <c r="C11" t="s">
        <v>40</v>
      </c>
    </row>
    <row r="12" spans="1:13">
      <c r="A12" t="s">
        <v>54</v>
      </c>
      <c r="B12">
        <v>0.36799999999999999</v>
      </c>
      <c r="C12" t="s">
        <v>40</v>
      </c>
    </row>
    <row r="13" spans="1:13">
      <c r="A13" t="s">
        <v>55</v>
      </c>
      <c r="B13">
        <v>0.56200000000000006</v>
      </c>
      <c r="C13" t="s">
        <v>40</v>
      </c>
    </row>
    <row r="14" spans="1:13">
      <c r="A14" t="s">
        <v>56</v>
      </c>
      <c r="B14">
        <v>21</v>
      </c>
      <c r="C14" t="s">
        <v>57</v>
      </c>
    </row>
    <row r="15" spans="1:13">
      <c r="A15" t="s">
        <v>58</v>
      </c>
      <c r="B15">
        <v>17</v>
      </c>
      <c r="C15" t="s">
        <v>57</v>
      </c>
    </row>
    <row r="16" spans="1:13">
      <c r="A16" t="s">
        <v>59</v>
      </c>
      <c r="B16">
        <v>22</v>
      </c>
      <c r="C16" t="s">
        <v>57</v>
      </c>
    </row>
    <row r="17" spans="1:3">
      <c r="A17" t="s">
        <v>60</v>
      </c>
      <c r="B17">
        <v>18</v>
      </c>
      <c r="C17" t="s">
        <v>57</v>
      </c>
    </row>
    <row r="18" spans="1:3">
      <c r="A18" t="s">
        <v>61</v>
      </c>
      <c r="B18">
        <v>9</v>
      </c>
      <c r="C18" t="s">
        <v>62</v>
      </c>
    </row>
    <row r="19" spans="1:3">
      <c r="A19" s="3" t="s">
        <v>13</v>
      </c>
      <c r="B19" s="3"/>
      <c r="C19" s="3"/>
    </row>
    <row r="20" spans="1:3">
      <c r="A20" t="s">
        <v>63</v>
      </c>
      <c r="B20">
        <f>M2</f>
        <v>863.49501600000008</v>
      </c>
      <c r="C20">
        <v>62</v>
      </c>
    </row>
    <row r="21" spans="1:3">
      <c r="A21" t="s">
        <v>64</v>
      </c>
      <c r="B21">
        <f>1700*1.02</f>
        <v>1734</v>
      </c>
      <c r="C21" t="s">
        <v>65</v>
      </c>
    </row>
    <row r="22" spans="1:3">
      <c r="A22" t="s">
        <v>66</v>
      </c>
      <c r="B22">
        <f>12950*1.02</f>
        <v>13209</v>
      </c>
      <c r="C22">
        <v>64</v>
      </c>
    </row>
    <row r="23" spans="1:3">
      <c r="A23" t="s">
        <v>67</v>
      </c>
      <c r="B23">
        <f>6456*1.05</f>
        <v>6778.8</v>
      </c>
      <c r="C23" t="s">
        <v>68</v>
      </c>
    </row>
    <row r="24" spans="1:3">
      <c r="A24" t="s">
        <v>69</v>
      </c>
      <c r="B24">
        <f>531*1.09</f>
        <v>578.79000000000008</v>
      </c>
      <c r="C24" t="s">
        <v>70</v>
      </c>
    </row>
    <row r="26" spans="1:3">
      <c r="A26" s="3" t="s">
        <v>21</v>
      </c>
      <c r="B26" s="3"/>
      <c r="C26" s="3"/>
    </row>
    <row r="27" spans="1:3">
      <c r="A27" t="s">
        <v>71</v>
      </c>
      <c r="B27">
        <v>-0.11990000000000001</v>
      </c>
      <c r="C27">
        <v>50</v>
      </c>
    </row>
    <row r="28" spans="1:3">
      <c r="A28" t="s">
        <v>72</v>
      </c>
      <c r="B28">
        <v>-0.2382</v>
      </c>
      <c r="C28" t="s">
        <v>73</v>
      </c>
    </row>
  </sheetData>
  <mergeCells count="2">
    <mergeCell ref="A19:C19"/>
    <mergeCell ref="A26:C2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84DC-E934-4CB0-8A7F-B99DB33F5E0D}">
  <dimension ref="A1:M27"/>
  <sheetViews>
    <sheetView workbookViewId="0">
      <selection activeCell="C28" sqref="C28"/>
    </sheetView>
  </sheetViews>
  <sheetFormatPr defaultRowHeight="15"/>
  <cols>
    <col min="1" max="1" width="43" customWidth="1"/>
    <col min="2" max="2" width="16.7109375" customWidth="1"/>
    <col min="3" max="3" width="11.140625" customWidth="1"/>
    <col min="7" max="8" width="15.7109375" customWidth="1"/>
    <col min="9" max="9" width="12" customWidth="1"/>
    <col min="10" max="11" width="12.5703125" customWidth="1"/>
    <col min="12" max="12" width="12" customWidth="1"/>
  </cols>
  <sheetData>
    <row r="1" spans="1:13">
      <c r="A1" t="s">
        <v>0</v>
      </c>
      <c r="B1" t="s">
        <v>1</v>
      </c>
      <c r="C1" t="s">
        <v>2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30</v>
      </c>
    </row>
    <row r="2" spans="1:13">
      <c r="A2" t="s">
        <v>31</v>
      </c>
      <c r="B2" t="s">
        <v>79</v>
      </c>
      <c r="G2" t="s">
        <v>80</v>
      </c>
      <c r="H2" t="s">
        <v>81</v>
      </c>
      <c r="I2">
        <f>4.516/200</f>
        <v>2.2579999999999999E-2</v>
      </c>
      <c r="J2">
        <v>1000</v>
      </c>
      <c r="K2">
        <v>3</v>
      </c>
      <c r="L2">
        <v>1.86</v>
      </c>
      <c r="M2">
        <f>((I2*J2) + (I3*J3))*L2*K2</f>
        <v>8882.4114000000009</v>
      </c>
    </row>
    <row r="3" spans="1:13">
      <c r="A3" t="s">
        <v>35</v>
      </c>
      <c r="B3" t="s">
        <v>36</v>
      </c>
      <c r="G3" t="s">
        <v>82</v>
      </c>
      <c r="H3" t="s">
        <v>83</v>
      </c>
      <c r="I3">
        <v>12.554</v>
      </c>
      <c r="J3">
        <v>125</v>
      </c>
    </row>
    <row r="4" spans="1:13">
      <c r="A4" t="s">
        <v>39</v>
      </c>
      <c r="B4">
        <v>6</v>
      </c>
      <c r="C4" t="s">
        <v>84</v>
      </c>
    </row>
    <row r="5" spans="1:13">
      <c r="A5" t="s">
        <v>43</v>
      </c>
      <c r="B5">
        <v>0.31</v>
      </c>
      <c r="C5" t="s">
        <v>85</v>
      </c>
      <c r="H5" t="s">
        <v>86</v>
      </c>
      <c r="I5" t="s">
        <v>87</v>
      </c>
      <c r="J5" t="s">
        <v>75</v>
      </c>
      <c r="K5" t="s">
        <v>88</v>
      </c>
      <c r="L5" t="s">
        <v>89</v>
      </c>
      <c r="M5" t="s">
        <v>90</v>
      </c>
    </row>
    <row r="6" spans="1:13">
      <c r="A6" t="s">
        <v>47</v>
      </c>
      <c r="B6">
        <v>0.65</v>
      </c>
      <c r="C6" t="s">
        <v>85</v>
      </c>
      <c r="G6" t="s">
        <v>91</v>
      </c>
      <c r="H6">
        <v>3.0000000000000001E-3</v>
      </c>
      <c r="I6">
        <v>-6.9000000000000006E-2</v>
      </c>
      <c r="J6">
        <v>207.37</v>
      </c>
      <c r="K6">
        <f>J6*1.1</f>
        <v>228.10700000000003</v>
      </c>
      <c r="L6">
        <f>H6*I6</f>
        <v>-2.0700000000000002E-4</v>
      </c>
      <c r="M6">
        <f>H6*K6</f>
        <v>0.68432100000000007</v>
      </c>
    </row>
    <row r="7" spans="1:13">
      <c r="A7" t="s">
        <v>49</v>
      </c>
      <c r="B7">
        <v>6</v>
      </c>
      <c r="C7" t="s">
        <v>84</v>
      </c>
      <c r="G7" t="s">
        <v>92</v>
      </c>
      <c r="H7">
        <v>6.0000000000000001E-3</v>
      </c>
      <c r="I7">
        <v>-0.11899999999999999</v>
      </c>
      <c r="J7">
        <v>469.21</v>
      </c>
      <c r="K7">
        <f t="shared" ref="K7:K26" si="0">J7*1.1</f>
        <v>516.13099999999997</v>
      </c>
      <c r="L7">
        <f t="shared" ref="L7:L26" si="1">H7*I7</f>
        <v>-7.1400000000000001E-4</v>
      </c>
      <c r="M7">
        <f t="shared" ref="M7:M26" si="2">H7*K7</f>
        <v>3.0967859999999998</v>
      </c>
    </row>
    <row r="8" spans="1:13">
      <c r="A8" t="s">
        <v>50</v>
      </c>
      <c r="B8">
        <v>0.22700000000000001</v>
      </c>
      <c r="C8" t="s">
        <v>84</v>
      </c>
      <c r="G8" t="s">
        <v>93</v>
      </c>
      <c r="H8">
        <v>3.0000000000000001E-3</v>
      </c>
      <c r="I8">
        <v>-0.20399999999999999</v>
      </c>
      <c r="J8">
        <v>125.81</v>
      </c>
      <c r="K8">
        <f t="shared" si="0"/>
        <v>138.39100000000002</v>
      </c>
      <c r="L8">
        <f t="shared" si="1"/>
        <v>-6.1200000000000002E-4</v>
      </c>
      <c r="M8">
        <f t="shared" si="2"/>
        <v>0.41517300000000007</v>
      </c>
    </row>
    <row r="9" spans="1:13">
      <c r="A9" t="s">
        <v>51</v>
      </c>
      <c r="B9">
        <v>0</v>
      </c>
      <c r="C9" t="s">
        <v>84</v>
      </c>
      <c r="G9" t="s">
        <v>94</v>
      </c>
      <c r="H9">
        <v>1E-3</v>
      </c>
      <c r="I9">
        <v>-0.44</v>
      </c>
      <c r="J9">
        <v>0</v>
      </c>
      <c r="K9">
        <f t="shared" si="0"/>
        <v>0</v>
      </c>
      <c r="L9">
        <f t="shared" si="1"/>
        <v>-4.4000000000000002E-4</v>
      </c>
      <c r="M9">
        <f t="shared" si="2"/>
        <v>0</v>
      </c>
    </row>
    <row r="10" spans="1:13">
      <c r="A10" t="s">
        <v>52</v>
      </c>
      <c r="B10">
        <v>0.81</v>
      </c>
      <c r="C10" t="s">
        <v>85</v>
      </c>
      <c r="G10" t="s">
        <v>95</v>
      </c>
      <c r="H10">
        <v>3.0000000000000001E-3</v>
      </c>
      <c r="I10">
        <v>-0.26100000000000001</v>
      </c>
      <c r="J10">
        <v>78.53</v>
      </c>
      <c r="K10">
        <f t="shared" si="0"/>
        <v>86.38300000000001</v>
      </c>
      <c r="L10">
        <f t="shared" si="1"/>
        <v>-7.8300000000000006E-4</v>
      </c>
      <c r="M10">
        <f t="shared" si="2"/>
        <v>0.25914900000000002</v>
      </c>
    </row>
    <row r="11" spans="1:13">
      <c r="A11" t="s">
        <v>53</v>
      </c>
      <c r="B11">
        <v>0.52600000000000002</v>
      </c>
      <c r="C11" t="s">
        <v>85</v>
      </c>
      <c r="G11" t="s">
        <v>96</v>
      </c>
      <c r="H11">
        <v>4.0000000000000001E-3</v>
      </c>
      <c r="I11">
        <v>0</v>
      </c>
      <c r="J11">
        <v>78.53</v>
      </c>
      <c r="K11">
        <f t="shared" si="0"/>
        <v>86.38300000000001</v>
      </c>
      <c r="L11">
        <f t="shared" si="1"/>
        <v>0</v>
      </c>
      <c r="M11">
        <f t="shared" si="2"/>
        <v>0.34553200000000006</v>
      </c>
    </row>
    <row r="12" spans="1:13">
      <c r="A12" t="s">
        <v>54</v>
      </c>
      <c r="B12">
        <v>0.247</v>
      </c>
      <c r="C12" t="s">
        <v>85</v>
      </c>
      <c r="G12" t="s">
        <v>97</v>
      </c>
      <c r="H12">
        <v>8.9999999999999993E-3</v>
      </c>
      <c r="I12">
        <v>-0.20399999999999999</v>
      </c>
      <c r="J12">
        <v>125.81</v>
      </c>
      <c r="K12">
        <f t="shared" si="0"/>
        <v>138.39100000000002</v>
      </c>
      <c r="L12">
        <f t="shared" si="1"/>
        <v>-1.8359999999999997E-3</v>
      </c>
      <c r="M12">
        <f t="shared" si="2"/>
        <v>1.245519</v>
      </c>
    </row>
    <row r="13" spans="1:13">
      <c r="A13" t="s">
        <v>55</v>
      </c>
      <c r="B13">
        <v>0.71699999999999997</v>
      </c>
      <c r="C13" t="s">
        <v>84</v>
      </c>
      <c r="G13" t="s">
        <v>98</v>
      </c>
      <c r="H13">
        <v>1E-3</v>
      </c>
      <c r="I13">
        <v>-0.15</v>
      </c>
      <c r="J13">
        <v>1027.99</v>
      </c>
      <c r="K13">
        <f t="shared" si="0"/>
        <v>1130.7890000000002</v>
      </c>
      <c r="L13">
        <f t="shared" si="1"/>
        <v>-1.4999999999999999E-4</v>
      </c>
      <c r="M13">
        <f t="shared" si="2"/>
        <v>1.1307890000000003</v>
      </c>
    </row>
    <row r="14" spans="1:13">
      <c r="A14" t="s">
        <v>56</v>
      </c>
      <c r="B14">
        <v>18.7</v>
      </c>
      <c r="C14" t="s">
        <v>84</v>
      </c>
      <c r="G14" t="s">
        <v>99</v>
      </c>
      <c r="H14">
        <v>1E-3</v>
      </c>
      <c r="I14">
        <v>-0.20399999999999999</v>
      </c>
      <c r="J14">
        <v>0</v>
      </c>
      <c r="K14">
        <f t="shared" si="0"/>
        <v>0</v>
      </c>
      <c r="L14">
        <f t="shared" si="1"/>
        <v>-2.04E-4</v>
      </c>
      <c r="M14">
        <f t="shared" si="2"/>
        <v>0</v>
      </c>
    </row>
    <row r="15" spans="1:13">
      <c r="A15" t="s">
        <v>58</v>
      </c>
      <c r="B15">
        <v>16</v>
      </c>
      <c r="C15" t="s">
        <v>84</v>
      </c>
      <c r="G15" t="s">
        <v>100</v>
      </c>
      <c r="H15">
        <v>3.0000000000000001E-3</v>
      </c>
      <c r="I15">
        <v>0</v>
      </c>
      <c r="J15">
        <v>0</v>
      </c>
      <c r="K15">
        <f t="shared" si="0"/>
        <v>0</v>
      </c>
      <c r="L15">
        <f t="shared" si="1"/>
        <v>0</v>
      </c>
      <c r="M15">
        <f t="shared" si="2"/>
        <v>0</v>
      </c>
    </row>
    <row r="16" spans="1:13">
      <c r="A16" t="s">
        <v>59</v>
      </c>
      <c r="B16">
        <v>20</v>
      </c>
      <c r="C16" t="s">
        <v>84</v>
      </c>
      <c r="G16" t="s">
        <v>101</v>
      </c>
      <c r="H16">
        <v>4.0000000000000001E-3</v>
      </c>
      <c r="I16">
        <v>-0.09</v>
      </c>
      <c r="J16">
        <v>205.4</v>
      </c>
      <c r="K16">
        <f t="shared" si="0"/>
        <v>225.94000000000003</v>
      </c>
      <c r="L16">
        <f t="shared" si="1"/>
        <v>-3.5999999999999997E-4</v>
      </c>
      <c r="M16">
        <f t="shared" si="2"/>
        <v>0.90376000000000012</v>
      </c>
    </row>
    <row r="17" spans="1:13">
      <c r="A17" t="s">
        <v>60</v>
      </c>
      <c r="B17">
        <v>16</v>
      </c>
      <c r="C17" t="s">
        <v>84</v>
      </c>
      <c r="G17" t="s">
        <v>102</v>
      </c>
      <c r="H17">
        <v>3.0000000000000001E-3</v>
      </c>
      <c r="I17">
        <v>-0.44</v>
      </c>
      <c r="J17">
        <v>4.29</v>
      </c>
      <c r="K17">
        <f t="shared" si="0"/>
        <v>4.7190000000000003</v>
      </c>
      <c r="L17">
        <f t="shared" si="1"/>
        <v>-1.32E-3</v>
      </c>
      <c r="M17">
        <f t="shared" si="2"/>
        <v>1.4157000000000001E-2</v>
      </c>
    </row>
    <row r="18" spans="1:13">
      <c r="A18" t="s">
        <v>61</v>
      </c>
      <c r="B18">
        <v>9</v>
      </c>
      <c r="C18" t="s">
        <v>62</v>
      </c>
      <c r="G18" t="s">
        <v>103</v>
      </c>
      <c r="H18">
        <v>1.6E-2</v>
      </c>
      <c r="I18">
        <v>-4.8000000000000001E-2</v>
      </c>
      <c r="J18">
        <v>205.4</v>
      </c>
      <c r="K18">
        <f t="shared" si="0"/>
        <v>225.94000000000003</v>
      </c>
      <c r="L18">
        <f t="shared" si="1"/>
        <v>-7.6800000000000002E-4</v>
      </c>
      <c r="M18">
        <f t="shared" si="2"/>
        <v>3.6150400000000005</v>
      </c>
    </row>
    <row r="19" spans="1:13">
      <c r="A19" s="3" t="s">
        <v>13</v>
      </c>
      <c r="B19" s="3"/>
      <c r="C19" s="3"/>
      <c r="G19" t="s">
        <v>104</v>
      </c>
      <c r="H19">
        <v>4.0000000000000001E-3</v>
      </c>
      <c r="I19">
        <v>-0.09</v>
      </c>
      <c r="J19">
        <v>21.66</v>
      </c>
      <c r="K19">
        <f t="shared" si="0"/>
        <v>23.826000000000001</v>
      </c>
      <c r="L19">
        <f t="shared" si="1"/>
        <v>-3.5999999999999997E-4</v>
      </c>
      <c r="M19">
        <f t="shared" si="2"/>
        <v>9.5304E-2</v>
      </c>
    </row>
    <row r="20" spans="1:13">
      <c r="A20" t="s">
        <v>63</v>
      </c>
      <c r="B20">
        <f>M2</f>
        <v>8882.4114000000009</v>
      </c>
      <c r="C20" t="s">
        <v>105</v>
      </c>
      <c r="G20" t="s">
        <v>106</v>
      </c>
      <c r="H20">
        <v>4.0000000000000001E-3</v>
      </c>
      <c r="I20">
        <v>-0.113</v>
      </c>
      <c r="J20">
        <v>21.66</v>
      </c>
      <c r="K20">
        <f t="shared" si="0"/>
        <v>23.826000000000001</v>
      </c>
      <c r="L20">
        <f t="shared" si="1"/>
        <v>-4.5200000000000004E-4</v>
      </c>
      <c r="M20">
        <f t="shared" si="2"/>
        <v>9.5304E-2</v>
      </c>
    </row>
    <row r="21" spans="1:13">
      <c r="A21" t="s">
        <v>64</v>
      </c>
      <c r="B21">
        <f>900*1.02</f>
        <v>918</v>
      </c>
      <c r="C21" t="s">
        <v>107</v>
      </c>
      <c r="G21" t="s">
        <v>108</v>
      </c>
      <c r="H21">
        <v>2E-3</v>
      </c>
      <c r="I21">
        <v>-0.113</v>
      </c>
      <c r="J21">
        <v>314.16000000000003</v>
      </c>
      <c r="K21">
        <f t="shared" si="0"/>
        <v>345.57600000000008</v>
      </c>
      <c r="L21">
        <f t="shared" si="1"/>
        <v>-2.2600000000000002E-4</v>
      </c>
      <c r="M21">
        <f t="shared" si="2"/>
        <v>0.69115200000000021</v>
      </c>
    </row>
    <row r="22" spans="1:13">
      <c r="A22" t="s">
        <v>66</v>
      </c>
      <c r="B22">
        <v>4080</v>
      </c>
      <c r="C22">
        <v>64</v>
      </c>
      <c r="G22" t="s">
        <v>109</v>
      </c>
      <c r="H22">
        <v>2E-3</v>
      </c>
      <c r="I22">
        <v>-0.37</v>
      </c>
      <c r="J22">
        <v>3804.09</v>
      </c>
      <c r="K22">
        <f t="shared" si="0"/>
        <v>4184.4990000000007</v>
      </c>
      <c r="L22">
        <f t="shared" si="1"/>
        <v>-7.3999999999999999E-4</v>
      </c>
      <c r="M22">
        <f t="shared" si="2"/>
        <v>8.3689980000000013</v>
      </c>
    </row>
    <row r="23" spans="1:13">
      <c r="A23" t="s">
        <v>67</v>
      </c>
      <c r="B23">
        <f>1995*1.05</f>
        <v>2094.75</v>
      </c>
      <c r="C23" t="s">
        <v>68</v>
      </c>
    </row>
    <row r="24" spans="1:13">
      <c r="A24" t="s">
        <v>69</v>
      </c>
      <c r="B24">
        <f>522*1.09</f>
        <v>568.98</v>
      </c>
      <c r="C24" t="s">
        <v>110</v>
      </c>
    </row>
    <row r="25" spans="1:13">
      <c r="A25" s="3" t="s">
        <v>21</v>
      </c>
      <c r="B25" s="3"/>
      <c r="C25" s="3"/>
      <c r="G25" t="s">
        <v>111</v>
      </c>
      <c r="H25">
        <v>6.0000000000000001E-3</v>
      </c>
      <c r="I25">
        <v>-0.108</v>
      </c>
      <c r="J25">
        <v>145.72</v>
      </c>
      <c r="K25">
        <f t="shared" si="0"/>
        <v>160.292</v>
      </c>
      <c r="L25">
        <f t="shared" si="1"/>
        <v>-6.4800000000000003E-4</v>
      </c>
      <c r="M25">
        <f t="shared" si="2"/>
        <v>0.96175200000000005</v>
      </c>
    </row>
    <row r="26" spans="1:13">
      <c r="A26" t="s">
        <v>71</v>
      </c>
      <c r="B26">
        <v>-4.0500000000000001E-2</v>
      </c>
      <c r="C26" t="s">
        <v>107</v>
      </c>
      <c r="G26" t="s">
        <v>112</v>
      </c>
      <c r="H26">
        <v>3.0000000000000001E-3</v>
      </c>
      <c r="I26">
        <v>-0.10299999999999999</v>
      </c>
      <c r="J26">
        <v>121.85</v>
      </c>
      <c r="K26">
        <f t="shared" si="0"/>
        <v>134.035</v>
      </c>
      <c r="L26">
        <f t="shared" si="1"/>
        <v>-3.0899999999999998E-4</v>
      </c>
      <c r="M26">
        <f t="shared" si="2"/>
        <v>0.40210499999999999</v>
      </c>
    </row>
    <row r="27" spans="1:13">
      <c r="A27" t="s">
        <v>72</v>
      </c>
      <c r="B27">
        <v>-0.10100000000000001</v>
      </c>
      <c r="C27" t="s">
        <v>107</v>
      </c>
      <c r="G27" t="s">
        <v>113</v>
      </c>
      <c r="H27">
        <f>SUM(H6:H26)</f>
        <v>7.8000000000000028E-2</v>
      </c>
      <c r="I27">
        <f>SUM(I6:I26)</f>
        <v>-3.1260000000000003</v>
      </c>
      <c r="K27">
        <f>SUM(K6:K26)</f>
        <v>7653.2280000000019</v>
      </c>
      <c r="L27">
        <f>SUM(L6:L26)</f>
        <v>-1.0128999999999999E-2</v>
      </c>
      <c r="M27">
        <f>SUM(M6:M26)</f>
        <v>22.324841000000003</v>
      </c>
    </row>
  </sheetData>
  <mergeCells count="2">
    <mergeCell ref="A19:C19"/>
    <mergeCell ref="A25:C2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979C-07BD-4B3B-AD0E-ADB16DA11FEF}">
  <dimension ref="A1:N27"/>
  <sheetViews>
    <sheetView workbookViewId="0">
      <selection activeCell="C22" sqref="C22"/>
    </sheetView>
  </sheetViews>
  <sheetFormatPr defaultRowHeight="15"/>
  <cols>
    <col min="1" max="1" width="33.28515625" customWidth="1"/>
    <col min="3" max="3" width="24.42578125" customWidth="1"/>
  </cols>
  <sheetData>
    <row r="1" spans="1:14">
      <c r="A1" t="s">
        <v>0</v>
      </c>
      <c r="B1" t="s">
        <v>1</v>
      </c>
      <c r="C1" t="s">
        <v>2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30</v>
      </c>
    </row>
    <row r="2" spans="1:14">
      <c r="A2" t="s">
        <v>31</v>
      </c>
      <c r="B2" t="s">
        <v>114</v>
      </c>
      <c r="H2" t="s">
        <v>80</v>
      </c>
      <c r="I2" t="s">
        <v>81</v>
      </c>
      <c r="J2">
        <f>4.516/200</f>
        <v>2.2579999999999999E-2</v>
      </c>
      <c r="K2">
        <v>1000</v>
      </c>
      <c r="L2">
        <v>3</v>
      </c>
      <c r="M2">
        <v>1.86</v>
      </c>
      <c r="N2">
        <f>((J2*K2) + (J3*K3))*M2*L2</f>
        <v>125.99639999999999</v>
      </c>
    </row>
    <row r="3" spans="1:14">
      <c r="A3" t="s">
        <v>35</v>
      </c>
      <c r="B3" t="s">
        <v>115</v>
      </c>
    </row>
    <row r="4" spans="1:14">
      <c r="A4" t="s">
        <v>39</v>
      </c>
      <c r="B4">
        <v>6</v>
      </c>
      <c r="C4" t="s">
        <v>116</v>
      </c>
    </row>
    <row r="5" spans="1:14">
      <c r="A5" t="s">
        <v>43</v>
      </c>
      <c r="B5">
        <v>0.37</v>
      </c>
      <c r="C5" t="s">
        <v>117</v>
      </c>
    </row>
    <row r="6" spans="1:14">
      <c r="A6" t="s">
        <v>47</v>
      </c>
      <c r="B6">
        <v>0.53549999999999998</v>
      </c>
      <c r="C6" t="s">
        <v>118</v>
      </c>
    </row>
    <row r="7" spans="1:14">
      <c r="A7" t="s">
        <v>49</v>
      </c>
      <c r="B7">
        <v>6</v>
      </c>
      <c r="C7" t="s">
        <v>116</v>
      </c>
    </row>
    <row r="8" spans="1:14">
      <c r="A8" t="s">
        <v>50</v>
      </c>
      <c r="B8">
        <v>0.36</v>
      </c>
      <c r="C8" t="s">
        <v>119</v>
      </c>
    </row>
    <row r="9" spans="1:14">
      <c r="A9" t="s">
        <v>51</v>
      </c>
      <c r="B9">
        <v>0.15</v>
      </c>
      <c r="C9" t="s">
        <v>119</v>
      </c>
    </row>
    <row r="10" spans="1:14">
      <c r="A10" t="s">
        <v>52</v>
      </c>
      <c r="B10">
        <v>0.86</v>
      </c>
      <c r="C10" t="s">
        <v>120</v>
      </c>
    </row>
    <row r="11" spans="1:14">
      <c r="A11" t="s">
        <v>53</v>
      </c>
      <c r="B11">
        <v>0.31</v>
      </c>
      <c r="C11" t="s">
        <v>121</v>
      </c>
    </row>
    <row r="12" spans="1:14">
      <c r="A12" t="s">
        <v>54</v>
      </c>
      <c r="B12">
        <v>3.9550000000000002E-2</v>
      </c>
      <c r="C12" t="s">
        <v>118</v>
      </c>
    </row>
    <row r="13" spans="1:14">
      <c r="A13" t="s">
        <v>55</v>
      </c>
      <c r="B13">
        <v>0.78600000000000003</v>
      </c>
      <c r="C13" t="s">
        <v>122</v>
      </c>
    </row>
    <row r="14" spans="1:14">
      <c r="A14" t="s">
        <v>56</v>
      </c>
      <c r="B14">
        <v>12</v>
      </c>
      <c r="C14" t="s">
        <v>117</v>
      </c>
    </row>
    <row r="15" spans="1:14">
      <c r="A15" t="s">
        <v>58</v>
      </c>
      <c r="B15">
        <v>9</v>
      </c>
      <c r="C15" t="s">
        <v>117</v>
      </c>
    </row>
    <row r="16" spans="1:14">
      <c r="A16" t="s">
        <v>59</v>
      </c>
      <c r="B16">
        <v>12</v>
      </c>
      <c r="C16" t="s">
        <v>117</v>
      </c>
    </row>
    <row r="17" spans="1:3">
      <c r="A17" t="s">
        <v>60</v>
      </c>
      <c r="B17">
        <v>9</v>
      </c>
      <c r="C17" t="s">
        <v>117</v>
      </c>
    </row>
    <row r="18" spans="1:3">
      <c r="A18" t="s">
        <v>61</v>
      </c>
      <c r="B18">
        <v>11</v>
      </c>
      <c r="C18" t="s">
        <v>123</v>
      </c>
    </row>
    <row r="19" spans="1:3">
      <c r="A19" s="3" t="s">
        <v>13</v>
      </c>
      <c r="B19" s="3"/>
      <c r="C19" s="3"/>
    </row>
    <row r="20" spans="1:3">
      <c r="A20" t="s">
        <v>63</v>
      </c>
      <c r="B20">
        <f>N2</f>
        <v>125.99639999999999</v>
      </c>
      <c r="C20">
        <v>62</v>
      </c>
    </row>
    <row r="21" spans="1:3">
      <c r="A21" t="s">
        <v>64</v>
      </c>
      <c r="B21">
        <f>600*1.02</f>
        <v>612</v>
      </c>
      <c r="C21" t="s">
        <v>65</v>
      </c>
    </row>
    <row r="22" spans="1:3">
      <c r="A22" t="s">
        <v>66</v>
      </c>
      <c r="B22">
        <f>4000*1.02</f>
        <v>4080</v>
      </c>
      <c r="C22">
        <v>64</v>
      </c>
    </row>
    <row r="23" spans="1:3">
      <c r="A23" t="s">
        <v>67</v>
      </c>
      <c r="B23">
        <f>1032*1.09</f>
        <v>1124.8800000000001</v>
      </c>
      <c r="C23" t="s">
        <v>110</v>
      </c>
    </row>
    <row r="24" spans="1:3">
      <c r="A24" t="s">
        <v>69</v>
      </c>
      <c r="B24">
        <f>522*1.09</f>
        <v>568.98</v>
      </c>
      <c r="C24" t="s">
        <v>110</v>
      </c>
    </row>
    <row r="25" spans="1:3">
      <c r="A25" s="3" t="s">
        <v>21</v>
      </c>
      <c r="B25" s="3"/>
      <c r="C25" s="3"/>
    </row>
    <row r="26" spans="1:3">
      <c r="A26" t="s">
        <v>71</v>
      </c>
      <c r="B26">
        <v>-1.6E-2</v>
      </c>
      <c r="C26">
        <v>50</v>
      </c>
    </row>
    <row r="27" spans="1:3">
      <c r="A27" t="s">
        <v>72</v>
      </c>
      <c r="B27">
        <v>-9.4399999999999998E-2</v>
      </c>
      <c r="C27" t="s">
        <v>124</v>
      </c>
    </row>
  </sheetData>
  <mergeCells count="2">
    <mergeCell ref="A19:C19"/>
    <mergeCell ref="A25:C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CC6B-95DC-4645-BA4C-1216058BC196}">
  <dimension ref="A1:B42"/>
  <sheetViews>
    <sheetView topLeftCell="A17" workbookViewId="0">
      <selection activeCell="B12" sqref="B12"/>
    </sheetView>
  </sheetViews>
  <sheetFormatPr defaultRowHeight="15"/>
  <cols>
    <col min="1" max="1" width="11.5703125" customWidth="1"/>
    <col min="2" max="2" width="45.42578125" customWidth="1"/>
  </cols>
  <sheetData>
    <row r="1" spans="1:2">
      <c r="A1" t="s">
        <v>125</v>
      </c>
      <c r="B1" t="s">
        <v>126</v>
      </c>
    </row>
    <row r="2" spans="1:2" ht="75">
      <c r="A2">
        <v>4</v>
      </c>
      <c r="B2" s="1" t="s">
        <v>127</v>
      </c>
    </row>
    <row r="3" spans="1:2" ht="75">
      <c r="A3">
        <v>12</v>
      </c>
      <c r="B3" s="1" t="s">
        <v>128</v>
      </c>
    </row>
    <row r="4" spans="1:2" ht="75">
      <c r="A4">
        <v>14</v>
      </c>
      <c r="B4" s="1" t="s">
        <v>129</v>
      </c>
    </row>
    <row r="5" spans="1:2" ht="75">
      <c r="A5">
        <v>15</v>
      </c>
      <c r="B5" s="1" t="s">
        <v>130</v>
      </c>
    </row>
    <row r="6" spans="1:2" ht="45">
      <c r="A6">
        <v>16</v>
      </c>
      <c r="B6" s="1" t="s">
        <v>131</v>
      </c>
    </row>
    <row r="7" spans="1:2" ht="75">
      <c r="A7">
        <v>18</v>
      </c>
      <c r="B7" s="1" t="s">
        <v>132</v>
      </c>
    </row>
    <row r="8" spans="1:2" ht="75">
      <c r="A8">
        <v>21</v>
      </c>
      <c r="B8" s="1" t="s">
        <v>133</v>
      </c>
    </row>
    <row r="9" spans="1:2" ht="60">
      <c r="A9">
        <v>22</v>
      </c>
      <c r="B9" s="1" t="s">
        <v>134</v>
      </c>
    </row>
    <row r="10" spans="1:2" ht="75">
      <c r="A10">
        <v>23</v>
      </c>
      <c r="B10" s="1" t="s">
        <v>135</v>
      </c>
    </row>
    <row r="11" spans="1:2" ht="60">
      <c r="A11">
        <v>24</v>
      </c>
      <c r="B11" s="1" t="s">
        <v>136</v>
      </c>
    </row>
    <row r="12" spans="1:2" ht="75">
      <c r="A12">
        <v>25</v>
      </c>
      <c r="B12" s="1" t="s">
        <v>137</v>
      </c>
    </row>
    <row r="13" spans="1:2" ht="75">
      <c r="A13">
        <v>30</v>
      </c>
      <c r="B13" s="1" t="s">
        <v>138</v>
      </c>
    </row>
    <row r="14" spans="1:2" ht="60">
      <c r="A14">
        <v>31</v>
      </c>
      <c r="B14" s="1" t="s">
        <v>139</v>
      </c>
    </row>
    <row r="15" spans="1:2" ht="75">
      <c r="A15">
        <v>32</v>
      </c>
      <c r="B15" s="1" t="s">
        <v>140</v>
      </c>
    </row>
    <row r="16" spans="1:2" ht="75">
      <c r="A16">
        <v>38</v>
      </c>
      <c r="B16" s="1" t="s">
        <v>141</v>
      </c>
    </row>
    <row r="17" spans="1:2" ht="90">
      <c r="A17">
        <v>43</v>
      </c>
      <c r="B17" s="1" t="s">
        <v>142</v>
      </c>
    </row>
    <row r="18" spans="1:2" ht="90">
      <c r="A18">
        <v>44</v>
      </c>
      <c r="B18" s="1" t="s">
        <v>143</v>
      </c>
    </row>
    <row r="19" spans="1:2" ht="90">
      <c r="A19">
        <v>45</v>
      </c>
      <c r="B19" s="1" t="s">
        <v>144</v>
      </c>
    </row>
    <row r="20" spans="1:2" ht="60">
      <c r="A20">
        <v>47</v>
      </c>
      <c r="B20" s="1" t="s">
        <v>145</v>
      </c>
    </row>
    <row r="21" spans="1:2" ht="75">
      <c r="A21">
        <v>48</v>
      </c>
      <c r="B21" s="1" t="s">
        <v>146</v>
      </c>
    </row>
    <row r="22" spans="1:2" ht="60">
      <c r="A22">
        <v>49</v>
      </c>
      <c r="B22" s="1" t="s">
        <v>147</v>
      </c>
    </row>
    <row r="23" spans="1:2" ht="60">
      <c r="A23">
        <v>50</v>
      </c>
      <c r="B23" s="1" t="s">
        <v>148</v>
      </c>
    </row>
    <row r="24" spans="1:2" ht="60">
      <c r="A24">
        <v>51</v>
      </c>
      <c r="B24" s="1" t="s">
        <v>149</v>
      </c>
    </row>
    <row r="25" spans="1:2" ht="60">
      <c r="A25">
        <v>53</v>
      </c>
      <c r="B25" s="1" t="s">
        <v>150</v>
      </c>
    </row>
    <row r="26" spans="1:2" ht="45">
      <c r="A26">
        <v>54</v>
      </c>
      <c r="B26" s="1" t="s">
        <v>151</v>
      </c>
    </row>
    <row r="27" spans="1:2" ht="45">
      <c r="A27">
        <v>55</v>
      </c>
      <c r="B27" s="1" t="s">
        <v>152</v>
      </c>
    </row>
    <row r="28" spans="1:2" ht="75">
      <c r="A28">
        <v>57</v>
      </c>
      <c r="B28" s="1" t="s">
        <v>153</v>
      </c>
    </row>
    <row r="29" spans="1:2" ht="45">
      <c r="A29">
        <v>58</v>
      </c>
      <c r="B29" s="1" t="s">
        <v>154</v>
      </c>
    </row>
    <row r="30" spans="1:2" ht="60">
      <c r="A30">
        <v>59</v>
      </c>
      <c r="B30" s="1" t="s">
        <v>155</v>
      </c>
    </row>
    <row r="31" spans="1:2" ht="45">
      <c r="A31">
        <v>60</v>
      </c>
      <c r="B31" s="1" t="s">
        <v>156</v>
      </c>
    </row>
    <row r="32" spans="1:2" ht="60">
      <c r="A32">
        <v>61</v>
      </c>
      <c r="B32" s="1" t="s">
        <v>157</v>
      </c>
    </row>
    <row r="33" spans="1:2" ht="90">
      <c r="A33">
        <v>62</v>
      </c>
      <c r="B33" s="1" t="s">
        <v>158</v>
      </c>
    </row>
    <row r="34" spans="1:2" ht="60">
      <c r="A34">
        <v>63</v>
      </c>
      <c r="B34" s="1" t="s">
        <v>159</v>
      </c>
    </row>
    <row r="35" spans="1:2" ht="75">
      <c r="A35">
        <v>64</v>
      </c>
      <c r="B35" s="1" t="s">
        <v>160</v>
      </c>
    </row>
    <row r="36" spans="1:2" ht="60">
      <c r="A36">
        <v>65</v>
      </c>
      <c r="B36" s="1" t="s">
        <v>161</v>
      </c>
    </row>
    <row r="37" spans="1:2" ht="75">
      <c r="A37">
        <v>66</v>
      </c>
      <c r="B37" s="1" t="s">
        <v>162</v>
      </c>
    </row>
    <row r="38" spans="1:2" ht="105">
      <c r="A38">
        <v>67</v>
      </c>
      <c r="B38" s="1" t="s">
        <v>163</v>
      </c>
    </row>
    <row r="39" spans="1:2" ht="45">
      <c r="A39">
        <v>68</v>
      </c>
      <c r="B39" s="1" t="s">
        <v>164</v>
      </c>
    </row>
    <row r="40" spans="1:2" ht="45">
      <c r="A40">
        <v>69</v>
      </c>
      <c r="B40" s="1" t="s">
        <v>165</v>
      </c>
    </row>
    <row r="41" spans="1:2" ht="75">
      <c r="A41">
        <v>70</v>
      </c>
      <c r="B41" s="1" t="s">
        <v>166</v>
      </c>
    </row>
    <row r="42" spans="1:2" ht="90">
      <c r="A42">
        <v>71</v>
      </c>
      <c r="B42" s="1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FD0D-0A64-45B9-8961-86046B90D0B1}">
  <dimension ref="A1:M28"/>
  <sheetViews>
    <sheetView topLeftCell="A6" workbookViewId="0">
      <selection activeCell="A23" sqref="A23:C23"/>
    </sheetView>
  </sheetViews>
  <sheetFormatPr defaultRowHeight="15"/>
  <cols>
    <col min="1" max="1" width="33.5703125" customWidth="1"/>
    <col min="2" max="2" width="17.28515625" customWidth="1"/>
    <col min="7" max="7" width="13.7109375" customWidth="1"/>
  </cols>
  <sheetData>
    <row r="1" spans="1:13">
      <c r="A1" t="s">
        <v>0</v>
      </c>
      <c r="B1" t="s">
        <v>1</v>
      </c>
      <c r="C1" t="s">
        <v>2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30</v>
      </c>
    </row>
    <row r="2" spans="1:13">
      <c r="A2" t="s">
        <v>31</v>
      </c>
      <c r="B2" t="s">
        <v>168</v>
      </c>
      <c r="G2" t="s">
        <v>80</v>
      </c>
      <c r="H2" t="s">
        <v>81</v>
      </c>
      <c r="I2">
        <f>4.516/200</f>
        <v>2.2579999999999999E-2</v>
      </c>
      <c r="J2">
        <v>800</v>
      </c>
      <c r="K2">
        <v>2</v>
      </c>
      <c r="L2">
        <v>1.83</v>
      </c>
      <c r="M2">
        <f>(((I2*J2) + (I3*J3) +(I4*J4))*L2 + I5*J5*K3)*K2</f>
        <v>545.11666000000002</v>
      </c>
    </row>
    <row r="3" spans="1:13">
      <c r="A3" t="s">
        <v>35</v>
      </c>
      <c r="B3" t="s">
        <v>115</v>
      </c>
      <c r="G3" t="s">
        <v>82</v>
      </c>
      <c r="H3" t="s">
        <v>83</v>
      </c>
      <c r="I3">
        <v>0.13800000000000001</v>
      </c>
      <c r="J3">
        <v>150</v>
      </c>
      <c r="K3">
        <v>28</v>
      </c>
    </row>
    <row r="4" spans="1:13">
      <c r="A4" t="s">
        <v>39</v>
      </c>
      <c r="B4">
        <v>6</v>
      </c>
      <c r="C4" t="s">
        <v>85</v>
      </c>
      <c r="G4" t="s">
        <v>169</v>
      </c>
      <c r="H4" t="s">
        <v>170</v>
      </c>
      <c r="I4">
        <f>1.929/10</f>
        <v>0.19290000000000002</v>
      </c>
      <c r="J4">
        <v>30</v>
      </c>
    </row>
    <row r="5" spans="1:13">
      <c r="A5" t="s">
        <v>43</v>
      </c>
      <c r="B5">
        <v>0.31</v>
      </c>
      <c r="C5" t="s">
        <v>85</v>
      </c>
      <c r="G5" t="s">
        <v>171</v>
      </c>
      <c r="H5" t="s">
        <v>172</v>
      </c>
      <c r="I5">
        <f>2.729/500</f>
        <v>5.4580000000000002E-3</v>
      </c>
      <c r="J5">
        <v>1250</v>
      </c>
    </row>
    <row r="6" spans="1:13">
      <c r="A6" t="s">
        <v>47</v>
      </c>
      <c r="B6">
        <v>0.65</v>
      </c>
      <c r="C6" t="s">
        <v>85</v>
      </c>
    </row>
    <row r="7" spans="1:13">
      <c r="A7" t="s">
        <v>49</v>
      </c>
      <c r="B7">
        <v>2</v>
      </c>
      <c r="C7" t="s">
        <v>85</v>
      </c>
    </row>
    <row r="8" spans="1:13">
      <c r="A8" t="s">
        <v>50</v>
      </c>
      <c r="B8">
        <v>0.22700000000000001</v>
      </c>
      <c r="C8" t="s">
        <v>85</v>
      </c>
      <c r="H8" t="s">
        <v>86</v>
      </c>
      <c r="I8" t="s">
        <v>87</v>
      </c>
      <c r="J8" t="s">
        <v>75</v>
      </c>
      <c r="K8" t="s">
        <v>88</v>
      </c>
      <c r="L8" t="s">
        <v>89</v>
      </c>
      <c r="M8" t="s">
        <v>90</v>
      </c>
    </row>
    <row r="9" spans="1:13">
      <c r="A9" t="s">
        <v>51</v>
      </c>
      <c r="B9">
        <v>0</v>
      </c>
      <c r="C9" t="s">
        <v>85</v>
      </c>
      <c r="G9" t="s">
        <v>91</v>
      </c>
      <c r="H9">
        <v>0</v>
      </c>
      <c r="I9">
        <v>-6.9000000000000006E-2</v>
      </c>
      <c r="J9">
        <v>207.37</v>
      </c>
      <c r="K9">
        <f>J9*1.1</f>
        <v>228.10700000000003</v>
      </c>
      <c r="L9">
        <f>H9*I9</f>
        <v>0</v>
      </c>
      <c r="M9">
        <f>H9*K9</f>
        <v>0</v>
      </c>
    </row>
    <row r="10" spans="1:13">
      <c r="A10" t="s">
        <v>52</v>
      </c>
      <c r="B10">
        <v>0.67500000000000004</v>
      </c>
      <c r="C10" t="s">
        <v>85</v>
      </c>
      <c r="G10" t="s">
        <v>92</v>
      </c>
      <c r="H10">
        <v>0.08</v>
      </c>
      <c r="I10">
        <v>-0.11899999999999999</v>
      </c>
      <c r="J10">
        <v>469.21</v>
      </c>
      <c r="K10">
        <f t="shared" ref="K10:K27" si="0">J10*1.1</f>
        <v>516.13099999999997</v>
      </c>
      <c r="L10">
        <f t="shared" ref="L10:L27" si="1">H10*I10</f>
        <v>-9.5199999999999989E-3</v>
      </c>
      <c r="M10">
        <f t="shared" ref="M10:M27" si="2">H10*K10</f>
        <v>41.290479999999995</v>
      </c>
    </row>
    <row r="11" spans="1:13">
      <c r="A11" t="s">
        <v>53</v>
      </c>
      <c r="B11">
        <v>0.45</v>
      </c>
      <c r="C11" t="s">
        <v>85</v>
      </c>
      <c r="G11" t="s">
        <v>93</v>
      </c>
      <c r="H11">
        <v>0</v>
      </c>
      <c r="I11">
        <v>-0.20399999999999999</v>
      </c>
      <c r="J11">
        <v>125.81</v>
      </c>
      <c r="K11">
        <f t="shared" si="0"/>
        <v>138.39100000000002</v>
      </c>
      <c r="L11">
        <f t="shared" si="1"/>
        <v>0</v>
      </c>
      <c r="M11">
        <f t="shared" si="2"/>
        <v>0</v>
      </c>
    </row>
    <row r="12" spans="1:13">
      <c r="A12" t="s">
        <v>54</v>
      </c>
      <c r="B12">
        <v>0.247</v>
      </c>
      <c r="C12" t="s">
        <v>85</v>
      </c>
      <c r="G12" t="s">
        <v>94</v>
      </c>
      <c r="H12">
        <v>0.12</v>
      </c>
      <c r="I12">
        <v>-0.44</v>
      </c>
      <c r="J12">
        <v>0</v>
      </c>
      <c r="K12">
        <f t="shared" si="0"/>
        <v>0</v>
      </c>
      <c r="L12">
        <f t="shared" si="1"/>
        <v>-5.28E-2</v>
      </c>
      <c r="M12">
        <f t="shared" si="2"/>
        <v>0</v>
      </c>
    </row>
    <row r="13" spans="1:13">
      <c r="A13" t="s">
        <v>55</v>
      </c>
      <c r="B13">
        <v>0.625</v>
      </c>
      <c r="C13" t="s">
        <v>85</v>
      </c>
      <c r="G13" t="s">
        <v>95</v>
      </c>
      <c r="H13">
        <v>0.04</v>
      </c>
      <c r="I13">
        <v>-0.26100000000000001</v>
      </c>
      <c r="J13">
        <v>78.53</v>
      </c>
      <c r="K13">
        <f t="shared" si="0"/>
        <v>86.38300000000001</v>
      </c>
      <c r="L13">
        <f t="shared" si="1"/>
        <v>-1.0440000000000001E-2</v>
      </c>
      <c r="M13">
        <f t="shared" si="2"/>
        <v>3.4553200000000004</v>
      </c>
    </row>
    <row r="14" spans="1:13">
      <c r="A14" t="s">
        <v>56</v>
      </c>
      <c r="B14">
        <v>18.7</v>
      </c>
      <c r="C14" t="s">
        <v>85</v>
      </c>
      <c r="G14" t="s">
        <v>96</v>
      </c>
      <c r="H14">
        <v>4.0000000000000001E-3</v>
      </c>
      <c r="I14">
        <v>0</v>
      </c>
      <c r="J14">
        <v>78.53</v>
      </c>
      <c r="K14">
        <f t="shared" si="0"/>
        <v>86.38300000000001</v>
      </c>
      <c r="L14">
        <f t="shared" si="1"/>
        <v>0</v>
      </c>
      <c r="M14">
        <f t="shared" si="2"/>
        <v>0.34553200000000006</v>
      </c>
    </row>
    <row r="15" spans="1:13">
      <c r="A15" t="s">
        <v>58</v>
      </c>
      <c r="B15">
        <v>16</v>
      </c>
      <c r="C15" t="s">
        <v>85</v>
      </c>
      <c r="G15" t="s">
        <v>97</v>
      </c>
      <c r="H15">
        <v>0.15</v>
      </c>
      <c r="I15">
        <v>-0.20399999999999999</v>
      </c>
      <c r="J15">
        <v>125.81</v>
      </c>
      <c r="K15">
        <f t="shared" si="0"/>
        <v>138.39100000000002</v>
      </c>
      <c r="L15">
        <f t="shared" si="1"/>
        <v>-3.0599999999999995E-2</v>
      </c>
      <c r="M15">
        <f t="shared" si="2"/>
        <v>20.758650000000003</v>
      </c>
    </row>
    <row r="16" spans="1:13">
      <c r="A16" t="s">
        <v>59</v>
      </c>
      <c r="B16">
        <v>20</v>
      </c>
      <c r="C16" t="s">
        <v>85</v>
      </c>
      <c r="G16" t="s">
        <v>98</v>
      </c>
      <c r="H16">
        <v>0</v>
      </c>
      <c r="I16">
        <v>-0.15</v>
      </c>
      <c r="J16">
        <v>1027.99</v>
      </c>
      <c r="K16">
        <f t="shared" si="0"/>
        <v>1130.7890000000002</v>
      </c>
      <c r="L16">
        <f t="shared" si="1"/>
        <v>0</v>
      </c>
      <c r="M16">
        <f t="shared" si="2"/>
        <v>0</v>
      </c>
    </row>
    <row r="17" spans="1:13">
      <c r="A17" t="s">
        <v>60</v>
      </c>
      <c r="B17">
        <v>16</v>
      </c>
      <c r="C17" t="s">
        <v>85</v>
      </c>
      <c r="G17" t="s">
        <v>99</v>
      </c>
      <c r="H17">
        <v>0</v>
      </c>
      <c r="I17">
        <v>-0.20399999999999999</v>
      </c>
      <c r="J17">
        <v>0</v>
      </c>
      <c r="K17">
        <f t="shared" si="0"/>
        <v>0</v>
      </c>
      <c r="L17">
        <f t="shared" si="1"/>
        <v>0</v>
      </c>
      <c r="M17">
        <f t="shared" si="2"/>
        <v>0</v>
      </c>
    </row>
    <row r="18" spans="1:13">
      <c r="A18" t="s">
        <v>61</v>
      </c>
      <c r="B18">
        <v>11</v>
      </c>
      <c r="C18" t="s">
        <v>85</v>
      </c>
      <c r="G18" t="s">
        <v>100</v>
      </c>
      <c r="H18">
        <v>0</v>
      </c>
      <c r="I18">
        <v>0</v>
      </c>
      <c r="J18">
        <v>0</v>
      </c>
      <c r="K18">
        <f t="shared" si="0"/>
        <v>0</v>
      </c>
      <c r="L18">
        <f t="shared" si="1"/>
        <v>0</v>
      </c>
      <c r="M18">
        <f t="shared" si="2"/>
        <v>0</v>
      </c>
    </row>
    <row r="19" spans="1:13">
      <c r="A19" s="3" t="s">
        <v>13</v>
      </c>
      <c r="B19" s="3"/>
      <c r="C19" s="3"/>
      <c r="G19" t="s">
        <v>101</v>
      </c>
      <c r="H19">
        <v>0.08</v>
      </c>
      <c r="I19">
        <v>-0.09</v>
      </c>
      <c r="J19">
        <v>205.4</v>
      </c>
      <c r="K19">
        <f t="shared" si="0"/>
        <v>225.94000000000003</v>
      </c>
      <c r="L19">
        <f t="shared" si="1"/>
        <v>-7.1999999999999998E-3</v>
      </c>
      <c r="M19">
        <f t="shared" si="2"/>
        <v>18.075200000000002</v>
      </c>
    </row>
    <row r="20" spans="1:13">
      <c r="A20" t="s">
        <v>63</v>
      </c>
      <c r="B20">
        <f>M2*1.02</f>
        <v>556.01899320000007</v>
      </c>
      <c r="C20" t="s">
        <v>85</v>
      </c>
      <c r="G20" t="s">
        <v>102</v>
      </c>
      <c r="H20">
        <v>3.0000000000000001E-3</v>
      </c>
      <c r="I20">
        <v>-0.44</v>
      </c>
      <c r="J20">
        <v>4.29</v>
      </c>
      <c r="K20">
        <f t="shared" si="0"/>
        <v>4.7190000000000003</v>
      </c>
      <c r="L20">
        <f t="shared" si="1"/>
        <v>-1.32E-3</v>
      </c>
      <c r="M20">
        <f t="shared" si="2"/>
        <v>1.4157000000000001E-2</v>
      </c>
    </row>
    <row r="21" spans="1:13">
      <c r="A21" t="s">
        <v>64</v>
      </c>
      <c r="B21">
        <f>1000*1.02</f>
        <v>1020</v>
      </c>
      <c r="C21" t="s">
        <v>173</v>
      </c>
      <c r="G21" t="s">
        <v>103</v>
      </c>
      <c r="H21">
        <v>0.77</v>
      </c>
      <c r="I21">
        <v>-4.8000000000000001E-2</v>
      </c>
      <c r="J21">
        <v>205.4</v>
      </c>
      <c r="K21">
        <f t="shared" si="0"/>
        <v>225.94000000000003</v>
      </c>
      <c r="L21">
        <f t="shared" si="1"/>
        <v>-3.696E-2</v>
      </c>
      <c r="M21">
        <f t="shared" si="2"/>
        <v>173.97380000000001</v>
      </c>
    </row>
    <row r="22" spans="1:13">
      <c r="A22" t="s">
        <v>66</v>
      </c>
      <c r="B22">
        <f>12950*1.02</f>
        <v>13209</v>
      </c>
      <c r="G22" t="s">
        <v>174</v>
      </c>
      <c r="H22">
        <v>0</v>
      </c>
      <c r="I22">
        <v>-0.09</v>
      </c>
      <c r="J22">
        <v>21.66</v>
      </c>
      <c r="K22">
        <f t="shared" si="0"/>
        <v>23.826000000000001</v>
      </c>
      <c r="L22">
        <f t="shared" si="1"/>
        <v>0</v>
      </c>
      <c r="M22">
        <f t="shared" si="2"/>
        <v>0</v>
      </c>
    </row>
    <row r="23" spans="1:13">
      <c r="A23" s="3" t="s">
        <v>21</v>
      </c>
      <c r="B23" s="3"/>
      <c r="C23" s="3"/>
      <c r="G23" t="s">
        <v>175</v>
      </c>
      <c r="H23">
        <v>0</v>
      </c>
      <c r="I23">
        <v>-0.113</v>
      </c>
      <c r="J23">
        <v>21.66</v>
      </c>
      <c r="K23">
        <f t="shared" si="0"/>
        <v>23.826000000000001</v>
      </c>
      <c r="L23">
        <f t="shared" si="1"/>
        <v>0</v>
      </c>
      <c r="M23">
        <f t="shared" si="2"/>
        <v>0</v>
      </c>
    </row>
    <row r="24" spans="1:13">
      <c r="A24" t="s">
        <v>71</v>
      </c>
      <c r="B24">
        <v>-4.0500000000000001E-2</v>
      </c>
      <c r="C24" t="s">
        <v>85</v>
      </c>
      <c r="G24" t="s">
        <v>108</v>
      </c>
      <c r="H24">
        <v>0</v>
      </c>
      <c r="I24">
        <v>-0.113</v>
      </c>
      <c r="J24">
        <v>314.16000000000003</v>
      </c>
      <c r="K24">
        <f t="shared" si="0"/>
        <v>345.57600000000008</v>
      </c>
      <c r="L24">
        <f t="shared" si="1"/>
        <v>0</v>
      </c>
      <c r="M24">
        <f t="shared" si="2"/>
        <v>0</v>
      </c>
    </row>
    <row r="25" spans="1:13">
      <c r="A25" t="s">
        <v>72</v>
      </c>
      <c r="B25">
        <v>-0.13800000000000001</v>
      </c>
      <c r="C25" t="s">
        <v>85</v>
      </c>
      <c r="G25" t="s">
        <v>109</v>
      </c>
      <c r="H25">
        <v>0</v>
      </c>
      <c r="I25">
        <v>-0.37</v>
      </c>
      <c r="J25">
        <v>3804.09</v>
      </c>
      <c r="K25">
        <f t="shared" si="0"/>
        <v>4184.4990000000007</v>
      </c>
      <c r="L25">
        <f t="shared" si="1"/>
        <v>0</v>
      </c>
      <c r="M25">
        <f t="shared" si="2"/>
        <v>0</v>
      </c>
    </row>
    <row r="26" spans="1:13">
      <c r="G26" t="s">
        <v>111</v>
      </c>
      <c r="H26">
        <v>0.04</v>
      </c>
      <c r="I26">
        <v>-0.108</v>
      </c>
      <c r="J26">
        <v>145.72</v>
      </c>
      <c r="K26">
        <f t="shared" si="0"/>
        <v>160.292</v>
      </c>
      <c r="L26">
        <f t="shared" si="1"/>
        <v>-4.3200000000000001E-3</v>
      </c>
      <c r="M26">
        <f t="shared" si="2"/>
        <v>6.4116800000000005</v>
      </c>
    </row>
    <row r="27" spans="1:13">
      <c r="G27" t="s">
        <v>112</v>
      </c>
      <c r="H27">
        <v>0</v>
      </c>
      <c r="I27">
        <v>-0.10299999999999999</v>
      </c>
      <c r="J27">
        <v>121.85</v>
      </c>
      <c r="K27">
        <f t="shared" si="0"/>
        <v>134.035</v>
      </c>
      <c r="L27">
        <f t="shared" si="1"/>
        <v>0</v>
      </c>
      <c r="M27">
        <f t="shared" si="2"/>
        <v>0</v>
      </c>
    </row>
    <row r="28" spans="1:13">
      <c r="G28" t="s">
        <v>113</v>
      </c>
      <c r="H28">
        <f>SUM(H9:H27)</f>
        <v>1.2870000000000001</v>
      </c>
      <c r="I28">
        <f>SUM(I9:I27)</f>
        <v>-3.1260000000000003</v>
      </c>
      <c r="K28">
        <f>SUM(K9:K27)</f>
        <v>7653.2280000000019</v>
      </c>
      <c r="L28">
        <f>SUM(L9:L27)</f>
        <v>-0.15315999999999999</v>
      </c>
      <c r="M28">
        <f>SUM(M9:M27)</f>
        <v>264.32481899999999</v>
      </c>
    </row>
  </sheetData>
  <mergeCells count="2">
    <mergeCell ref="A19:C19"/>
    <mergeCell ref="A23:C2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AED9-DA3E-44F0-8A94-7AFCE33639CD}">
  <dimension ref="A1:M28"/>
  <sheetViews>
    <sheetView topLeftCell="A4" workbookViewId="0">
      <selection activeCell="E20" sqref="E20"/>
    </sheetView>
  </sheetViews>
  <sheetFormatPr defaultRowHeight="15"/>
  <cols>
    <col min="1" max="1" width="28.85546875" customWidth="1"/>
  </cols>
  <sheetData>
    <row r="1" spans="1:13">
      <c r="A1" t="s">
        <v>0</v>
      </c>
      <c r="B1" t="s">
        <v>1</v>
      </c>
      <c r="C1" t="s">
        <v>2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30</v>
      </c>
    </row>
    <row r="2" spans="1:13">
      <c r="A2" t="s">
        <v>31</v>
      </c>
      <c r="B2" t="s">
        <v>176</v>
      </c>
      <c r="G2" t="s">
        <v>80</v>
      </c>
      <c r="H2" t="s">
        <v>81</v>
      </c>
      <c r="I2">
        <f>4.516/200</f>
        <v>2.2579999999999999E-2</v>
      </c>
      <c r="J2">
        <v>800</v>
      </c>
      <c r="K2">
        <v>2</v>
      </c>
      <c r="L2">
        <v>1.83</v>
      </c>
      <c r="M2">
        <f>(((I2*J2) + (I3*J3) +(I4*J4))*L2 + I5*J5*K3)*K2</f>
        <v>530.84266000000002</v>
      </c>
    </row>
    <row r="3" spans="1:13">
      <c r="A3" t="s">
        <v>35</v>
      </c>
      <c r="B3" t="s">
        <v>115</v>
      </c>
      <c r="G3" t="s">
        <v>177</v>
      </c>
      <c r="H3" t="s">
        <v>83</v>
      </c>
      <c r="I3">
        <f>1.12/2</f>
        <v>0.56000000000000005</v>
      </c>
      <c r="J3">
        <v>30</v>
      </c>
      <c r="K3">
        <v>28</v>
      </c>
    </row>
    <row r="4" spans="1:13">
      <c r="A4" t="s">
        <v>39</v>
      </c>
      <c r="B4">
        <v>6</v>
      </c>
      <c r="C4" t="s">
        <v>85</v>
      </c>
      <c r="G4" t="s">
        <v>169</v>
      </c>
      <c r="H4" t="s">
        <v>170</v>
      </c>
      <c r="I4">
        <f>1.929/10</f>
        <v>0.19290000000000002</v>
      </c>
      <c r="J4">
        <v>30</v>
      </c>
    </row>
    <row r="5" spans="1:13">
      <c r="A5" t="s">
        <v>43</v>
      </c>
      <c r="B5">
        <v>0.31</v>
      </c>
      <c r="C5" t="s">
        <v>85</v>
      </c>
      <c r="G5" t="s">
        <v>171</v>
      </c>
      <c r="H5" t="s">
        <v>172</v>
      </c>
      <c r="I5">
        <f>2.729/500</f>
        <v>5.4580000000000002E-3</v>
      </c>
      <c r="J5">
        <v>1250</v>
      </c>
    </row>
    <row r="6" spans="1:13">
      <c r="A6" t="s">
        <v>47</v>
      </c>
      <c r="B6">
        <v>0.63</v>
      </c>
      <c r="C6" t="s">
        <v>85</v>
      </c>
    </row>
    <row r="7" spans="1:13">
      <c r="A7" t="s">
        <v>49</v>
      </c>
      <c r="B7">
        <v>2</v>
      </c>
      <c r="C7" t="s">
        <v>85</v>
      </c>
    </row>
    <row r="8" spans="1:13">
      <c r="A8" t="s">
        <v>50</v>
      </c>
      <c r="B8">
        <v>0.22700000000000001</v>
      </c>
      <c r="C8" t="s">
        <v>85</v>
      </c>
      <c r="H8" t="s">
        <v>86</v>
      </c>
      <c r="I8" t="s">
        <v>87</v>
      </c>
      <c r="J8" t="s">
        <v>75</v>
      </c>
      <c r="K8" t="s">
        <v>88</v>
      </c>
      <c r="L8" t="s">
        <v>89</v>
      </c>
      <c r="M8" t="s">
        <v>90</v>
      </c>
    </row>
    <row r="9" spans="1:13">
      <c r="A9" t="s">
        <v>51</v>
      </c>
      <c r="B9">
        <v>0.11</v>
      </c>
      <c r="C9" t="s">
        <v>85</v>
      </c>
      <c r="G9" t="s">
        <v>91</v>
      </c>
      <c r="H9">
        <v>0.05</v>
      </c>
      <c r="I9">
        <v>-6.9000000000000006E-2</v>
      </c>
      <c r="J9">
        <v>207.37</v>
      </c>
      <c r="K9">
        <f>J9*1.1</f>
        <v>228.10700000000003</v>
      </c>
      <c r="L9">
        <f>H9*I9</f>
        <v>-3.4500000000000004E-3</v>
      </c>
      <c r="M9">
        <f>H9*K9</f>
        <v>11.405350000000002</v>
      </c>
    </row>
    <row r="10" spans="1:13">
      <c r="A10" t="s">
        <v>52</v>
      </c>
      <c r="B10">
        <v>0.37</v>
      </c>
      <c r="C10" t="s">
        <v>85</v>
      </c>
      <c r="G10" t="s">
        <v>92</v>
      </c>
      <c r="H10">
        <v>0.19</v>
      </c>
      <c r="I10">
        <v>-0.11899999999999999</v>
      </c>
      <c r="J10">
        <v>469.21</v>
      </c>
      <c r="K10">
        <f t="shared" ref="K10:K27" si="0">J10*1.1</f>
        <v>516.13099999999997</v>
      </c>
      <c r="L10">
        <f t="shared" ref="L10:L27" si="1">H10*I10</f>
        <v>-2.2609999999999998E-2</v>
      </c>
      <c r="M10">
        <f t="shared" ref="M10:M27" si="2">H10*K10</f>
        <v>98.064889999999991</v>
      </c>
    </row>
    <row r="11" spans="1:13">
      <c r="A11" t="s">
        <v>53</v>
      </c>
      <c r="B11">
        <v>0.35</v>
      </c>
      <c r="C11" t="s">
        <v>85</v>
      </c>
      <c r="G11" t="s">
        <v>93</v>
      </c>
      <c r="H11">
        <v>0</v>
      </c>
      <c r="I11">
        <v>-0.20399999999999999</v>
      </c>
      <c r="J11">
        <v>125.81</v>
      </c>
      <c r="K11">
        <f t="shared" si="0"/>
        <v>138.39100000000002</v>
      </c>
      <c r="L11">
        <f t="shared" si="1"/>
        <v>0</v>
      </c>
      <c r="M11">
        <f t="shared" si="2"/>
        <v>0</v>
      </c>
    </row>
    <row r="12" spans="1:13">
      <c r="A12" t="s">
        <v>54</v>
      </c>
      <c r="B12">
        <v>0.247</v>
      </c>
      <c r="C12" t="s">
        <v>85</v>
      </c>
      <c r="G12" t="s">
        <v>94</v>
      </c>
      <c r="H12">
        <v>0.12</v>
      </c>
      <c r="I12">
        <v>-0.44</v>
      </c>
      <c r="J12">
        <v>0</v>
      </c>
      <c r="K12">
        <f t="shared" si="0"/>
        <v>0</v>
      </c>
      <c r="L12">
        <f t="shared" si="1"/>
        <v>-5.28E-2</v>
      </c>
      <c r="M12">
        <f t="shared" si="2"/>
        <v>0</v>
      </c>
    </row>
    <row r="13" spans="1:13">
      <c r="A13" t="s">
        <v>55</v>
      </c>
      <c r="B13">
        <v>0.26</v>
      </c>
      <c r="C13" t="s">
        <v>85</v>
      </c>
      <c r="G13" t="s">
        <v>95</v>
      </c>
      <c r="H13">
        <v>0.04</v>
      </c>
      <c r="I13">
        <v>-0.26100000000000001</v>
      </c>
      <c r="J13">
        <v>78.53</v>
      </c>
      <c r="K13">
        <f t="shared" si="0"/>
        <v>86.38300000000001</v>
      </c>
      <c r="L13">
        <f t="shared" si="1"/>
        <v>-1.0440000000000001E-2</v>
      </c>
      <c r="M13">
        <f t="shared" si="2"/>
        <v>3.4553200000000004</v>
      </c>
    </row>
    <row r="14" spans="1:13">
      <c r="A14" t="s">
        <v>56</v>
      </c>
      <c r="B14">
        <v>18.7</v>
      </c>
      <c r="C14" t="s">
        <v>85</v>
      </c>
      <c r="G14" t="s">
        <v>96</v>
      </c>
      <c r="H14">
        <v>4.0000000000000001E-3</v>
      </c>
      <c r="I14">
        <v>0</v>
      </c>
      <c r="J14">
        <v>78.53</v>
      </c>
      <c r="K14">
        <f t="shared" si="0"/>
        <v>86.38300000000001</v>
      </c>
      <c r="L14">
        <f t="shared" si="1"/>
        <v>0</v>
      </c>
      <c r="M14">
        <f t="shared" si="2"/>
        <v>0.34553200000000006</v>
      </c>
    </row>
    <row r="15" spans="1:13">
      <c r="A15" t="s">
        <v>58</v>
      </c>
      <c r="B15">
        <v>16</v>
      </c>
      <c r="C15" t="s">
        <v>85</v>
      </c>
      <c r="G15" t="s">
        <v>97</v>
      </c>
      <c r="H15">
        <v>0.14000000000000001</v>
      </c>
      <c r="I15">
        <v>-0.20399999999999999</v>
      </c>
      <c r="J15">
        <v>125.81</v>
      </c>
      <c r="K15">
        <f t="shared" si="0"/>
        <v>138.39100000000002</v>
      </c>
      <c r="L15">
        <f t="shared" si="1"/>
        <v>-2.8560000000000002E-2</v>
      </c>
      <c r="M15">
        <f t="shared" si="2"/>
        <v>19.374740000000006</v>
      </c>
    </row>
    <row r="16" spans="1:13">
      <c r="A16" t="s">
        <v>59</v>
      </c>
      <c r="B16">
        <v>20</v>
      </c>
      <c r="C16" t="s">
        <v>85</v>
      </c>
      <c r="G16" t="s">
        <v>98</v>
      </c>
      <c r="H16">
        <v>0</v>
      </c>
      <c r="I16">
        <v>-0.15</v>
      </c>
      <c r="J16">
        <v>1027.99</v>
      </c>
      <c r="K16">
        <f t="shared" si="0"/>
        <v>1130.7890000000002</v>
      </c>
      <c r="L16">
        <f t="shared" si="1"/>
        <v>0</v>
      </c>
      <c r="M16">
        <f t="shared" si="2"/>
        <v>0</v>
      </c>
    </row>
    <row r="17" spans="1:13">
      <c r="A17" t="s">
        <v>60</v>
      </c>
      <c r="B17">
        <v>16</v>
      </c>
      <c r="C17" t="s">
        <v>85</v>
      </c>
      <c r="G17" t="s">
        <v>99</v>
      </c>
      <c r="H17">
        <v>0</v>
      </c>
      <c r="I17">
        <v>-0.20399999999999999</v>
      </c>
      <c r="J17">
        <v>0</v>
      </c>
      <c r="K17">
        <f t="shared" si="0"/>
        <v>0</v>
      </c>
      <c r="L17">
        <f t="shared" si="1"/>
        <v>0</v>
      </c>
      <c r="M17">
        <f t="shared" si="2"/>
        <v>0</v>
      </c>
    </row>
    <row r="18" spans="1:13">
      <c r="A18" t="s">
        <v>61</v>
      </c>
      <c r="B18">
        <v>11</v>
      </c>
      <c r="C18" t="s">
        <v>85</v>
      </c>
      <c r="G18" t="s">
        <v>100</v>
      </c>
      <c r="H18">
        <v>0</v>
      </c>
      <c r="I18">
        <v>0</v>
      </c>
      <c r="J18">
        <v>0</v>
      </c>
      <c r="K18">
        <f t="shared" si="0"/>
        <v>0</v>
      </c>
      <c r="L18">
        <f t="shared" si="1"/>
        <v>0</v>
      </c>
      <c r="M18">
        <f t="shared" si="2"/>
        <v>0</v>
      </c>
    </row>
    <row r="19" spans="1:13">
      <c r="A19" s="3" t="s">
        <v>13</v>
      </c>
      <c r="B19" s="3"/>
      <c r="C19" s="3"/>
      <c r="G19" t="s">
        <v>101</v>
      </c>
      <c r="H19">
        <v>0.08</v>
      </c>
      <c r="I19">
        <v>-0.09</v>
      </c>
      <c r="J19">
        <v>205.4</v>
      </c>
      <c r="K19">
        <f t="shared" si="0"/>
        <v>225.94000000000003</v>
      </c>
      <c r="L19">
        <f t="shared" si="1"/>
        <v>-7.1999999999999998E-3</v>
      </c>
      <c r="M19">
        <f t="shared" si="2"/>
        <v>18.075200000000002</v>
      </c>
    </row>
    <row r="20" spans="1:13">
      <c r="A20" t="s">
        <v>63</v>
      </c>
      <c r="B20">
        <f>M2*1.02</f>
        <v>541.45951320000006</v>
      </c>
      <c r="C20" t="s">
        <v>85</v>
      </c>
      <c r="G20" t="s">
        <v>102</v>
      </c>
      <c r="H20">
        <v>3.0000000000000001E-3</v>
      </c>
      <c r="I20">
        <v>-0.44</v>
      </c>
      <c r="J20">
        <v>4.29</v>
      </c>
      <c r="K20">
        <f t="shared" si="0"/>
        <v>4.7190000000000003</v>
      </c>
      <c r="L20">
        <f t="shared" si="1"/>
        <v>-1.32E-3</v>
      </c>
      <c r="M20">
        <f t="shared" si="2"/>
        <v>1.4157000000000001E-2</v>
      </c>
    </row>
    <row r="21" spans="1:13">
      <c r="A21" t="s">
        <v>64</v>
      </c>
      <c r="B21">
        <f>1050*1.02</f>
        <v>1071</v>
      </c>
      <c r="C21" t="s">
        <v>173</v>
      </c>
      <c r="G21" t="s">
        <v>103</v>
      </c>
      <c r="H21">
        <v>0.56999999999999995</v>
      </c>
      <c r="I21">
        <v>-4.8000000000000001E-2</v>
      </c>
      <c r="J21">
        <v>205.4</v>
      </c>
      <c r="K21">
        <f t="shared" si="0"/>
        <v>225.94000000000003</v>
      </c>
      <c r="L21">
        <f t="shared" si="1"/>
        <v>-2.7359999999999999E-2</v>
      </c>
      <c r="M21">
        <f t="shared" si="2"/>
        <v>128.78579999999999</v>
      </c>
    </row>
    <row r="22" spans="1:13">
      <c r="A22" t="s">
        <v>66</v>
      </c>
      <c r="B22">
        <f>4000*1.02</f>
        <v>4080</v>
      </c>
      <c r="G22" t="s">
        <v>174</v>
      </c>
      <c r="H22">
        <v>0</v>
      </c>
      <c r="I22">
        <v>-0.09</v>
      </c>
      <c r="J22">
        <v>21.66</v>
      </c>
      <c r="K22">
        <f t="shared" si="0"/>
        <v>23.826000000000001</v>
      </c>
      <c r="L22">
        <f t="shared" si="1"/>
        <v>0</v>
      </c>
      <c r="M22">
        <f t="shared" si="2"/>
        <v>0</v>
      </c>
    </row>
    <row r="23" spans="1:13">
      <c r="A23" s="3" t="s">
        <v>21</v>
      </c>
      <c r="B23" s="3"/>
      <c r="C23" s="3"/>
      <c r="G23" t="s">
        <v>175</v>
      </c>
      <c r="H23">
        <v>0</v>
      </c>
      <c r="I23">
        <v>-0.113</v>
      </c>
      <c r="J23">
        <v>21.66</v>
      </c>
      <c r="K23">
        <f t="shared" si="0"/>
        <v>23.826000000000001</v>
      </c>
      <c r="L23">
        <f t="shared" si="1"/>
        <v>0</v>
      </c>
      <c r="M23">
        <f t="shared" si="2"/>
        <v>0</v>
      </c>
    </row>
    <row r="24" spans="1:13">
      <c r="A24" t="s">
        <v>71</v>
      </c>
      <c r="B24">
        <v>-6.25E-2</v>
      </c>
      <c r="C24" t="s">
        <v>85</v>
      </c>
      <c r="G24" t="s">
        <v>108</v>
      </c>
      <c r="H24">
        <v>0</v>
      </c>
      <c r="I24">
        <v>-0.113</v>
      </c>
      <c r="J24">
        <v>314.16000000000003</v>
      </c>
      <c r="K24">
        <f t="shared" si="0"/>
        <v>345.57600000000008</v>
      </c>
      <c r="L24">
        <f t="shared" si="1"/>
        <v>0</v>
      </c>
      <c r="M24">
        <f t="shared" si="2"/>
        <v>0</v>
      </c>
    </row>
    <row r="25" spans="1:13">
      <c r="A25" t="s">
        <v>72</v>
      </c>
      <c r="B25">
        <v>-0.19800000000000001</v>
      </c>
      <c r="C25" t="s">
        <v>85</v>
      </c>
      <c r="G25" t="s">
        <v>109</v>
      </c>
      <c r="H25">
        <v>0</v>
      </c>
      <c r="I25">
        <v>-0.37</v>
      </c>
      <c r="J25">
        <v>3804.09</v>
      </c>
      <c r="K25">
        <f t="shared" si="0"/>
        <v>4184.4990000000007</v>
      </c>
      <c r="L25">
        <f t="shared" si="1"/>
        <v>0</v>
      </c>
      <c r="M25">
        <f t="shared" si="2"/>
        <v>0</v>
      </c>
    </row>
    <row r="26" spans="1:13">
      <c r="G26" t="s">
        <v>111</v>
      </c>
      <c r="H26">
        <v>0.05</v>
      </c>
      <c r="I26">
        <v>-0.108</v>
      </c>
      <c r="J26">
        <v>145.72</v>
      </c>
      <c r="K26">
        <f t="shared" si="0"/>
        <v>160.292</v>
      </c>
      <c r="L26">
        <f t="shared" si="1"/>
        <v>-5.4000000000000003E-3</v>
      </c>
      <c r="M26">
        <f t="shared" si="2"/>
        <v>8.0145999999999997</v>
      </c>
    </row>
    <row r="27" spans="1:13">
      <c r="G27" t="s">
        <v>112</v>
      </c>
      <c r="H27">
        <v>0.38</v>
      </c>
      <c r="I27">
        <v>-0.10299999999999999</v>
      </c>
      <c r="J27">
        <v>121.85</v>
      </c>
      <c r="K27">
        <f t="shared" si="0"/>
        <v>134.035</v>
      </c>
      <c r="L27">
        <f t="shared" si="1"/>
        <v>-3.9140000000000001E-2</v>
      </c>
      <c r="M27">
        <f t="shared" si="2"/>
        <v>50.933300000000003</v>
      </c>
    </row>
    <row r="28" spans="1:13">
      <c r="G28" t="s">
        <v>113</v>
      </c>
      <c r="H28">
        <f>SUM(H9:H27)</f>
        <v>1.6270000000000002</v>
      </c>
      <c r="I28">
        <f>SUM(I9:I27)</f>
        <v>-3.1260000000000003</v>
      </c>
      <c r="K28">
        <f>SUM(K9:K27)</f>
        <v>7653.2280000000019</v>
      </c>
      <c r="L28">
        <f>SUM(L9:L27)</f>
        <v>-0.19827999999999998</v>
      </c>
      <c r="M28">
        <f>SUM(M9:M27)</f>
        <v>338.46888899999999</v>
      </c>
    </row>
  </sheetData>
  <mergeCells count="2">
    <mergeCell ref="A19:C19"/>
    <mergeCell ref="A23:C2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34FB-04E1-4F56-AC67-4A0276EE844E}">
  <dimension ref="A1:C26"/>
  <sheetViews>
    <sheetView workbookViewId="0">
      <selection activeCell="B18" sqref="B18"/>
    </sheetView>
  </sheetViews>
  <sheetFormatPr defaultRowHeight="15"/>
  <cols>
    <col min="1" max="1" width="34.28515625" customWidth="1"/>
    <col min="2" max="2" width="15.7109375" customWidth="1"/>
    <col min="3" max="3" width="20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31</v>
      </c>
      <c r="B2" t="s">
        <v>178</v>
      </c>
    </row>
    <row r="3" spans="1:3">
      <c r="A3" t="s">
        <v>35</v>
      </c>
      <c r="B3" t="s">
        <v>115</v>
      </c>
    </row>
    <row r="4" spans="1:3">
      <c r="A4" t="s">
        <v>39</v>
      </c>
      <c r="B4">
        <v>1</v>
      </c>
      <c r="C4" t="s">
        <v>179</v>
      </c>
    </row>
    <row r="5" spans="1:3">
      <c r="A5" t="s">
        <v>43</v>
      </c>
      <c r="B5">
        <v>0.37</v>
      </c>
      <c r="C5" t="s">
        <v>117</v>
      </c>
    </row>
    <row r="6" spans="1:3">
      <c r="A6" t="s">
        <v>47</v>
      </c>
      <c r="B6">
        <v>0.62949999999999995</v>
      </c>
      <c r="C6">
        <v>45</v>
      </c>
    </row>
    <row r="7" spans="1:3">
      <c r="A7" t="s">
        <v>49</v>
      </c>
      <c r="B7">
        <v>6</v>
      </c>
      <c r="C7" t="s">
        <v>116</v>
      </c>
    </row>
    <row r="8" spans="1:3">
      <c r="A8" t="s">
        <v>50</v>
      </c>
      <c r="B8">
        <v>0.36</v>
      </c>
      <c r="C8" t="s">
        <v>119</v>
      </c>
    </row>
    <row r="9" spans="1:3">
      <c r="A9" t="s">
        <v>51</v>
      </c>
      <c r="B9">
        <v>0.15</v>
      </c>
      <c r="C9" t="s">
        <v>119</v>
      </c>
    </row>
    <row r="10" spans="1:3">
      <c r="A10" t="s">
        <v>52</v>
      </c>
      <c r="B10">
        <v>0.86</v>
      </c>
      <c r="C10" t="s">
        <v>120</v>
      </c>
    </row>
    <row r="11" spans="1:3">
      <c r="A11" t="s">
        <v>53</v>
      </c>
      <c r="B11">
        <v>0.31</v>
      </c>
      <c r="C11" t="s">
        <v>121</v>
      </c>
    </row>
    <row r="12" spans="1:3">
      <c r="A12" t="s">
        <v>54</v>
      </c>
      <c r="B12">
        <v>3.9550000000000002E-2</v>
      </c>
      <c r="C12" t="s">
        <v>118</v>
      </c>
    </row>
    <row r="13" spans="1:3">
      <c r="A13" t="s">
        <v>55</v>
      </c>
      <c r="B13">
        <v>0.78600000000000003</v>
      </c>
      <c r="C13" t="s">
        <v>122</v>
      </c>
    </row>
    <row r="14" spans="1:3">
      <c r="A14" t="s">
        <v>56</v>
      </c>
      <c r="B14">
        <v>28</v>
      </c>
      <c r="C14">
        <v>45</v>
      </c>
    </row>
    <row r="15" spans="1:3">
      <c r="A15" t="s">
        <v>58</v>
      </c>
      <c r="B15">
        <v>12</v>
      </c>
      <c r="C15">
        <v>45</v>
      </c>
    </row>
    <row r="16" spans="1:3">
      <c r="A16" t="s">
        <v>59</v>
      </c>
      <c r="B16">
        <v>46</v>
      </c>
      <c r="C16">
        <v>45</v>
      </c>
    </row>
    <row r="17" spans="1:3">
      <c r="A17" t="s">
        <v>60</v>
      </c>
      <c r="B17">
        <v>12</v>
      </c>
      <c r="C17">
        <v>45</v>
      </c>
    </row>
    <row r="18" spans="1:3">
      <c r="A18" t="s">
        <v>61</v>
      </c>
      <c r="B18">
        <v>11</v>
      </c>
      <c r="C18" t="s">
        <v>123</v>
      </c>
    </row>
    <row r="19" spans="1:3">
      <c r="A19" s="3" t="s">
        <v>13</v>
      </c>
      <c r="B19" s="3"/>
      <c r="C19" s="3"/>
    </row>
    <row r="20" spans="1:3">
      <c r="A20" t="s">
        <v>63</v>
      </c>
      <c r="B20">
        <v>1030</v>
      </c>
      <c r="C20">
        <v>62</v>
      </c>
    </row>
    <row r="21" spans="1:3">
      <c r="A21" t="s">
        <v>64</v>
      </c>
      <c r="B21">
        <v>700</v>
      </c>
      <c r="C21" t="s">
        <v>180</v>
      </c>
    </row>
    <row r="22" spans="1:3">
      <c r="A22" t="s">
        <v>66</v>
      </c>
      <c r="B22">
        <v>4000</v>
      </c>
      <c r="C22">
        <v>64</v>
      </c>
    </row>
    <row r="23" spans="1:3">
      <c r="A23" t="s">
        <v>16</v>
      </c>
      <c r="B23">
        <v>1350</v>
      </c>
      <c r="C23">
        <v>53</v>
      </c>
    </row>
    <row r="24" spans="1:3">
      <c r="A24" s="3" t="s">
        <v>21</v>
      </c>
      <c r="B24" s="3"/>
      <c r="C24" s="3"/>
    </row>
    <row r="25" spans="1:3">
      <c r="A25" t="s">
        <v>71</v>
      </c>
      <c r="B25">
        <v>-1.6E-2</v>
      </c>
      <c r="C25" t="s">
        <v>181</v>
      </c>
    </row>
    <row r="26" spans="1:3">
      <c r="A26" t="s">
        <v>72</v>
      </c>
      <c r="B26">
        <v>-0.14169999999999999</v>
      </c>
      <c r="C26" t="s">
        <v>182</v>
      </c>
    </row>
  </sheetData>
  <mergeCells count="2">
    <mergeCell ref="A19:C19"/>
    <mergeCell ref="A24:C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2C7D-CDC2-46CC-9BB8-33410169EBDA}">
  <dimension ref="A1:C14"/>
  <sheetViews>
    <sheetView workbookViewId="0">
      <selection activeCell="A5" sqref="A5:C5"/>
    </sheetView>
  </sheetViews>
  <sheetFormatPr defaultRowHeight="15"/>
  <cols>
    <col min="1" max="1" width="42.5703125" customWidth="1"/>
    <col min="3" max="3" width="11.7109375" customWidth="1"/>
  </cols>
  <sheetData>
    <row r="1" spans="1:3">
      <c r="A1" t="s">
        <v>0</v>
      </c>
      <c r="B1" t="s">
        <v>75</v>
      </c>
      <c r="C1" t="s">
        <v>2</v>
      </c>
    </row>
    <row r="2" spans="1:3">
      <c r="A2" t="s">
        <v>183</v>
      </c>
      <c r="B2">
        <v>180</v>
      </c>
      <c r="C2">
        <v>62</v>
      </c>
    </row>
    <row r="3" spans="1:3">
      <c r="A3" t="s">
        <v>184</v>
      </c>
      <c r="B3">
        <v>160</v>
      </c>
      <c r="C3">
        <v>62</v>
      </c>
    </row>
    <row r="4" spans="1:3">
      <c r="A4" t="s">
        <v>185</v>
      </c>
      <c r="B4">
        <v>1030</v>
      </c>
      <c r="C4">
        <v>62</v>
      </c>
    </row>
    <row r="5" spans="1:3">
      <c r="A5" t="s">
        <v>16</v>
      </c>
      <c r="B5">
        <v>1350</v>
      </c>
      <c r="C5">
        <v>53</v>
      </c>
    </row>
    <row r="6" spans="1:3">
      <c r="A6" t="s">
        <v>17</v>
      </c>
      <c r="B6">
        <v>2800</v>
      </c>
      <c r="C6">
        <v>53</v>
      </c>
    </row>
    <row r="7" spans="1:3">
      <c r="A7" t="s">
        <v>20</v>
      </c>
      <c r="B7">
        <v>5400</v>
      </c>
      <c r="C7">
        <v>54</v>
      </c>
    </row>
    <row r="8" spans="1:3">
      <c r="A8" t="s">
        <v>186</v>
      </c>
      <c r="B8">
        <v>29000</v>
      </c>
      <c r="C8">
        <v>55</v>
      </c>
    </row>
    <row r="9" spans="1:3">
      <c r="A9" t="s">
        <v>187</v>
      </c>
      <c r="B9">
        <v>1700</v>
      </c>
      <c r="C9" t="s">
        <v>65</v>
      </c>
    </row>
    <row r="10" spans="1:3">
      <c r="A10" t="s">
        <v>188</v>
      </c>
      <c r="B10">
        <v>600</v>
      </c>
      <c r="C10" t="s">
        <v>65</v>
      </c>
    </row>
    <row r="11" spans="1:3">
      <c r="A11" t="s">
        <v>189</v>
      </c>
      <c r="B11">
        <v>700</v>
      </c>
      <c r="C11" t="s">
        <v>180</v>
      </c>
    </row>
    <row r="12" spans="1:3">
      <c r="A12" t="s">
        <v>15</v>
      </c>
      <c r="B12">
        <v>99400</v>
      </c>
      <c r="C12">
        <v>63</v>
      </c>
    </row>
    <row r="13" spans="1:3">
      <c r="A13" t="s">
        <v>190</v>
      </c>
      <c r="B13">
        <v>4000</v>
      </c>
      <c r="C13">
        <v>64</v>
      </c>
    </row>
    <row r="14" spans="1:3">
      <c r="A14" t="s">
        <v>191</v>
      </c>
      <c r="B14">
        <v>12950</v>
      </c>
      <c r="C1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Ingram, Myles A.</cp:lastModifiedBy>
  <cp:revision/>
  <dcterms:created xsi:type="dcterms:W3CDTF">2019-09-25T21:24:51Z</dcterms:created>
  <dcterms:modified xsi:type="dcterms:W3CDTF">2020-02-14T21:39:44Z</dcterms:modified>
  <cp:category/>
  <cp:contentStatus/>
</cp:coreProperties>
</file>